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S:\Financial Audit Team\2019 LME Systems Review\Web Site\"/>
    </mc:Choice>
  </mc:AlternateContent>
  <xr:revisionPtr revIDLastSave="0" documentId="8_{677931AA-30C6-46F4-84CB-B5114CE276A9}" xr6:coauthVersionLast="36" xr6:coauthVersionMax="36" xr10:uidLastSave="{00000000-0000-0000-0000-000000000000}"/>
  <workbookProtection lockStructure="1"/>
  <bookViews>
    <workbookView xWindow="0" yWindow="0" windowWidth="18570" windowHeight="5910" tabRatio="889" firstSheet="2" activeTab="7" xr2:uid="{00000000-000D-0000-FFFF-FFFF00000000}"/>
  </bookViews>
  <sheets>
    <sheet name="Reviewers" sheetId="7" state="hidden" r:id="rId1"/>
    <sheet name="Data Validation" sheetId="5" state="hidden" r:id="rId2"/>
    <sheet name="Instructions" sheetId="2" r:id="rId3"/>
    <sheet name="Guidelines" sheetId="3" r:id="rId4"/>
    <sheet name="Workbook Set-up" sheetId="4" r:id="rId5"/>
    <sheet name="County List" sheetId="6" state="hidden" r:id="rId6"/>
    <sheet name="Support Employ Initial Eligibil" sheetId="8" r:id="rId7"/>
    <sheet name="Support Employ Initial" sheetId="9" r:id="rId8"/>
    <sheet name="Support Employ Cont Eligibilit" sheetId="10" r:id="rId9"/>
    <sheet name="Support Employ Continuation" sheetId="11" r:id="rId10"/>
    <sheet name="LTVS Initial Elig" sheetId="36" r:id="rId11"/>
    <sheet name="LTVS Initial" sheetId="37" r:id="rId12"/>
    <sheet name="LTVS Continuation Elig" sheetId="39" r:id="rId13"/>
    <sheet name="LTVS Continuation" sheetId="40" r:id="rId14"/>
    <sheet name="Dev Day Initial Eligibil" sheetId="12" r:id="rId15"/>
    <sheet name="Dev Day Initial" sheetId="13" r:id="rId16"/>
    <sheet name="Dev Day Cont Eligibilit" sheetId="14" r:id="rId17"/>
    <sheet name="Dev Day Continuation" sheetId="33" r:id="rId18"/>
    <sheet name="Day Activity Initial Eligibi" sheetId="16" r:id="rId19"/>
    <sheet name="Day Activity Initial" sheetId="17" r:id="rId20"/>
    <sheet name="Day Activity Cont Eligibilit" sheetId="18" r:id="rId21"/>
    <sheet name="Day Activity Continuation" sheetId="15" r:id="rId22"/>
    <sheet name="Day Supports Initial Eligibil" sheetId="20" r:id="rId23"/>
    <sheet name="Day Supports Initial" sheetId="25" r:id="rId24"/>
    <sheet name="Day Supports Continuation Eli" sheetId="22" r:id="rId25"/>
    <sheet name="Day Supports Continuation)" sheetId="35" r:id="rId26"/>
    <sheet name="CAET Initial Eligibil" sheetId="24" r:id="rId27"/>
    <sheet name="CAET Initial" sheetId="27" r:id="rId28"/>
    <sheet name="CAET Continuation Eli" sheetId="26" r:id="rId29"/>
    <sheet name="CAET Continuation" sheetId="19" r:id="rId30"/>
    <sheet name="POC Summary" sheetId="28" r:id="rId31"/>
    <sheet name="OVERALL SUMMARY" sheetId="29" r:id="rId32"/>
    <sheet name="Data Extraction (1)" sheetId="30" state="hidden" r:id="rId33"/>
    <sheet name="Data Extraction (2)" sheetId="31" state="hidden" r:id="rId34"/>
    <sheet name="County" sheetId="32" state="hidden" r:id="rId35"/>
  </sheets>
  <externalReferences>
    <externalReference r:id="rId36"/>
    <externalReference r:id="rId37"/>
    <externalReference r:id="rId38"/>
    <externalReference r:id="rId39"/>
    <externalReference r:id="rId40"/>
    <externalReference r:id="rId41"/>
    <externalReference r:id="rId42"/>
  </externalReferences>
  <definedNames>
    <definedName name="__Q4" localSheetId="33" hidden="1">{#N/A,#N/A,FALSE,"Sheet2";#N/A,#N/A,FALSE,"Outcomes";#N/A,#N/A,FALSE,"Outcomes-AP";#N/A,#N/A,FALSE,"Outcomes-AP2";#N/A,#N/A,FALSE,"Outcomes-AP3";#N/A,#N/A,FALSE,"Outcomes-Inst";#N/A,#N/A,FALSE,"Outcomes-Inst2";#N/A,#N/A,FALSE,"Outcomes-Inst3"}</definedName>
    <definedName name="__Q4" localSheetId="1"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34" hidden="1">County!$A$1:$A$101</definedName>
    <definedName name="_xlnm._FilterDatabase" localSheetId="31" hidden="1">'OVERALL SUMMARY'!$M$6:$M$133</definedName>
    <definedName name="_Q4" localSheetId="33" hidden="1">{#N/A,#N/A,FALSE,"Sheet2";#N/A,#N/A,FALSE,"Outcomes";#N/A,#N/A,FALSE,"Outcomes-AP";#N/A,#N/A,FALSE,"Outcomes-AP2";#N/A,#N/A,FALSE,"Outcomes-AP3";#N/A,#N/A,FALSE,"Outcomes-Inst";#N/A,#N/A,FALSE,"Outcomes-Inst2";#N/A,#N/A,FALSE,"Outcomes-Inst3"}</definedName>
    <definedName name="_Q4" localSheetId="1"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County">'County List'!$A$1:$A$100</definedName>
    <definedName name="CST_ASAM" localSheetId="28">#REF!</definedName>
    <definedName name="CST_ASAM" localSheetId="26">#REF!</definedName>
    <definedName name="CST_ASAM" localSheetId="20">#REF!</definedName>
    <definedName name="CST_ASAM" localSheetId="24">#REF!</definedName>
    <definedName name="CST_ASAM" localSheetId="25">#REF!</definedName>
    <definedName name="CST_ASAM" localSheetId="22">#REF!</definedName>
    <definedName name="CST_ASAM" localSheetId="16">#REF!</definedName>
    <definedName name="CST_ASAM" localSheetId="17">#REF!</definedName>
    <definedName name="CST_ASAM" localSheetId="13">#REF!</definedName>
    <definedName name="CST_ASAM" localSheetId="12">#REF!</definedName>
    <definedName name="CST_ASAM" localSheetId="11">#REF!</definedName>
    <definedName name="CST_ASAM" localSheetId="10">#REF!</definedName>
    <definedName name="CST_ASAM" localSheetId="8">#REF!</definedName>
    <definedName name="CST_ASAM">#REF!</definedName>
    <definedName name="Diagnoses" localSheetId="34">'[4]Diagnosis by Population fy04-05'!$A$2:$AD$512</definedName>
    <definedName name="Diagnoses">'[5]Diagnosis by Population fy04-05'!$A$2:$AD$512</definedName>
    <definedName name="DX" localSheetId="34">'[4]Diagnosis by Population fy04-05'!$A$3:$A$512</definedName>
    <definedName name="DX">'[5]Diagnosis by Population fy04-05'!$A$3:$A$512</definedName>
    <definedName name="FBC_ASAM" localSheetId="28">#REF!</definedName>
    <definedName name="FBC_ASAM" localSheetId="26">#REF!</definedName>
    <definedName name="FBC_ASAM" localSheetId="20">#REF!</definedName>
    <definedName name="FBC_ASAM" localSheetId="24">#REF!</definedName>
    <definedName name="FBC_ASAM" localSheetId="25">#REF!</definedName>
    <definedName name="FBC_ASAM" localSheetId="22">#REF!</definedName>
    <definedName name="FBC_ASAM" localSheetId="16">#REF!</definedName>
    <definedName name="FBC_ASAM" localSheetId="17">#REF!</definedName>
    <definedName name="FBC_ASAM" localSheetId="13">#REF!</definedName>
    <definedName name="FBC_ASAM" localSheetId="12">#REF!</definedName>
    <definedName name="FBC_ASAM" localSheetId="11">#REF!</definedName>
    <definedName name="FBC_ASAM" localSheetId="10">#REF!</definedName>
    <definedName name="FBC_ASAM" localSheetId="8">#REF!</definedName>
    <definedName name="FBC_ASAM">#REF!</definedName>
    <definedName name="IESummary">'[6]I&amp;E Summary Data'!$A$5:$U$218</definedName>
    <definedName name="LME_MCO" localSheetId="33">'[7]Data Validation'!$A$5:$A$15</definedName>
    <definedName name="LME_MCO">'Data Validation'!$A$5:$A$11</definedName>
    <definedName name="OLE_LINK1" localSheetId="3">Guidelines!#REF!</definedName>
    <definedName name="Outpatient_Adult_ASAM" localSheetId="28">#REF!</definedName>
    <definedName name="Outpatient_Adult_ASAM" localSheetId="26">#REF!</definedName>
    <definedName name="Outpatient_Adult_ASAM" localSheetId="20">#REF!</definedName>
    <definedName name="Outpatient_Adult_ASAM" localSheetId="24">#REF!</definedName>
    <definedName name="Outpatient_Adult_ASAM" localSheetId="25">#REF!</definedName>
    <definedName name="Outpatient_Adult_ASAM" localSheetId="22">#REF!</definedName>
    <definedName name="Outpatient_Adult_ASAM" localSheetId="16">#REF!</definedName>
    <definedName name="Outpatient_Adult_ASAM" localSheetId="17">#REF!</definedName>
    <definedName name="Outpatient_Adult_ASAM" localSheetId="13">#REF!</definedName>
    <definedName name="Outpatient_Adult_ASAM" localSheetId="12">#REF!</definedName>
    <definedName name="Outpatient_Adult_ASAM" localSheetId="11">#REF!</definedName>
    <definedName name="Outpatient_Adult_ASAM" localSheetId="10">#REF!</definedName>
    <definedName name="Outpatient_Adult_ASAM" localSheetId="8">#REF!</definedName>
    <definedName name="Outpatient_Adult_ASAM">#REF!</definedName>
    <definedName name="_xlnm.Print_Area" localSheetId="29">'CAET Continuation'!$A$1:$M$34</definedName>
    <definedName name="_xlnm.Print_Area" localSheetId="27">'CAET Initial'!$A$1:$M$37</definedName>
    <definedName name="_xlnm.Print_Area" localSheetId="21">'Day Activity Continuation'!$A$1:$M$41</definedName>
    <definedName name="_xlnm.Print_Area" localSheetId="19">'Day Activity Initial'!$A$1:$M$38</definedName>
    <definedName name="_xlnm.Print_Area" localSheetId="25">'Day Supports Continuation)'!$A$1:$M$36</definedName>
    <definedName name="_xlnm.Print_Area" localSheetId="23">'Day Supports Initial'!$A$1:$M$33</definedName>
    <definedName name="_xlnm.Print_Area" localSheetId="17">'Dev Day Continuation'!$A$1:$M$34</definedName>
    <definedName name="_xlnm.Print_Area" localSheetId="15">'Dev Day Initial'!$A$1:$M$33</definedName>
    <definedName name="_xlnm.Print_Area" localSheetId="2">Instructions!$A$1:$K$112</definedName>
    <definedName name="_xlnm.Print_Area" localSheetId="13">'LTVS Continuation'!$A$1:$M$29</definedName>
    <definedName name="_xlnm.Print_Area" localSheetId="11">'LTVS Initial'!$A$1:$M$31</definedName>
    <definedName name="_xlnm.Print_Area" localSheetId="31">'OVERALL SUMMARY'!$A$1:$L$123</definedName>
    <definedName name="_xlnm.Print_Area" localSheetId="9">'Support Employ Continuation'!$A$1:$M$29</definedName>
    <definedName name="_xlnm.Print_Area" localSheetId="7">'Support Employ Initial'!$A$1:$M$32</definedName>
    <definedName name="_xlnm.Print_Area" localSheetId="4">'Workbook Set-up'!$A$3:$B$33</definedName>
    <definedName name="_xlnm.Print_Titles" localSheetId="29">'CAET Continuation'!$A:$B,'CAET Continuation'!$1:$8</definedName>
    <definedName name="_xlnm.Print_Titles" localSheetId="28">'CAET Continuation Eli'!$A:$B,'CAET Continuation Eli'!$2:$11</definedName>
    <definedName name="_xlnm.Print_Titles" localSheetId="27">'CAET Initial'!$A:$B,'CAET Initial'!$1:$8</definedName>
    <definedName name="_xlnm.Print_Titles" localSheetId="26">'CAET Initial Eligibil'!$A:$B,'CAET Initial Eligibil'!$2:$11</definedName>
    <definedName name="_xlnm.Print_Titles" localSheetId="32">'Data Extraction (1)'!$1:$7</definedName>
    <definedName name="_xlnm.Print_Titles" localSheetId="33">'Data Extraction (2)'!$A:$C</definedName>
    <definedName name="_xlnm.Print_Titles" localSheetId="20">'Day Activity Cont Eligibilit'!$A:$B,'Day Activity Cont Eligibilit'!$2:$11</definedName>
    <definedName name="_xlnm.Print_Titles" localSheetId="21">'Day Activity Continuation'!$A:$B,'Day Activity Continuation'!$1:$8</definedName>
    <definedName name="_xlnm.Print_Titles" localSheetId="19">'Day Activity Initial'!$A:$B,'Day Activity Initial'!$1:$8</definedName>
    <definedName name="_xlnm.Print_Titles" localSheetId="18">'Day Activity Initial Eligibi'!$A:$B,'Day Activity Initial Eligibi'!$2:$11</definedName>
    <definedName name="_xlnm.Print_Titles" localSheetId="24">'Day Supports Continuation Eli'!$A:$B,'Day Supports Continuation Eli'!$2:$11</definedName>
    <definedName name="_xlnm.Print_Titles" localSheetId="25">'Day Supports Continuation)'!$A:$B,'Day Supports Continuation)'!$1:$8</definedName>
    <definedName name="_xlnm.Print_Titles" localSheetId="23">'Day Supports Initial'!$A:$B,'Day Supports Initial'!$1:$8</definedName>
    <definedName name="_xlnm.Print_Titles" localSheetId="22">'Day Supports Initial Eligibil'!$A:$B,'Day Supports Initial Eligibil'!$2:$11</definedName>
    <definedName name="_xlnm.Print_Titles" localSheetId="16">'Dev Day Cont Eligibilit'!$A:$B,'Dev Day Cont Eligibilit'!$2:$11</definedName>
    <definedName name="_xlnm.Print_Titles" localSheetId="17">'Dev Day Continuation'!$A:$B,'Dev Day Continuation'!$1:$8</definedName>
    <definedName name="_xlnm.Print_Titles" localSheetId="15">'Dev Day Initial'!$A:$B,'Dev Day Initial'!$1:$8</definedName>
    <definedName name="_xlnm.Print_Titles" localSheetId="14">'Dev Day Initial Eligibil'!$A:$B,'Dev Day Initial Eligibil'!$2:$11</definedName>
    <definedName name="_xlnm.Print_Titles" localSheetId="13">'LTVS Continuation'!$A:$B,'LTVS Continuation'!$1:$8</definedName>
    <definedName name="_xlnm.Print_Titles" localSheetId="12">'LTVS Continuation Elig'!$A:$B,'LTVS Continuation Elig'!$2:$11</definedName>
    <definedName name="_xlnm.Print_Titles" localSheetId="11">'LTVS Initial'!$A:$B,'LTVS Initial'!$1:$8</definedName>
    <definedName name="_xlnm.Print_Titles" localSheetId="10">'LTVS Initial Elig'!$A:$B,'LTVS Initial Elig'!$2:$11</definedName>
    <definedName name="_xlnm.Print_Titles" localSheetId="31">'OVERALL SUMMARY'!$1:$5</definedName>
    <definedName name="_xlnm.Print_Titles" localSheetId="30">'POC Summary'!$70:$80</definedName>
    <definedName name="_xlnm.Print_Titles" localSheetId="8">'Support Employ Cont Eligibilit'!$A:$B,'Support Employ Cont Eligibilit'!$2:$11</definedName>
    <definedName name="_xlnm.Print_Titles" localSheetId="9">'Support Employ Continuation'!$A:$B,'Support Employ Continuation'!$1:$8</definedName>
    <definedName name="_xlnm.Print_Titles" localSheetId="7">'Support Employ Initial'!$A:$B,'Support Employ Initial'!$1:$8</definedName>
    <definedName name="_xlnm.Print_Titles" localSheetId="6">'Support Employ Initial Eligibil'!$A:$B,'Support Employ Initial Eligibil'!$2:$11</definedName>
    <definedName name="_xlnm.Print_Titles" localSheetId="4">'Workbook Set-up'!$4:$15</definedName>
    <definedName name="SAIOP_Adolescent_ASAM" localSheetId="28">#REF!</definedName>
    <definedName name="SAIOP_Adolescent_ASAM" localSheetId="26">#REF!</definedName>
    <definedName name="SAIOP_Adolescent_ASAM" localSheetId="20">#REF!</definedName>
    <definedName name="SAIOP_Adolescent_ASAM" localSheetId="24">#REF!</definedName>
    <definedName name="SAIOP_Adolescent_ASAM" localSheetId="25">#REF!</definedName>
    <definedName name="SAIOP_Adolescent_ASAM" localSheetId="22">#REF!</definedName>
    <definedName name="SAIOP_Adolescent_ASAM" localSheetId="16">#REF!</definedName>
    <definedName name="SAIOP_Adolescent_ASAM" localSheetId="17">#REF!</definedName>
    <definedName name="SAIOP_Adolescent_ASAM" localSheetId="13">#REF!</definedName>
    <definedName name="SAIOP_Adolescent_ASAM" localSheetId="12">#REF!</definedName>
    <definedName name="SAIOP_Adolescent_ASAM" localSheetId="11">#REF!</definedName>
    <definedName name="SAIOP_Adolescent_ASAM" localSheetId="10">#REF!</definedName>
    <definedName name="SAIOP_Adolescent_ASAM" localSheetId="8">#REF!</definedName>
    <definedName name="SAIOP_Adolescent_ASAM">#REF!</definedName>
    <definedName name="SAIOP_Adolescents_ASAM" localSheetId="28">#REF!</definedName>
    <definedName name="SAIOP_Adolescents_ASAM" localSheetId="26">#REF!</definedName>
    <definedName name="SAIOP_Adolescents_ASAM" localSheetId="20">#REF!</definedName>
    <definedName name="SAIOP_Adolescents_ASAM" localSheetId="24">#REF!</definedName>
    <definedName name="SAIOP_Adolescents_ASAM" localSheetId="25">#REF!</definedName>
    <definedName name="SAIOP_Adolescents_ASAM" localSheetId="22">#REF!</definedName>
    <definedName name="SAIOP_Adolescents_ASAM" localSheetId="16">#REF!</definedName>
    <definedName name="SAIOP_Adolescents_ASAM" localSheetId="17">#REF!</definedName>
    <definedName name="SAIOP_Adolescents_ASAM" localSheetId="13">#REF!</definedName>
    <definedName name="SAIOP_Adolescents_ASAM" localSheetId="12">#REF!</definedName>
    <definedName name="SAIOP_Adolescents_ASAM" localSheetId="11">#REF!</definedName>
    <definedName name="SAIOP_Adolescents_ASAM" localSheetId="10">#REF!</definedName>
    <definedName name="SAIOP_Adolescents_ASAM" localSheetId="8">#REF!</definedName>
    <definedName name="SAIOP_Adolescents_ASAM">#REF!</definedName>
    <definedName name="SAIOP_Adult_ASAM" localSheetId="28">#REF!</definedName>
    <definedName name="SAIOP_Adult_ASAM" localSheetId="26">#REF!</definedName>
    <definedName name="SAIOP_Adult_ASAM" localSheetId="20">#REF!</definedName>
    <definedName name="SAIOP_Adult_ASAM" localSheetId="24">#REF!</definedName>
    <definedName name="SAIOP_Adult_ASAM" localSheetId="25">#REF!</definedName>
    <definedName name="SAIOP_Adult_ASAM" localSheetId="22">#REF!</definedName>
    <definedName name="SAIOP_Adult_ASAM" localSheetId="16">#REF!</definedName>
    <definedName name="SAIOP_Adult_ASAM" localSheetId="17">#REF!</definedName>
    <definedName name="SAIOP_Adult_ASAM" localSheetId="13">#REF!</definedName>
    <definedName name="SAIOP_Adult_ASAM" localSheetId="12">#REF!</definedName>
    <definedName name="SAIOP_Adult_ASAM" localSheetId="11">#REF!</definedName>
    <definedName name="SAIOP_Adult_ASAM" localSheetId="10">#REF!</definedName>
    <definedName name="SAIOP_Adult_ASAM" localSheetId="8">#REF!</definedName>
    <definedName name="SAIOP_Adult_ASAM">#REF!</definedName>
    <definedName name="Service_Category" localSheetId="29">#REF!</definedName>
    <definedName name="Service_Category" localSheetId="28">#REF!</definedName>
    <definedName name="Service_Category" localSheetId="27">#REF!</definedName>
    <definedName name="Service_Category" localSheetId="26">#REF!</definedName>
    <definedName name="Service_Category" localSheetId="33">#REF!</definedName>
    <definedName name="Service_Category" localSheetId="20">#REF!</definedName>
    <definedName name="Service_Category" localSheetId="21">#REF!</definedName>
    <definedName name="Service_Category" localSheetId="19">#REF!</definedName>
    <definedName name="Service_Category" localSheetId="18">#REF!</definedName>
    <definedName name="Service_Category" localSheetId="24">#REF!</definedName>
    <definedName name="Service_Category" localSheetId="25">#REF!</definedName>
    <definedName name="Service_Category" localSheetId="23">#REF!</definedName>
    <definedName name="Service_Category" localSheetId="22">#REF!</definedName>
    <definedName name="Service_Category" localSheetId="16">#REF!</definedName>
    <definedName name="Service_Category" localSheetId="17">#REF!</definedName>
    <definedName name="Service_Category" localSheetId="15">#REF!</definedName>
    <definedName name="Service_Category" localSheetId="14">#REF!</definedName>
    <definedName name="Service_Category" localSheetId="13">#REF!</definedName>
    <definedName name="Service_Category" localSheetId="12">#REF!</definedName>
    <definedName name="Service_Category" localSheetId="11">#REF!</definedName>
    <definedName name="Service_Category" localSheetId="10">#REF!</definedName>
    <definedName name="Service_Category" localSheetId="8">#REF!</definedName>
    <definedName name="Service_Category" localSheetId="9">#REF!</definedName>
    <definedName name="Service_Category" localSheetId="7">#REF!</definedName>
    <definedName name="Service_Category" localSheetId="6">#REF!</definedName>
    <definedName name="Service_Category">#REF!</definedName>
    <definedName name="test" localSheetId="33" hidden="1">{#N/A,#N/A,FALSE,"Sheet2";#N/A,#N/A,FALSE,"Outcomes";#N/A,#N/A,FALSE,"Outcomes-AP";#N/A,#N/A,FALSE,"Outcomes-AP2";#N/A,#N/A,FALSE,"Outcomes-AP3";#N/A,#N/A,FALSE,"Outcomes-Inst";#N/A,#N/A,FALSE,"Outcomes-Inst2";#N/A,#N/A,FALSE,"Outcomes-Inst3"}</definedName>
    <definedName name="test" localSheetId="1"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33" hidden="1">{#N/A,#N/A,FALSE,"Sheet2";#N/A,#N/A,FALSE,"Outcomes";#N/A,#N/A,FALSE,"Outcomes-AP";#N/A,#N/A,FALSE,"Outcomes-AP2";#N/A,#N/A,FALSE,"Outcomes-AP3";#N/A,#N/A,FALSE,"Outcomes-Inst";#N/A,#N/A,FALSE,"Outcomes-Inst2";#N/A,#N/A,FALSE,"Outcomes-Inst3"}</definedName>
    <definedName name="test2" localSheetId="1"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33" hidden="1">{#N/A,#N/A,FALSE,"Sheet2";#N/A,#N/A,FALSE,"Outcomes";#N/A,#N/A,FALSE,"Outcomes-AP";#N/A,#N/A,FALSE,"Outcomes-AP2";#N/A,#N/A,FALSE,"Outcomes-AP3";#N/A,#N/A,FALSE,"Outcomes-Inst";#N/A,#N/A,FALSE,"Outcomes-Inst2";#N/A,#N/A,FALSE,"Outcomes-Inst3"}</definedName>
    <definedName name="test3" localSheetId="1"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 name="Z_2A3E70A9_51A3_4722_9775_16DBEA0F14B3_.wvu.Cols" localSheetId="30" hidden="1">'POC Summary'!$J:$K</definedName>
    <definedName name="Z_2A3E70A9_51A3_4722_9775_16DBEA0F14B3_.wvu.Cols" localSheetId="4" hidden="1">'Workbook Set-up'!$C:$D</definedName>
    <definedName name="Z_2A3E70A9_51A3_4722_9775_16DBEA0F14B3_.wvu.FilterData" localSheetId="34" hidden="1">County!$A$1:$A$101</definedName>
    <definedName name="Z_2A3E70A9_51A3_4722_9775_16DBEA0F14B3_.wvu.FilterData" localSheetId="31" hidden="1">'OVERALL SUMMARY'!$M$6:$M$123</definedName>
    <definedName name="Z_2A3E70A9_51A3_4722_9775_16DBEA0F14B3_.wvu.PrintArea" localSheetId="29" hidden="1">'CAET Continuation'!$A$1:$M$34</definedName>
    <definedName name="Z_2A3E70A9_51A3_4722_9775_16DBEA0F14B3_.wvu.PrintArea" localSheetId="27" hidden="1">'CAET Initial'!$A$1:$M$37</definedName>
    <definedName name="Z_2A3E70A9_51A3_4722_9775_16DBEA0F14B3_.wvu.PrintArea" localSheetId="21" hidden="1">'Day Activity Continuation'!$A$1:$M$41</definedName>
    <definedName name="Z_2A3E70A9_51A3_4722_9775_16DBEA0F14B3_.wvu.PrintArea" localSheetId="19" hidden="1">'Day Activity Initial'!$A$1:$M$38</definedName>
    <definedName name="Z_2A3E70A9_51A3_4722_9775_16DBEA0F14B3_.wvu.PrintArea" localSheetId="25" hidden="1">'Day Supports Continuation)'!$A$1:$M$36</definedName>
    <definedName name="Z_2A3E70A9_51A3_4722_9775_16DBEA0F14B3_.wvu.PrintArea" localSheetId="23" hidden="1">'Day Supports Initial'!$A$1:$M$33</definedName>
    <definedName name="Z_2A3E70A9_51A3_4722_9775_16DBEA0F14B3_.wvu.PrintArea" localSheetId="17" hidden="1">'Dev Day Continuation'!$A$1:$M$34</definedName>
    <definedName name="Z_2A3E70A9_51A3_4722_9775_16DBEA0F14B3_.wvu.PrintArea" localSheetId="15" hidden="1">'Dev Day Initial'!$A$1:$M$33</definedName>
    <definedName name="Z_2A3E70A9_51A3_4722_9775_16DBEA0F14B3_.wvu.PrintArea" localSheetId="2" hidden="1">Instructions!$A$1:$K$112</definedName>
    <definedName name="Z_2A3E70A9_51A3_4722_9775_16DBEA0F14B3_.wvu.PrintArea" localSheetId="13" hidden="1">'LTVS Continuation'!$A$1:$M$29</definedName>
    <definedName name="Z_2A3E70A9_51A3_4722_9775_16DBEA0F14B3_.wvu.PrintArea" localSheetId="11" hidden="1">'LTVS Initial'!$A$1:$M$31</definedName>
    <definedName name="Z_2A3E70A9_51A3_4722_9775_16DBEA0F14B3_.wvu.PrintArea" localSheetId="31" hidden="1">'OVERALL SUMMARY'!$A$1:$L$123</definedName>
    <definedName name="Z_2A3E70A9_51A3_4722_9775_16DBEA0F14B3_.wvu.PrintArea" localSheetId="9" hidden="1">'Support Employ Continuation'!$A$1:$M$29</definedName>
    <definedName name="Z_2A3E70A9_51A3_4722_9775_16DBEA0F14B3_.wvu.PrintArea" localSheetId="7" hidden="1">'Support Employ Initial'!$A$1:$M$32</definedName>
    <definedName name="Z_2A3E70A9_51A3_4722_9775_16DBEA0F14B3_.wvu.PrintArea" localSheetId="4" hidden="1">'Workbook Set-up'!$A$3:$B$33</definedName>
    <definedName name="Z_2A3E70A9_51A3_4722_9775_16DBEA0F14B3_.wvu.PrintTitles" localSheetId="29" hidden="1">'CAET Continuation'!$A:$B,'CAET Continuation'!$1:$8</definedName>
    <definedName name="Z_2A3E70A9_51A3_4722_9775_16DBEA0F14B3_.wvu.PrintTitles" localSheetId="28" hidden="1">'CAET Continuation Eli'!$A:$B,'CAET Continuation Eli'!$2:$11</definedName>
    <definedName name="Z_2A3E70A9_51A3_4722_9775_16DBEA0F14B3_.wvu.PrintTitles" localSheetId="27" hidden="1">'CAET Initial'!$A:$B,'CAET Initial'!$1:$8</definedName>
    <definedName name="Z_2A3E70A9_51A3_4722_9775_16DBEA0F14B3_.wvu.PrintTitles" localSheetId="26" hidden="1">'CAET Initial Eligibil'!$A:$B,'CAET Initial Eligibil'!$2:$11</definedName>
    <definedName name="Z_2A3E70A9_51A3_4722_9775_16DBEA0F14B3_.wvu.PrintTitles" localSheetId="32" hidden="1">'Data Extraction (1)'!$1:$7</definedName>
    <definedName name="Z_2A3E70A9_51A3_4722_9775_16DBEA0F14B3_.wvu.PrintTitles" localSheetId="33" hidden="1">'Data Extraction (2)'!$A:$C</definedName>
    <definedName name="Z_2A3E70A9_51A3_4722_9775_16DBEA0F14B3_.wvu.PrintTitles" localSheetId="20" hidden="1">'Day Activity Cont Eligibilit'!$A:$B,'Day Activity Cont Eligibilit'!$2:$11</definedName>
    <definedName name="Z_2A3E70A9_51A3_4722_9775_16DBEA0F14B3_.wvu.PrintTitles" localSheetId="21" hidden="1">'Day Activity Continuation'!$A:$B,'Day Activity Continuation'!$1:$8</definedName>
    <definedName name="Z_2A3E70A9_51A3_4722_9775_16DBEA0F14B3_.wvu.PrintTitles" localSheetId="19" hidden="1">'Day Activity Initial'!$A:$B,'Day Activity Initial'!$1:$8</definedName>
    <definedName name="Z_2A3E70A9_51A3_4722_9775_16DBEA0F14B3_.wvu.PrintTitles" localSheetId="18" hidden="1">'Day Activity Initial Eligibi'!$A:$B,'Day Activity Initial Eligibi'!$2:$11</definedName>
    <definedName name="Z_2A3E70A9_51A3_4722_9775_16DBEA0F14B3_.wvu.PrintTitles" localSheetId="24" hidden="1">'Day Supports Continuation Eli'!$A:$B,'Day Supports Continuation Eli'!$2:$11</definedName>
    <definedName name="Z_2A3E70A9_51A3_4722_9775_16DBEA0F14B3_.wvu.PrintTitles" localSheetId="25" hidden="1">'Day Supports Continuation)'!$A:$B,'Day Supports Continuation)'!$1:$8</definedName>
    <definedName name="Z_2A3E70A9_51A3_4722_9775_16DBEA0F14B3_.wvu.PrintTitles" localSheetId="23" hidden="1">'Day Supports Initial'!$A:$B,'Day Supports Initial'!$1:$8</definedName>
    <definedName name="Z_2A3E70A9_51A3_4722_9775_16DBEA0F14B3_.wvu.PrintTitles" localSheetId="22" hidden="1">'Day Supports Initial Eligibil'!$A:$B,'Day Supports Initial Eligibil'!$2:$11</definedName>
    <definedName name="Z_2A3E70A9_51A3_4722_9775_16DBEA0F14B3_.wvu.PrintTitles" localSheetId="16" hidden="1">'Dev Day Cont Eligibilit'!$A:$B,'Dev Day Cont Eligibilit'!$2:$11</definedName>
    <definedName name="Z_2A3E70A9_51A3_4722_9775_16DBEA0F14B3_.wvu.PrintTitles" localSheetId="17" hidden="1">'Dev Day Continuation'!$A:$B,'Dev Day Continuation'!$1:$8</definedName>
    <definedName name="Z_2A3E70A9_51A3_4722_9775_16DBEA0F14B3_.wvu.PrintTitles" localSheetId="15" hidden="1">'Dev Day Initial'!$A:$B,'Dev Day Initial'!$1:$8</definedName>
    <definedName name="Z_2A3E70A9_51A3_4722_9775_16DBEA0F14B3_.wvu.PrintTitles" localSheetId="14" hidden="1">'Dev Day Initial Eligibil'!$A:$B,'Dev Day Initial Eligibil'!$2:$11</definedName>
    <definedName name="Z_2A3E70A9_51A3_4722_9775_16DBEA0F14B3_.wvu.PrintTitles" localSheetId="13" hidden="1">'LTVS Continuation'!$A:$B,'LTVS Continuation'!$1:$8</definedName>
    <definedName name="Z_2A3E70A9_51A3_4722_9775_16DBEA0F14B3_.wvu.PrintTitles" localSheetId="12" hidden="1">'LTVS Continuation Elig'!$A:$B,'LTVS Continuation Elig'!$2:$11</definedName>
    <definedName name="Z_2A3E70A9_51A3_4722_9775_16DBEA0F14B3_.wvu.PrintTitles" localSheetId="11" hidden="1">'LTVS Initial'!$A:$B,'LTVS Initial'!$1:$8</definedName>
    <definedName name="Z_2A3E70A9_51A3_4722_9775_16DBEA0F14B3_.wvu.PrintTitles" localSheetId="10" hidden="1">'LTVS Initial Elig'!$A:$B,'LTVS Initial Elig'!$2:$11</definedName>
    <definedName name="Z_2A3E70A9_51A3_4722_9775_16DBEA0F14B3_.wvu.PrintTitles" localSheetId="31" hidden="1">'OVERALL SUMMARY'!$1:$5</definedName>
    <definedName name="Z_2A3E70A9_51A3_4722_9775_16DBEA0F14B3_.wvu.PrintTitles" localSheetId="30" hidden="1">'POC Summary'!$70:$80</definedName>
    <definedName name="Z_2A3E70A9_51A3_4722_9775_16DBEA0F14B3_.wvu.PrintTitles" localSheetId="8" hidden="1">'Support Employ Cont Eligibilit'!$A:$B,'Support Employ Cont Eligibilit'!$2:$11</definedName>
    <definedName name="Z_2A3E70A9_51A3_4722_9775_16DBEA0F14B3_.wvu.PrintTitles" localSheetId="9" hidden="1">'Support Employ Continuation'!$A:$B,'Support Employ Continuation'!$1:$8</definedName>
    <definedName name="Z_2A3E70A9_51A3_4722_9775_16DBEA0F14B3_.wvu.PrintTitles" localSheetId="7" hidden="1">'Support Employ Initial'!$A:$B,'Support Employ Initial'!$1:$8</definedName>
    <definedName name="Z_2A3E70A9_51A3_4722_9775_16DBEA0F14B3_.wvu.PrintTitles" localSheetId="6" hidden="1">'Support Employ Initial Eligibil'!$A:$B,'Support Employ Initial Eligibil'!$2:$11</definedName>
    <definedName name="Z_2A3E70A9_51A3_4722_9775_16DBEA0F14B3_.wvu.PrintTitles" localSheetId="4" hidden="1">'Workbook Set-up'!$4:$15</definedName>
    <definedName name="Z_A13B25D0_B104_46DD_B5CC_B628EEB53163_.wvu.Cols" localSheetId="30" hidden="1">'POC Summary'!$J:$K</definedName>
    <definedName name="Z_A13B25D0_B104_46DD_B5CC_B628EEB53163_.wvu.Cols" localSheetId="4" hidden="1">'Workbook Set-up'!$C:$D</definedName>
    <definedName name="Z_A13B25D0_B104_46DD_B5CC_B628EEB53163_.wvu.FilterData" localSheetId="34" hidden="1">County!$A$1:$A$101</definedName>
    <definedName name="Z_A13B25D0_B104_46DD_B5CC_B628EEB53163_.wvu.FilterData" localSheetId="31" hidden="1">'OVERALL SUMMARY'!$M$6:$M$123</definedName>
    <definedName name="Z_A13B25D0_B104_46DD_B5CC_B628EEB53163_.wvu.PrintArea" localSheetId="29" hidden="1">'CAET Continuation'!$A$1:$M$34</definedName>
    <definedName name="Z_A13B25D0_B104_46DD_B5CC_B628EEB53163_.wvu.PrintArea" localSheetId="27" hidden="1">'CAET Initial'!$A$1:$M$37</definedName>
    <definedName name="Z_A13B25D0_B104_46DD_B5CC_B628EEB53163_.wvu.PrintArea" localSheetId="21" hidden="1">'Day Activity Continuation'!$A$1:$M$41</definedName>
    <definedName name="Z_A13B25D0_B104_46DD_B5CC_B628EEB53163_.wvu.PrintArea" localSheetId="19" hidden="1">'Day Activity Initial'!$A$1:$M$38</definedName>
    <definedName name="Z_A13B25D0_B104_46DD_B5CC_B628EEB53163_.wvu.PrintArea" localSheetId="25" hidden="1">'Day Supports Continuation)'!$A$1:$M$36</definedName>
    <definedName name="Z_A13B25D0_B104_46DD_B5CC_B628EEB53163_.wvu.PrintArea" localSheetId="23" hidden="1">'Day Supports Initial'!$A$1:$M$33</definedName>
    <definedName name="Z_A13B25D0_B104_46DD_B5CC_B628EEB53163_.wvu.PrintArea" localSheetId="17" hidden="1">'Dev Day Continuation'!$A$1:$M$34</definedName>
    <definedName name="Z_A13B25D0_B104_46DD_B5CC_B628EEB53163_.wvu.PrintArea" localSheetId="15" hidden="1">'Dev Day Initial'!$A$1:$M$33</definedName>
    <definedName name="Z_A13B25D0_B104_46DD_B5CC_B628EEB53163_.wvu.PrintArea" localSheetId="2" hidden="1">Instructions!$A$1:$K$112</definedName>
    <definedName name="Z_A13B25D0_B104_46DD_B5CC_B628EEB53163_.wvu.PrintArea" localSheetId="13" hidden="1">'LTVS Continuation'!$A$1:$M$29</definedName>
    <definedName name="Z_A13B25D0_B104_46DD_B5CC_B628EEB53163_.wvu.PrintArea" localSheetId="11" hidden="1">'LTVS Initial'!$A$1:$M$31</definedName>
    <definedName name="Z_A13B25D0_B104_46DD_B5CC_B628EEB53163_.wvu.PrintArea" localSheetId="31" hidden="1">'OVERALL SUMMARY'!$A$1:$L$123</definedName>
    <definedName name="Z_A13B25D0_B104_46DD_B5CC_B628EEB53163_.wvu.PrintArea" localSheetId="9" hidden="1">'Support Employ Continuation'!$A$1:$M$29</definedName>
    <definedName name="Z_A13B25D0_B104_46DD_B5CC_B628EEB53163_.wvu.PrintArea" localSheetId="7" hidden="1">'Support Employ Initial'!$A$1:$M$32</definedName>
    <definedName name="Z_A13B25D0_B104_46DD_B5CC_B628EEB53163_.wvu.PrintArea" localSheetId="4" hidden="1">'Workbook Set-up'!$A$3:$B$33</definedName>
    <definedName name="Z_A13B25D0_B104_46DD_B5CC_B628EEB53163_.wvu.PrintTitles" localSheetId="29" hidden="1">'CAET Continuation'!$A:$B,'CAET Continuation'!$1:$8</definedName>
    <definedName name="Z_A13B25D0_B104_46DD_B5CC_B628EEB53163_.wvu.PrintTitles" localSheetId="28" hidden="1">'CAET Continuation Eli'!$A:$B,'CAET Continuation Eli'!$2:$11</definedName>
    <definedName name="Z_A13B25D0_B104_46DD_B5CC_B628EEB53163_.wvu.PrintTitles" localSheetId="27" hidden="1">'CAET Initial'!$A:$B,'CAET Initial'!$1:$8</definedName>
    <definedName name="Z_A13B25D0_B104_46DD_B5CC_B628EEB53163_.wvu.PrintTitles" localSheetId="26" hidden="1">'CAET Initial Eligibil'!$A:$B,'CAET Initial Eligibil'!$2:$11</definedName>
    <definedName name="Z_A13B25D0_B104_46DD_B5CC_B628EEB53163_.wvu.PrintTitles" localSheetId="32" hidden="1">'Data Extraction (1)'!$1:$7</definedName>
    <definedName name="Z_A13B25D0_B104_46DD_B5CC_B628EEB53163_.wvu.PrintTitles" localSheetId="33" hidden="1">'Data Extraction (2)'!$A:$C</definedName>
    <definedName name="Z_A13B25D0_B104_46DD_B5CC_B628EEB53163_.wvu.PrintTitles" localSheetId="20" hidden="1">'Day Activity Cont Eligibilit'!$A:$B,'Day Activity Cont Eligibilit'!$2:$11</definedName>
    <definedName name="Z_A13B25D0_B104_46DD_B5CC_B628EEB53163_.wvu.PrintTitles" localSheetId="21" hidden="1">'Day Activity Continuation'!$A:$B,'Day Activity Continuation'!$1:$8</definedName>
    <definedName name="Z_A13B25D0_B104_46DD_B5CC_B628EEB53163_.wvu.PrintTitles" localSheetId="19" hidden="1">'Day Activity Initial'!$A:$B,'Day Activity Initial'!$1:$8</definedName>
    <definedName name="Z_A13B25D0_B104_46DD_B5CC_B628EEB53163_.wvu.PrintTitles" localSheetId="18" hidden="1">'Day Activity Initial Eligibi'!$A:$B,'Day Activity Initial Eligibi'!$2:$11</definedName>
    <definedName name="Z_A13B25D0_B104_46DD_B5CC_B628EEB53163_.wvu.PrintTitles" localSheetId="24" hidden="1">'Day Supports Continuation Eli'!$A:$B,'Day Supports Continuation Eli'!$2:$11</definedName>
    <definedName name="Z_A13B25D0_B104_46DD_B5CC_B628EEB53163_.wvu.PrintTitles" localSheetId="25" hidden="1">'Day Supports Continuation)'!$A:$B,'Day Supports Continuation)'!$1:$8</definedName>
    <definedName name="Z_A13B25D0_B104_46DD_B5CC_B628EEB53163_.wvu.PrintTitles" localSheetId="23" hidden="1">'Day Supports Initial'!$A:$B,'Day Supports Initial'!$1:$8</definedName>
    <definedName name="Z_A13B25D0_B104_46DD_B5CC_B628EEB53163_.wvu.PrintTitles" localSheetId="22" hidden="1">'Day Supports Initial Eligibil'!$A:$B,'Day Supports Initial Eligibil'!$2:$11</definedName>
    <definedName name="Z_A13B25D0_B104_46DD_B5CC_B628EEB53163_.wvu.PrintTitles" localSheetId="16" hidden="1">'Dev Day Cont Eligibilit'!$A:$B,'Dev Day Cont Eligibilit'!$2:$11</definedName>
    <definedName name="Z_A13B25D0_B104_46DD_B5CC_B628EEB53163_.wvu.PrintTitles" localSheetId="17" hidden="1">'Dev Day Continuation'!$A:$B,'Dev Day Continuation'!$1:$8</definedName>
    <definedName name="Z_A13B25D0_B104_46DD_B5CC_B628EEB53163_.wvu.PrintTitles" localSheetId="15" hidden="1">'Dev Day Initial'!$A:$B,'Dev Day Initial'!$1:$8</definedName>
    <definedName name="Z_A13B25D0_B104_46DD_B5CC_B628EEB53163_.wvu.PrintTitles" localSheetId="14" hidden="1">'Dev Day Initial Eligibil'!$A:$B,'Dev Day Initial Eligibil'!$2:$11</definedName>
    <definedName name="Z_A13B25D0_B104_46DD_B5CC_B628EEB53163_.wvu.PrintTitles" localSheetId="13" hidden="1">'LTVS Continuation'!$A:$B,'LTVS Continuation'!$1:$8</definedName>
    <definedName name="Z_A13B25D0_B104_46DD_B5CC_B628EEB53163_.wvu.PrintTitles" localSheetId="12" hidden="1">'LTVS Continuation Elig'!$A:$B,'LTVS Continuation Elig'!$2:$11</definedName>
    <definedName name="Z_A13B25D0_B104_46DD_B5CC_B628EEB53163_.wvu.PrintTitles" localSheetId="11" hidden="1">'LTVS Initial'!$A:$B,'LTVS Initial'!$1:$8</definedName>
    <definedName name="Z_A13B25D0_B104_46DD_B5CC_B628EEB53163_.wvu.PrintTitles" localSheetId="10" hidden="1">'LTVS Initial Elig'!$A:$B,'LTVS Initial Elig'!$2:$11</definedName>
    <definedName name="Z_A13B25D0_B104_46DD_B5CC_B628EEB53163_.wvu.PrintTitles" localSheetId="31" hidden="1">'OVERALL SUMMARY'!$1:$5</definedName>
    <definedName name="Z_A13B25D0_B104_46DD_B5CC_B628EEB53163_.wvu.PrintTitles" localSheetId="30" hidden="1">'POC Summary'!$70:$80</definedName>
    <definedName name="Z_A13B25D0_B104_46DD_B5CC_B628EEB53163_.wvu.PrintTitles" localSheetId="8" hidden="1">'Support Employ Cont Eligibilit'!$A:$B,'Support Employ Cont Eligibilit'!$2:$11</definedName>
    <definedName name="Z_A13B25D0_B104_46DD_B5CC_B628EEB53163_.wvu.PrintTitles" localSheetId="9" hidden="1">'Support Employ Continuation'!$A:$B,'Support Employ Continuation'!$1:$8</definedName>
    <definedName name="Z_A13B25D0_B104_46DD_B5CC_B628EEB53163_.wvu.PrintTitles" localSheetId="7" hidden="1">'Support Employ Initial'!$A:$B,'Support Employ Initial'!$1:$8</definedName>
    <definedName name="Z_A13B25D0_B104_46DD_B5CC_B628EEB53163_.wvu.PrintTitles" localSheetId="6" hidden="1">'Support Employ Initial Eligibil'!$A:$B,'Support Employ Initial Eligibil'!$2:$11</definedName>
    <definedName name="Z_A13B25D0_B104_46DD_B5CC_B628EEB53163_.wvu.PrintTitles" localSheetId="4" hidden="1">'Workbook Set-up'!$4:$15</definedName>
  </definedNames>
  <calcPr calcId="191029"/>
  <customWorkbookViews>
    <customWorkbookView name="Lewis, Mya - Personal View" guid="{2A3E70A9-51A3-4722-9775-16DBEA0F14B3}" mergeInterval="0" personalView="1" maximized="1" xWindow="-4" yWindow="-4" windowWidth="1928" windowHeight="1161" tabRatio="889" activeSheetId="4"/>
    <customWorkbookView name="Chancey, LaToya - Personal View" guid="{A13B25D0-B104-46DD-B5CC-B628EEB53163}" mergeInterval="0" personalView="1" maximized="1" xWindow="-9" yWindow="-9" windowWidth="1938" windowHeight="1051" tabRatio="889" activeSheetId="8" showComments="commIndAndComment"/>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47" i="29" l="1"/>
  <c r="J47" i="29"/>
  <c r="H47" i="29" s="1"/>
  <c r="K47" i="29"/>
  <c r="L47" i="29"/>
  <c r="I48" i="29"/>
  <c r="J48" i="29"/>
  <c r="H48" i="29" s="1"/>
  <c r="K48" i="29"/>
  <c r="L48" i="29"/>
  <c r="H49" i="29"/>
  <c r="I49" i="29"/>
  <c r="J49" i="29"/>
  <c r="K49" i="29"/>
  <c r="L49" i="29"/>
  <c r="L46" i="29"/>
  <c r="K46" i="29"/>
  <c r="J46" i="29"/>
  <c r="I46" i="29"/>
  <c r="L45" i="29"/>
  <c r="K45" i="29"/>
  <c r="J45" i="29"/>
  <c r="I45" i="29"/>
  <c r="J37" i="29"/>
  <c r="H37" i="29" s="1"/>
  <c r="K37" i="29"/>
  <c r="L37" i="29"/>
  <c r="J38" i="29"/>
  <c r="H38" i="29" s="1"/>
  <c r="K38" i="29"/>
  <c r="L38" i="29"/>
  <c r="L36" i="29"/>
  <c r="K36" i="29"/>
  <c r="J36" i="29"/>
  <c r="L28" i="29"/>
  <c r="K28" i="29"/>
  <c r="J28" i="29"/>
  <c r="I28" i="29"/>
  <c r="M51" i="29"/>
  <c r="M50" i="29"/>
  <c r="M49" i="29"/>
  <c r="M45" i="29"/>
  <c r="M44" i="29"/>
  <c r="M43" i="29"/>
  <c r="M42" i="29"/>
  <c r="M40" i="29"/>
  <c r="M39" i="29"/>
  <c r="M38" i="29"/>
  <c r="M35" i="29"/>
  <c r="M34" i="29"/>
  <c r="M33" i="29"/>
  <c r="M32" i="29"/>
  <c r="E118" i="28"/>
  <c r="E119" i="28"/>
  <c r="E120" i="28"/>
  <c r="F120" i="28" s="1"/>
  <c r="E117" i="28"/>
  <c r="F117" i="28" s="1"/>
  <c r="E116" i="28"/>
  <c r="F116" i="28" s="1"/>
  <c r="D9" i="40"/>
  <c r="E9" i="40"/>
  <c r="F9" i="40"/>
  <c r="G9" i="40"/>
  <c r="G11" i="40" s="1"/>
  <c r="G10" i="40" s="1"/>
  <c r="H9" i="40"/>
  <c r="F10" i="40"/>
  <c r="D11" i="40"/>
  <c r="D10" i="40" s="1"/>
  <c r="D22" i="40" s="1"/>
  <c r="E11" i="40"/>
  <c r="E10" i="40" s="1"/>
  <c r="F11" i="40"/>
  <c r="H11" i="40"/>
  <c r="H10" i="40" s="1"/>
  <c r="I15" i="40"/>
  <c r="K15" i="40"/>
  <c r="M15" i="40"/>
  <c r="M14" i="40"/>
  <c r="K14" i="40"/>
  <c r="I14" i="40"/>
  <c r="L14" i="40" s="1"/>
  <c r="M13" i="40"/>
  <c r="K13" i="40"/>
  <c r="I13" i="40"/>
  <c r="M12" i="40"/>
  <c r="K12" i="40"/>
  <c r="I12" i="40"/>
  <c r="E122" i="28"/>
  <c r="F118" i="28"/>
  <c r="E108" i="28"/>
  <c r="F108" i="28" s="1"/>
  <c r="E109" i="28"/>
  <c r="F109" i="28" s="1"/>
  <c r="E107" i="28"/>
  <c r="F107" i="28" s="1"/>
  <c r="E111" i="28"/>
  <c r="D11" i="37"/>
  <c r="E11" i="37"/>
  <c r="F11" i="37"/>
  <c r="G11" i="37"/>
  <c r="G10" i="37" s="1"/>
  <c r="H11" i="37"/>
  <c r="D10" i="37"/>
  <c r="E10" i="37"/>
  <c r="F10" i="37"/>
  <c r="H10" i="37"/>
  <c r="D9" i="37"/>
  <c r="E9" i="37"/>
  <c r="F9" i="37"/>
  <c r="G9" i="37"/>
  <c r="H9" i="37"/>
  <c r="I13" i="37"/>
  <c r="K13" i="37"/>
  <c r="M13" i="37"/>
  <c r="I14" i="37"/>
  <c r="K14" i="37"/>
  <c r="M14" i="37"/>
  <c r="H7" i="40"/>
  <c r="G7" i="40"/>
  <c r="F7" i="40"/>
  <c r="E7" i="40"/>
  <c r="D7" i="40"/>
  <c r="C7" i="40"/>
  <c r="H6" i="40"/>
  <c r="G6" i="40"/>
  <c r="F6" i="40"/>
  <c r="E6" i="40"/>
  <c r="D6" i="40"/>
  <c r="C6" i="40"/>
  <c r="H5" i="40"/>
  <c r="G5" i="40"/>
  <c r="F5" i="40"/>
  <c r="E5" i="40"/>
  <c r="D5" i="40"/>
  <c r="C5" i="40"/>
  <c r="C4" i="40"/>
  <c r="C3" i="40"/>
  <c r="C2" i="40"/>
  <c r="H12" i="39"/>
  <c r="G12" i="39"/>
  <c r="F12" i="39"/>
  <c r="E12" i="39"/>
  <c r="D12" i="39"/>
  <c r="C12" i="39"/>
  <c r="C9" i="40" s="1"/>
  <c r="C11" i="40" s="1"/>
  <c r="C10" i="40" s="1"/>
  <c r="C5" i="39"/>
  <c r="C4" i="39"/>
  <c r="C3" i="39"/>
  <c r="M12" i="37"/>
  <c r="K12" i="37"/>
  <c r="I12" i="37"/>
  <c r="H7" i="37"/>
  <c r="G7" i="37"/>
  <c r="F7" i="37"/>
  <c r="E7" i="37"/>
  <c r="D7" i="37"/>
  <c r="C7" i="37"/>
  <c r="H6" i="37"/>
  <c r="G6" i="37"/>
  <c r="F6" i="37"/>
  <c r="E6" i="37"/>
  <c r="D6" i="37"/>
  <c r="C6" i="37"/>
  <c r="H5" i="37"/>
  <c r="G5" i="37"/>
  <c r="F5" i="37"/>
  <c r="E5" i="37"/>
  <c r="D5" i="37"/>
  <c r="C5" i="37"/>
  <c r="C4" i="37"/>
  <c r="C3" i="37"/>
  <c r="C2" i="37"/>
  <c r="H12" i="36"/>
  <c r="G12" i="36"/>
  <c r="F12" i="36"/>
  <c r="E12" i="36"/>
  <c r="D12" i="36"/>
  <c r="C12" i="36"/>
  <c r="C9" i="37" s="1"/>
  <c r="C11" i="37" s="1"/>
  <c r="C10" i="37" s="1"/>
  <c r="C5" i="36"/>
  <c r="C4" i="36"/>
  <c r="C3" i="36"/>
  <c r="J129" i="29"/>
  <c r="K11" i="19"/>
  <c r="K129" i="29" s="1"/>
  <c r="I11" i="19"/>
  <c r="E201" i="28" s="1"/>
  <c r="K12" i="35"/>
  <c r="K109" i="29" s="1"/>
  <c r="I12" i="35"/>
  <c r="E180" i="28" s="1"/>
  <c r="F180" i="28" s="1"/>
  <c r="I11" i="25"/>
  <c r="K11" i="25"/>
  <c r="K99" i="29" s="1"/>
  <c r="M11" i="25"/>
  <c r="I99" i="29" s="1"/>
  <c r="K12" i="25"/>
  <c r="K100" i="29" s="1"/>
  <c r="I12" i="25"/>
  <c r="E170" i="28" s="1"/>
  <c r="J50" i="29" l="1"/>
  <c r="H46" i="29"/>
  <c r="H36" i="29"/>
  <c r="H28" i="29"/>
  <c r="K50" i="29"/>
  <c r="L50" i="29" s="1"/>
  <c r="I50" i="29"/>
  <c r="H45" i="29"/>
  <c r="I39" i="29"/>
  <c r="J14" i="40"/>
  <c r="J12" i="40"/>
  <c r="J15" i="40"/>
  <c r="J13" i="40"/>
  <c r="L12" i="40"/>
  <c r="H22" i="40"/>
  <c r="G22" i="40"/>
  <c r="C22" i="40"/>
  <c r="L15" i="40"/>
  <c r="M9" i="40"/>
  <c r="K9" i="40"/>
  <c r="I9" i="40"/>
  <c r="L13" i="40"/>
  <c r="L14" i="37"/>
  <c r="L13" i="37"/>
  <c r="J13" i="37"/>
  <c r="L12" i="37"/>
  <c r="J14" i="37"/>
  <c r="J12" i="37"/>
  <c r="F21" i="37"/>
  <c r="F18" i="40"/>
  <c r="F20" i="40"/>
  <c r="F22" i="40"/>
  <c r="E18" i="40"/>
  <c r="C18" i="40"/>
  <c r="G18" i="40"/>
  <c r="C20" i="40"/>
  <c r="G20" i="40"/>
  <c r="D18" i="40"/>
  <c r="H18" i="40"/>
  <c r="D20" i="40"/>
  <c r="H20" i="40"/>
  <c r="C21" i="37"/>
  <c r="G21" i="37"/>
  <c r="E17" i="37"/>
  <c r="E21" i="37"/>
  <c r="D17" i="37"/>
  <c r="H17" i="37"/>
  <c r="I9" i="37"/>
  <c r="M9" i="37"/>
  <c r="E19" i="37"/>
  <c r="K9" i="37"/>
  <c r="K35" i="29" s="1"/>
  <c r="K39" i="29" s="1"/>
  <c r="C17" i="37"/>
  <c r="G17" i="37"/>
  <c r="C19" i="37"/>
  <c r="G19" i="37"/>
  <c r="J109" i="29"/>
  <c r="J11" i="25"/>
  <c r="L99" i="29" s="1"/>
  <c r="J99" i="29"/>
  <c r="E169" i="28"/>
  <c r="J100" i="29"/>
  <c r="L11" i="25"/>
  <c r="K12" i="15"/>
  <c r="K90" i="29" s="1"/>
  <c r="I12" i="15"/>
  <c r="J90" i="29" s="1"/>
  <c r="M12" i="17"/>
  <c r="I80" i="29" s="1"/>
  <c r="K12" i="17"/>
  <c r="K80" i="29" s="1"/>
  <c r="I12" i="17"/>
  <c r="J80" i="29" s="1"/>
  <c r="E140" i="28"/>
  <c r="M11" i="33"/>
  <c r="I69" i="29" s="1"/>
  <c r="K11" i="33"/>
  <c r="K69" i="29" s="1"/>
  <c r="I11" i="33"/>
  <c r="J69" i="29" s="1"/>
  <c r="K12" i="33"/>
  <c r="K70" i="29" s="1"/>
  <c r="I12" i="33"/>
  <c r="J70" i="29" s="1"/>
  <c r="I61" i="29"/>
  <c r="J61" i="29"/>
  <c r="K61" i="29"/>
  <c r="L61" i="29"/>
  <c r="I62" i="29"/>
  <c r="J62" i="29"/>
  <c r="K62" i="29"/>
  <c r="L62" i="29"/>
  <c r="L60" i="29"/>
  <c r="K60" i="29"/>
  <c r="J60" i="29"/>
  <c r="I60" i="29"/>
  <c r="E128" i="28"/>
  <c r="I12" i="13"/>
  <c r="J12" i="13" s="1"/>
  <c r="K12" i="13"/>
  <c r="L12" i="13"/>
  <c r="M12" i="13"/>
  <c r="E10" i="13"/>
  <c r="F10" i="13"/>
  <c r="G10" i="13"/>
  <c r="H10" i="13"/>
  <c r="D13" i="13"/>
  <c r="E13" i="13"/>
  <c r="F13" i="13"/>
  <c r="G13" i="13"/>
  <c r="H13" i="13"/>
  <c r="C13" i="13"/>
  <c r="M13" i="13" s="1"/>
  <c r="C11" i="11"/>
  <c r="K12" i="11"/>
  <c r="I12" i="11"/>
  <c r="J29" i="29" s="1"/>
  <c r="K12" i="9"/>
  <c r="I12" i="9"/>
  <c r="L12" i="17" l="1"/>
  <c r="E159" i="28"/>
  <c r="E106" i="28"/>
  <c r="F106" i="28" s="1"/>
  <c r="J35" i="29"/>
  <c r="H50" i="29"/>
  <c r="L9" i="40"/>
  <c r="J9" i="40"/>
  <c r="F19" i="37"/>
  <c r="F17" i="37"/>
  <c r="H19" i="37"/>
  <c r="H18" i="37" s="1"/>
  <c r="D19" i="37"/>
  <c r="D20" i="37" s="1"/>
  <c r="H21" i="40"/>
  <c r="H19" i="40"/>
  <c r="E20" i="40"/>
  <c r="E21" i="40" s="1"/>
  <c r="F21" i="40"/>
  <c r="F19" i="40"/>
  <c r="D21" i="40"/>
  <c r="D19" i="40"/>
  <c r="G21" i="40"/>
  <c r="G19" i="40"/>
  <c r="E22" i="40"/>
  <c r="C21" i="40"/>
  <c r="C19" i="40"/>
  <c r="C20" i="37"/>
  <c r="C18" i="37"/>
  <c r="H21" i="37"/>
  <c r="L9" i="37"/>
  <c r="J9" i="37"/>
  <c r="L35" i="29" s="1"/>
  <c r="E20" i="37"/>
  <c r="E18" i="37"/>
  <c r="F20" i="37"/>
  <c r="F18" i="37"/>
  <c r="D21" i="37"/>
  <c r="G20" i="37"/>
  <c r="G18" i="37"/>
  <c r="J12" i="17"/>
  <c r="L80" i="29" s="1"/>
  <c r="L11" i="33"/>
  <c r="J11" i="33"/>
  <c r="L69" i="29" s="1"/>
  <c r="K13" i="13"/>
  <c r="L13" i="13" s="1"/>
  <c r="I13" i="13"/>
  <c r="E129" i="28" s="1"/>
  <c r="D13" i="15"/>
  <c r="H11" i="33"/>
  <c r="G11" i="33"/>
  <c r="F11" i="33"/>
  <c r="E11" i="33"/>
  <c r="H11" i="13"/>
  <c r="G11" i="13"/>
  <c r="F11" i="13"/>
  <c r="E11" i="13"/>
  <c r="D13" i="9"/>
  <c r="H10" i="9"/>
  <c r="G11" i="9"/>
  <c r="G10" i="9"/>
  <c r="F10" i="9"/>
  <c r="J39" i="29" l="1"/>
  <c r="L39" i="29" s="1"/>
  <c r="H35" i="29"/>
  <c r="H39" i="29" s="1"/>
  <c r="D18" i="37"/>
  <c r="H20" i="37"/>
  <c r="E19" i="40"/>
  <c r="J13" i="13"/>
  <c r="M99" i="29"/>
  <c r="M100" i="29"/>
  <c r="M109" i="29"/>
  <c r="M111" i="29"/>
  <c r="M119" i="29"/>
  <c r="M129" i="29"/>
  <c r="M61" i="29"/>
  <c r="M80" i="29"/>
  <c r="M12" i="35"/>
  <c r="I109" i="29" s="1"/>
  <c r="L12" i="35"/>
  <c r="M12" i="9"/>
  <c r="M12" i="25"/>
  <c r="I100" i="29" s="1"/>
  <c r="L12" i="25"/>
  <c r="M12" i="15"/>
  <c r="I90" i="29" s="1"/>
  <c r="M12" i="33"/>
  <c r="I70" i="29" s="1"/>
  <c r="M12" i="11"/>
  <c r="D17" i="19"/>
  <c r="E17" i="19"/>
  <c r="F17" i="19"/>
  <c r="F10" i="19" s="1"/>
  <c r="G17" i="19"/>
  <c r="H17" i="19"/>
  <c r="H10" i="19" s="1"/>
  <c r="D12" i="19"/>
  <c r="E12" i="19"/>
  <c r="F12" i="19"/>
  <c r="G12" i="19"/>
  <c r="G10" i="19" s="1"/>
  <c r="H12" i="19"/>
  <c r="E10" i="19"/>
  <c r="D9" i="19"/>
  <c r="E9" i="19"/>
  <c r="F9" i="19"/>
  <c r="G9" i="19"/>
  <c r="H9" i="19"/>
  <c r="D17" i="27"/>
  <c r="E17" i="27"/>
  <c r="F17" i="27"/>
  <c r="G17" i="27"/>
  <c r="H17" i="27"/>
  <c r="D12" i="27"/>
  <c r="D10" i="27" s="1"/>
  <c r="E12" i="27"/>
  <c r="F12" i="27"/>
  <c r="G12" i="27"/>
  <c r="H12" i="27"/>
  <c r="D9" i="27"/>
  <c r="E9" i="27"/>
  <c r="C10" i="27"/>
  <c r="D16" i="35"/>
  <c r="E16" i="35"/>
  <c r="F16" i="35"/>
  <c r="G16" i="35"/>
  <c r="H16" i="35"/>
  <c r="D13" i="35"/>
  <c r="E13" i="35"/>
  <c r="F13" i="35"/>
  <c r="G13" i="35"/>
  <c r="H13" i="35"/>
  <c r="E11" i="35"/>
  <c r="F11" i="35"/>
  <c r="G11" i="35"/>
  <c r="H11" i="35"/>
  <c r="F10" i="35"/>
  <c r="H10" i="35"/>
  <c r="H9" i="35"/>
  <c r="E9" i="35"/>
  <c r="F9" i="35"/>
  <c r="G9" i="35"/>
  <c r="D13" i="25"/>
  <c r="E13" i="25"/>
  <c r="F13" i="25"/>
  <c r="G13" i="25"/>
  <c r="H13" i="25"/>
  <c r="D9" i="25"/>
  <c r="D11" i="25" s="1"/>
  <c r="D10" i="25" s="1"/>
  <c r="G9" i="25"/>
  <c r="G11" i="25" s="1"/>
  <c r="G10" i="25" s="1"/>
  <c r="H9" i="25"/>
  <c r="H11" i="25" s="1"/>
  <c r="H10" i="25" s="1"/>
  <c r="C10" i="25"/>
  <c r="D22" i="15"/>
  <c r="E22" i="15"/>
  <c r="F22" i="15"/>
  <c r="G22" i="15"/>
  <c r="H22" i="15"/>
  <c r="D17" i="15"/>
  <c r="E17" i="15"/>
  <c r="F17" i="15"/>
  <c r="G17" i="15"/>
  <c r="H17" i="15"/>
  <c r="E13" i="15"/>
  <c r="F13" i="15"/>
  <c r="G13" i="15"/>
  <c r="H13" i="15"/>
  <c r="H11" i="15"/>
  <c r="H9" i="15"/>
  <c r="D17" i="17"/>
  <c r="E17" i="17"/>
  <c r="F17" i="17"/>
  <c r="G17" i="17"/>
  <c r="H17" i="17"/>
  <c r="D13" i="17"/>
  <c r="E13" i="17"/>
  <c r="F13" i="17"/>
  <c r="F10" i="17" s="1"/>
  <c r="G13" i="17"/>
  <c r="G10" i="17" s="1"/>
  <c r="H13" i="17"/>
  <c r="F11" i="17"/>
  <c r="G11" i="17"/>
  <c r="H11" i="17"/>
  <c r="F9" i="17"/>
  <c r="G9" i="17"/>
  <c r="H9" i="17"/>
  <c r="D16" i="33"/>
  <c r="E16" i="33"/>
  <c r="F16" i="33"/>
  <c r="G16" i="33"/>
  <c r="H16" i="33"/>
  <c r="H10" i="33" s="1"/>
  <c r="D13" i="33"/>
  <c r="E13" i="33"/>
  <c r="F13" i="33"/>
  <c r="G13" i="33"/>
  <c r="H13" i="33"/>
  <c r="E10" i="33"/>
  <c r="E9" i="33"/>
  <c r="F9" i="33"/>
  <c r="G9" i="33"/>
  <c r="H9" i="33"/>
  <c r="E9" i="13"/>
  <c r="F9" i="13"/>
  <c r="G9" i="13"/>
  <c r="H9" i="13"/>
  <c r="D13" i="11"/>
  <c r="E13" i="11"/>
  <c r="F13" i="11"/>
  <c r="G13" i="11"/>
  <c r="H13" i="11"/>
  <c r="F11" i="11"/>
  <c r="G11" i="11"/>
  <c r="H11" i="11"/>
  <c r="D10" i="11"/>
  <c r="E10" i="11"/>
  <c r="F10" i="11"/>
  <c r="G10" i="11"/>
  <c r="H10" i="11"/>
  <c r="F9" i="11"/>
  <c r="G9" i="11"/>
  <c r="H9" i="11"/>
  <c r="E13" i="9"/>
  <c r="F13" i="9"/>
  <c r="G13" i="9"/>
  <c r="H13" i="9"/>
  <c r="F9" i="9"/>
  <c r="G9" i="9"/>
  <c r="H9" i="9"/>
  <c r="M11" i="19"/>
  <c r="I129" i="29" s="1"/>
  <c r="L11" i="19"/>
  <c r="C17" i="19"/>
  <c r="C12" i="27"/>
  <c r="C17" i="27"/>
  <c r="D11" i="27"/>
  <c r="E11" i="27"/>
  <c r="C13" i="35"/>
  <c r="C16" i="35"/>
  <c r="C13" i="25"/>
  <c r="C22" i="15"/>
  <c r="C17" i="15"/>
  <c r="C13" i="15"/>
  <c r="I22" i="15" l="1"/>
  <c r="K22" i="15"/>
  <c r="K92" i="29" s="1"/>
  <c r="M22" i="15"/>
  <c r="I92" i="29" s="1"/>
  <c r="M17" i="15"/>
  <c r="I17" i="15"/>
  <c r="K17" i="15"/>
  <c r="I13" i="15"/>
  <c r="M13" i="15"/>
  <c r="I91" i="29" s="1"/>
  <c r="K13" i="15"/>
  <c r="K91" i="29" s="1"/>
  <c r="M12" i="19"/>
  <c r="I130" i="29" s="1"/>
  <c r="K12" i="19"/>
  <c r="K130" i="29" s="1"/>
  <c r="I12" i="19"/>
  <c r="D10" i="19"/>
  <c r="M17" i="19"/>
  <c r="I131" i="29" s="1"/>
  <c r="K17" i="19"/>
  <c r="K131" i="29" s="1"/>
  <c r="I17" i="19"/>
  <c r="K11" i="27"/>
  <c r="K119" i="29" s="1"/>
  <c r="I11" i="27"/>
  <c r="G10" i="27"/>
  <c r="I12" i="27"/>
  <c r="K12" i="27"/>
  <c r="K120" i="29" s="1"/>
  <c r="M12" i="27"/>
  <c r="I120" i="29" s="1"/>
  <c r="M11" i="27"/>
  <c r="I119" i="29" s="1"/>
  <c r="I17" i="27"/>
  <c r="M17" i="27"/>
  <c r="I121" i="29" s="1"/>
  <c r="K17" i="27"/>
  <c r="K121" i="29" s="1"/>
  <c r="I16" i="35"/>
  <c r="M16" i="35"/>
  <c r="I111" i="29" s="1"/>
  <c r="K16" i="35"/>
  <c r="K111" i="29" s="1"/>
  <c r="I13" i="35"/>
  <c r="K13" i="35"/>
  <c r="K110" i="29" s="1"/>
  <c r="M13" i="35"/>
  <c r="I110" i="29" s="1"/>
  <c r="M13" i="25"/>
  <c r="I101" i="29" s="1"/>
  <c r="K13" i="25"/>
  <c r="K101" i="29" s="1"/>
  <c r="I13" i="25"/>
  <c r="C10" i="19"/>
  <c r="H10" i="27"/>
  <c r="F10" i="27"/>
  <c r="L11" i="27"/>
  <c r="E10" i="35"/>
  <c r="J12" i="35"/>
  <c r="L109" i="29" s="1"/>
  <c r="J12" i="25"/>
  <c r="L100" i="29" s="1"/>
  <c r="L12" i="15"/>
  <c r="J12" i="15"/>
  <c r="L90" i="29" s="1"/>
  <c r="E149" i="28"/>
  <c r="L12" i="33"/>
  <c r="F128" i="28"/>
  <c r="L12" i="11"/>
  <c r="E97" i="28"/>
  <c r="E87" i="28"/>
  <c r="F87" i="28" s="1"/>
  <c r="L12" i="9"/>
  <c r="J12" i="9"/>
  <c r="E138" i="28"/>
  <c r="J12" i="33"/>
  <c r="L70" i="29" s="1"/>
  <c r="J12" i="11"/>
  <c r="E10" i="27"/>
  <c r="G10" i="35"/>
  <c r="H10" i="15"/>
  <c r="H10" i="17"/>
  <c r="F10" i="33"/>
  <c r="D10" i="33"/>
  <c r="G10" i="33"/>
  <c r="J11" i="19"/>
  <c r="L129" i="29" s="1"/>
  <c r="C13" i="9"/>
  <c r="M13" i="9" s="1"/>
  <c r="I19" i="29" s="1"/>
  <c r="C17" i="17"/>
  <c r="C12" i="10"/>
  <c r="M17" i="17" l="1"/>
  <c r="I82" i="29" s="1"/>
  <c r="I17" i="17"/>
  <c r="K17" i="17"/>
  <c r="K82" i="29" s="1"/>
  <c r="L22" i="15"/>
  <c r="E161" i="28"/>
  <c r="J92" i="29"/>
  <c r="J22" i="15"/>
  <c r="L92" i="29" s="1"/>
  <c r="L17" i="15"/>
  <c r="J17" i="15"/>
  <c r="L13" i="15"/>
  <c r="J91" i="29"/>
  <c r="H91" i="29" s="1"/>
  <c r="E160" i="28"/>
  <c r="E139" i="28"/>
  <c r="J13" i="15"/>
  <c r="L91" i="29" s="1"/>
  <c r="J12" i="19"/>
  <c r="L130" i="29" s="1"/>
  <c r="E202" i="28"/>
  <c r="J130" i="29"/>
  <c r="H130" i="29" s="1"/>
  <c r="L12" i="19"/>
  <c r="L17" i="19"/>
  <c r="E203" i="28"/>
  <c r="J131" i="29"/>
  <c r="H131" i="29" s="1"/>
  <c r="J17" i="19"/>
  <c r="L131" i="29" s="1"/>
  <c r="E190" i="28"/>
  <c r="J119" i="29"/>
  <c r="J11" i="27"/>
  <c r="L119" i="29" s="1"/>
  <c r="L12" i="27"/>
  <c r="E191" i="28"/>
  <c r="J120" i="29"/>
  <c r="H120" i="29" s="1"/>
  <c r="J12" i="27"/>
  <c r="L120" i="29" s="1"/>
  <c r="E192" i="28"/>
  <c r="J121" i="29"/>
  <c r="L17" i="27"/>
  <c r="J17" i="27"/>
  <c r="L121" i="29" s="1"/>
  <c r="L16" i="35"/>
  <c r="E182" i="28"/>
  <c r="J111" i="29"/>
  <c r="H111" i="29" s="1"/>
  <c r="J16" i="35"/>
  <c r="L111" i="29" s="1"/>
  <c r="L13" i="35"/>
  <c r="J110" i="29"/>
  <c r="E181" i="28"/>
  <c r="J13" i="35"/>
  <c r="L110" i="29" s="1"/>
  <c r="J13" i="25"/>
  <c r="L101" i="29" s="1"/>
  <c r="J101" i="29"/>
  <c r="H101" i="29" s="1"/>
  <c r="E171" i="28"/>
  <c r="F171" i="28" s="1"/>
  <c r="L13" i="25"/>
  <c r="I13" i="9"/>
  <c r="K13" i="9"/>
  <c r="K19" i="29" s="1"/>
  <c r="L17" i="17" l="1"/>
  <c r="J82" i="29"/>
  <c r="J17" i="17"/>
  <c r="L82" i="29" s="1"/>
  <c r="F201" i="28"/>
  <c r="H129" i="29"/>
  <c r="H119" i="29"/>
  <c r="F190" i="28"/>
  <c r="L13" i="9"/>
  <c r="E88" i="28"/>
  <c r="J13" i="9"/>
  <c r="L19" i="29" s="1"/>
  <c r="J19" i="29"/>
  <c r="C13" i="33"/>
  <c r="C16" i="33"/>
  <c r="C10" i="11"/>
  <c r="C13" i="11"/>
  <c r="H7" i="35"/>
  <c r="G7" i="35"/>
  <c r="F7" i="35"/>
  <c r="E7" i="35"/>
  <c r="D7" i="35"/>
  <c r="C7" i="35"/>
  <c r="H6" i="35"/>
  <c r="G6" i="35"/>
  <c r="F6" i="35"/>
  <c r="E6" i="35"/>
  <c r="D6" i="35"/>
  <c r="C6" i="35"/>
  <c r="H5" i="35"/>
  <c r="G5" i="35"/>
  <c r="F5" i="35"/>
  <c r="E5" i="35"/>
  <c r="D5" i="35"/>
  <c r="C5" i="35"/>
  <c r="C4" i="35"/>
  <c r="C3" i="35"/>
  <c r="C2" i="35"/>
  <c r="I13" i="33" l="1"/>
  <c r="M13" i="33"/>
  <c r="I71" i="29" s="1"/>
  <c r="K13" i="33"/>
  <c r="K71" i="29" s="1"/>
  <c r="I16" i="33"/>
  <c r="K16" i="33"/>
  <c r="K72" i="29" s="1"/>
  <c r="M16" i="33"/>
  <c r="I72" i="29" s="1"/>
  <c r="M13" i="11"/>
  <c r="K13" i="11"/>
  <c r="I13" i="11"/>
  <c r="C10" i="33"/>
  <c r="G25" i="35"/>
  <c r="H25" i="35"/>
  <c r="F21" i="35"/>
  <c r="F23" i="35"/>
  <c r="F25" i="35"/>
  <c r="G21" i="35"/>
  <c r="G23" i="35"/>
  <c r="H7" i="33"/>
  <c r="G7" i="33"/>
  <c r="F7" i="33"/>
  <c r="E7" i="33"/>
  <c r="D7" i="33"/>
  <c r="C7" i="33"/>
  <c r="H6" i="33"/>
  <c r="G6" i="33"/>
  <c r="F6" i="33"/>
  <c r="E6" i="33"/>
  <c r="D6" i="33"/>
  <c r="C6" i="33"/>
  <c r="H5" i="33"/>
  <c r="G5" i="33"/>
  <c r="F5" i="33"/>
  <c r="E5" i="33"/>
  <c r="D5" i="33"/>
  <c r="C5" i="33"/>
  <c r="C4" i="33"/>
  <c r="C3" i="33"/>
  <c r="C2" i="33"/>
  <c r="L13" i="33" l="1"/>
  <c r="J71" i="29"/>
  <c r="H71" i="29" s="1"/>
  <c r="J13" i="33"/>
  <c r="L71" i="29" s="1"/>
  <c r="L16" i="33"/>
  <c r="J72" i="29"/>
  <c r="J16" i="33"/>
  <c r="L72" i="29" s="1"/>
  <c r="E98" i="28"/>
  <c r="J13" i="11"/>
  <c r="L13" i="11"/>
  <c r="H23" i="35"/>
  <c r="H21" i="35"/>
  <c r="E21" i="35"/>
  <c r="E23" i="35"/>
  <c r="E25" i="35"/>
  <c r="F24" i="35"/>
  <c r="F22" i="35"/>
  <c r="G24" i="35"/>
  <c r="G22" i="35"/>
  <c r="G24" i="33"/>
  <c r="E22" i="33"/>
  <c r="F20" i="33"/>
  <c r="F22" i="33"/>
  <c r="F24" i="33"/>
  <c r="G22" i="33"/>
  <c r="M125" i="29"/>
  <c r="M126" i="29"/>
  <c r="M127" i="29"/>
  <c r="M128" i="29"/>
  <c r="M131" i="29"/>
  <c r="M132" i="29"/>
  <c r="M133" i="29"/>
  <c r="M124" i="29"/>
  <c r="M115" i="29"/>
  <c r="M116" i="29"/>
  <c r="M117" i="29"/>
  <c r="M118" i="29"/>
  <c r="M121" i="29"/>
  <c r="M122" i="29"/>
  <c r="M123" i="29"/>
  <c r="M114" i="29"/>
  <c r="M105" i="29"/>
  <c r="M106" i="29"/>
  <c r="M107" i="29"/>
  <c r="M108" i="29"/>
  <c r="M112" i="29"/>
  <c r="M113" i="29"/>
  <c r="M104" i="29"/>
  <c r="M96" i="29"/>
  <c r="M97" i="29"/>
  <c r="M98" i="29"/>
  <c r="M101" i="29"/>
  <c r="M102" i="29"/>
  <c r="M103" i="29"/>
  <c r="M95" i="29"/>
  <c r="M86" i="29"/>
  <c r="M87" i="29"/>
  <c r="M88" i="29"/>
  <c r="M89" i="29"/>
  <c r="M90" i="29"/>
  <c r="M92" i="29"/>
  <c r="M93" i="29"/>
  <c r="M94" i="29"/>
  <c r="M85" i="29"/>
  <c r="M76" i="29"/>
  <c r="M77" i="29"/>
  <c r="M78" i="29"/>
  <c r="M79" i="29"/>
  <c r="M82" i="29"/>
  <c r="M83" i="29"/>
  <c r="M84" i="29"/>
  <c r="M75" i="29"/>
  <c r="M66" i="29"/>
  <c r="M67" i="29"/>
  <c r="M68" i="29"/>
  <c r="M69" i="29"/>
  <c r="M70" i="29"/>
  <c r="M72" i="29"/>
  <c r="M73" i="29"/>
  <c r="M74" i="29"/>
  <c r="M65" i="29"/>
  <c r="M57" i="29"/>
  <c r="M58" i="29"/>
  <c r="M59" i="29"/>
  <c r="M60" i="29"/>
  <c r="M62" i="29"/>
  <c r="M63" i="29"/>
  <c r="M64" i="29"/>
  <c r="M56" i="29"/>
  <c r="C13" i="17"/>
  <c r="H7" i="17"/>
  <c r="G7" i="17"/>
  <c r="F7" i="17"/>
  <c r="E7" i="17"/>
  <c r="D7" i="17"/>
  <c r="C7" i="17"/>
  <c r="H6" i="17"/>
  <c r="G6" i="17"/>
  <c r="F6" i="17"/>
  <c r="E6" i="17"/>
  <c r="D6" i="17"/>
  <c r="C6" i="17"/>
  <c r="H5" i="17"/>
  <c r="G5" i="17"/>
  <c r="F5" i="17"/>
  <c r="E5" i="17"/>
  <c r="D5" i="17"/>
  <c r="C5" i="17"/>
  <c r="C4" i="17"/>
  <c r="C3" i="17"/>
  <c r="C2" i="17"/>
  <c r="H12" i="16"/>
  <c r="G12" i="16"/>
  <c r="F12" i="16"/>
  <c r="E12" i="16"/>
  <c r="E9" i="17" s="1"/>
  <c r="E11" i="17" s="1"/>
  <c r="E10" i="17" s="1"/>
  <c r="D12" i="16"/>
  <c r="D9" i="17" s="1"/>
  <c r="D11" i="17" s="1"/>
  <c r="D10" i="17" s="1"/>
  <c r="C12" i="16"/>
  <c r="C9" i="17" s="1"/>
  <c r="C11" i="17" s="1"/>
  <c r="C5" i="16"/>
  <c r="C4" i="16"/>
  <c r="C3" i="16"/>
  <c r="H7" i="13"/>
  <c r="G7" i="13"/>
  <c r="F7" i="13"/>
  <c r="E7" i="13"/>
  <c r="D7" i="13"/>
  <c r="C7" i="13"/>
  <c r="H6" i="13"/>
  <c r="G6" i="13"/>
  <c r="F6" i="13"/>
  <c r="E6" i="13"/>
  <c r="D6" i="13"/>
  <c r="C6" i="13"/>
  <c r="H5" i="13"/>
  <c r="G5" i="13"/>
  <c r="F5" i="13"/>
  <c r="E5" i="13"/>
  <c r="D5" i="13"/>
  <c r="C5" i="13"/>
  <c r="C4" i="13"/>
  <c r="C3" i="13"/>
  <c r="C2" i="13"/>
  <c r="H12" i="12"/>
  <c r="G12" i="12"/>
  <c r="F12" i="12"/>
  <c r="E12" i="12"/>
  <c r="D12" i="12"/>
  <c r="D9" i="13" s="1"/>
  <c r="C12" i="12"/>
  <c r="C9" i="13" s="1"/>
  <c r="C11" i="13" s="1"/>
  <c r="C5" i="12"/>
  <c r="C4" i="12"/>
  <c r="C3" i="12"/>
  <c r="M13" i="17" l="1"/>
  <c r="I81" i="29" s="1"/>
  <c r="K13" i="17"/>
  <c r="K81" i="29" s="1"/>
  <c r="I13" i="17"/>
  <c r="M11" i="17"/>
  <c r="I79" i="29" s="1"/>
  <c r="K11" i="17"/>
  <c r="K79" i="29" s="1"/>
  <c r="I11" i="17"/>
  <c r="C10" i="13"/>
  <c r="C10" i="17"/>
  <c r="C26" i="17" s="1"/>
  <c r="D11" i="13"/>
  <c r="D10" i="13" s="1"/>
  <c r="H24" i="35"/>
  <c r="H22" i="33"/>
  <c r="H22" i="35"/>
  <c r="E20" i="33"/>
  <c r="E21" i="33" s="1"/>
  <c r="E24" i="35"/>
  <c r="E22" i="35"/>
  <c r="H20" i="33"/>
  <c r="G20" i="33"/>
  <c r="G23" i="33" s="1"/>
  <c r="M10" i="33"/>
  <c r="E24" i="33"/>
  <c r="H24" i="33"/>
  <c r="F23" i="33"/>
  <c r="F21" i="33"/>
  <c r="K10" i="33"/>
  <c r="I10" i="33"/>
  <c r="M9" i="17"/>
  <c r="K9" i="17"/>
  <c r="I9" i="17"/>
  <c r="G26" i="17"/>
  <c r="D26" i="17"/>
  <c r="H26" i="17"/>
  <c r="F24" i="17"/>
  <c r="F28" i="17"/>
  <c r="F26" i="17"/>
  <c r="E26" i="17"/>
  <c r="M9" i="13"/>
  <c r="I9" i="13"/>
  <c r="K9" i="13"/>
  <c r="L13" i="17" l="1"/>
  <c r="E150" i="28"/>
  <c r="J81" i="29"/>
  <c r="H81" i="29" s="1"/>
  <c r="J13" i="17"/>
  <c r="L81" i="29" s="1"/>
  <c r="E148" i="28"/>
  <c r="J79" i="29"/>
  <c r="J11" i="17"/>
  <c r="L79" i="29" s="1"/>
  <c r="L11" i="17"/>
  <c r="I11" i="13"/>
  <c r="K11" i="13"/>
  <c r="M11" i="13"/>
  <c r="H23" i="33"/>
  <c r="H21" i="33"/>
  <c r="E23" i="33"/>
  <c r="G21" i="33"/>
  <c r="L10" i="33"/>
  <c r="J10" i="33"/>
  <c r="H79" i="29"/>
  <c r="D28" i="17"/>
  <c r="G28" i="17"/>
  <c r="E28" i="17"/>
  <c r="H28" i="17"/>
  <c r="H60" i="29"/>
  <c r="F148" i="28"/>
  <c r="J148" i="28" s="1"/>
  <c r="L9" i="17"/>
  <c r="J9" i="17"/>
  <c r="C24" i="17"/>
  <c r="E24" i="17"/>
  <c r="H24" i="17"/>
  <c r="D24" i="17"/>
  <c r="G24" i="17"/>
  <c r="C28" i="17"/>
  <c r="F27" i="17"/>
  <c r="F25" i="17"/>
  <c r="L9" i="13"/>
  <c r="J9" i="13"/>
  <c r="E127" i="28" l="1"/>
  <c r="F127" i="28" s="1"/>
  <c r="J127" i="28" s="1"/>
  <c r="J11" i="13"/>
  <c r="L11" i="13"/>
  <c r="H80" i="29"/>
  <c r="I83" i="29"/>
  <c r="H82" i="29"/>
  <c r="K83" i="29"/>
  <c r="E27" i="17"/>
  <c r="E25" i="17"/>
  <c r="G27" i="17"/>
  <c r="G25" i="17"/>
  <c r="C27" i="17"/>
  <c r="C25" i="17"/>
  <c r="H27" i="17"/>
  <c r="H25" i="17"/>
  <c r="D27" i="17"/>
  <c r="D25" i="17"/>
  <c r="H83" i="29" l="1"/>
  <c r="J83" i="29"/>
  <c r="L83" i="29" s="1"/>
  <c r="E152" i="28" s="1"/>
  <c r="K148" i="28"/>
  <c r="B24" i="30" s="1"/>
  <c r="H12" i="22"/>
  <c r="G12" i="22"/>
  <c r="F12" i="22"/>
  <c r="E12" i="22"/>
  <c r="D12" i="22"/>
  <c r="D9" i="35" s="1"/>
  <c r="C12" i="22"/>
  <c r="C5" i="22"/>
  <c r="C4" i="22"/>
  <c r="C3" i="22"/>
  <c r="H12" i="20"/>
  <c r="G12" i="20"/>
  <c r="F12" i="20"/>
  <c r="E12" i="20"/>
  <c r="E9" i="25" s="1"/>
  <c r="E10" i="25" s="1"/>
  <c r="D12" i="20"/>
  <c r="C12" i="20"/>
  <c r="C5" i="20"/>
  <c r="C4" i="20"/>
  <c r="C3" i="20"/>
  <c r="H7" i="19"/>
  <c r="G7" i="19"/>
  <c r="F7" i="19"/>
  <c r="E7" i="19"/>
  <c r="D7" i="19"/>
  <c r="C7" i="19"/>
  <c r="H6" i="19"/>
  <c r="G6" i="19"/>
  <c r="F6" i="19"/>
  <c r="E6" i="19"/>
  <c r="D6" i="19"/>
  <c r="C6" i="19"/>
  <c r="H5" i="19"/>
  <c r="G5" i="19"/>
  <c r="F5" i="19"/>
  <c r="E5" i="19"/>
  <c r="D5" i="19"/>
  <c r="C5" i="19"/>
  <c r="C4" i="19"/>
  <c r="C3" i="19"/>
  <c r="C2" i="19"/>
  <c r="H12" i="18"/>
  <c r="G12" i="18"/>
  <c r="G9" i="15" s="1"/>
  <c r="G11" i="15" s="1"/>
  <c r="G10" i="15" s="1"/>
  <c r="F12" i="18"/>
  <c r="E12" i="18"/>
  <c r="E9" i="15" s="1"/>
  <c r="E11" i="15" s="1"/>
  <c r="E10" i="15" s="1"/>
  <c r="D12" i="18"/>
  <c r="D9" i="15" s="1"/>
  <c r="D11" i="15" s="1"/>
  <c r="D10" i="15" s="1"/>
  <c r="C12" i="18"/>
  <c r="C9" i="15" s="1"/>
  <c r="C5" i="18"/>
  <c r="C4" i="18"/>
  <c r="C3" i="18"/>
  <c r="F27" i="19" l="1"/>
  <c r="F9" i="15"/>
  <c r="F11" i="15" s="1"/>
  <c r="F10" i="15" s="1"/>
  <c r="D11" i="35"/>
  <c r="D10" i="35" s="1"/>
  <c r="D23" i="35" s="1"/>
  <c r="F9" i="25"/>
  <c r="F10" i="25" s="1"/>
  <c r="Z8" i="31"/>
  <c r="AB8" i="31"/>
  <c r="AA8" i="31"/>
  <c r="X8" i="31"/>
  <c r="Y8" i="31"/>
  <c r="C9" i="35"/>
  <c r="C11" i="35" s="1"/>
  <c r="C10" i="35" s="1"/>
  <c r="C9" i="25"/>
  <c r="C11" i="15"/>
  <c r="H25" i="19"/>
  <c r="H27" i="19"/>
  <c r="H23" i="19"/>
  <c r="G27" i="19"/>
  <c r="G25" i="19"/>
  <c r="G23" i="19"/>
  <c r="G26" i="19" s="1"/>
  <c r="C24" i="30"/>
  <c r="C22" i="30"/>
  <c r="C23" i="30"/>
  <c r="B23" i="30"/>
  <c r="B22" i="30"/>
  <c r="F159" i="28"/>
  <c r="J159" i="28" s="1"/>
  <c r="D23" i="19"/>
  <c r="D27" i="19"/>
  <c r="D25" i="19"/>
  <c r="E27" i="19"/>
  <c r="E25" i="19"/>
  <c r="E23" i="19"/>
  <c r="F23" i="19"/>
  <c r="F25" i="19"/>
  <c r="C10" i="15" l="1"/>
  <c r="I11" i="15"/>
  <c r="K11" i="15"/>
  <c r="K89" i="29" s="1"/>
  <c r="M11" i="15"/>
  <c r="I89" i="29" s="1"/>
  <c r="D25" i="35"/>
  <c r="D21" i="35"/>
  <c r="I102" i="29"/>
  <c r="H26" i="19"/>
  <c r="G24" i="19"/>
  <c r="D24" i="19"/>
  <c r="M9" i="35"/>
  <c r="I108" i="29" s="1"/>
  <c r="K9" i="35"/>
  <c r="K108" i="29" s="1"/>
  <c r="I9" i="35"/>
  <c r="H24" i="19"/>
  <c r="D26" i="19"/>
  <c r="H92" i="29"/>
  <c r="F26" i="19"/>
  <c r="F24" i="19"/>
  <c r="E24" i="19"/>
  <c r="E26" i="19"/>
  <c r="L11" i="15" l="1"/>
  <c r="E158" i="28"/>
  <c r="J89" i="29"/>
  <c r="E137" i="28"/>
  <c r="J11" i="15"/>
  <c r="L89" i="29" s="1"/>
  <c r="E179" i="28"/>
  <c r="F179" i="28" s="1"/>
  <c r="J179" i="28" s="1"/>
  <c r="K179" i="28" s="1"/>
  <c r="C32" i="30" s="1"/>
  <c r="D24" i="35"/>
  <c r="D22" i="35"/>
  <c r="J108" i="29"/>
  <c r="H108" i="29" s="1"/>
  <c r="L9" i="35"/>
  <c r="J9" i="35"/>
  <c r="L108" i="29" s="1"/>
  <c r="J102" i="29"/>
  <c r="H102" i="29"/>
  <c r="C34" i="30" l="1"/>
  <c r="C33" i="30"/>
  <c r="B33" i="30"/>
  <c r="B34" i="30"/>
  <c r="B32" i="30"/>
  <c r="AJ8" i="31"/>
  <c r="AI8" i="31"/>
  <c r="AH8" i="31"/>
  <c r="H12" i="26" l="1"/>
  <c r="G12" i="26"/>
  <c r="F12" i="26"/>
  <c r="E12" i="26"/>
  <c r="D12" i="26"/>
  <c r="C12" i="26"/>
  <c r="C9" i="19" s="1"/>
  <c r="H12" i="24"/>
  <c r="H9" i="27" s="1"/>
  <c r="G12" i="24"/>
  <c r="G9" i="27" s="1"/>
  <c r="F12" i="24"/>
  <c r="F9" i="27" s="1"/>
  <c r="E12" i="24"/>
  <c r="D12" i="24"/>
  <c r="C12" i="24"/>
  <c r="C9" i="27" s="1"/>
  <c r="H12" i="14"/>
  <c r="G12" i="14"/>
  <c r="F12" i="14"/>
  <c r="E12" i="14"/>
  <c r="D12" i="14"/>
  <c r="D9" i="33" s="1"/>
  <c r="C12" i="14"/>
  <c r="C9" i="33" s="1"/>
  <c r="H12" i="10"/>
  <c r="G12" i="10"/>
  <c r="F12" i="10"/>
  <c r="E12" i="10"/>
  <c r="E9" i="11" s="1"/>
  <c r="E11" i="11" s="1"/>
  <c r="D12" i="10"/>
  <c r="D9" i="11" s="1"/>
  <c r="D11" i="11" s="1"/>
  <c r="D12" i="8"/>
  <c r="D9" i="9" s="1"/>
  <c r="D11" i="9" s="1"/>
  <c r="D10" i="9" s="1"/>
  <c r="E12" i="8"/>
  <c r="E9" i="9" s="1"/>
  <c r="E11" i="9" s="1"/>
  <c r="E10" i="9" s="1"/>
  <c r="F12" i="8"/>
  <c r="G12" i="8"/>
  <c r="H12" i="8"/>
  <c r="C12" i="8"/>
  <c r="C9" i="9" s="1"/>
  <c r="C11" i="9" s="1"/>
  <c r="C10" i="9" s="1"/>
  <c r="D22" i="33" l="1"/>
  <c r="D24" i="33"/>
  <c r="D20" i="33"/>
  <c r="K9" i="19"/>
  <c r="K128" i="29" s="1"/>
  <c r="M9" i="19"/>
  <c r="I128" i="29" s="1"/>
  <c r="I9" i="19"/>
  <c r="I9" i="33"/>
  <c r="M9" i="33"/>
  <c r="K9" i="33"/>
  <c r="C22" i="33"/>
  <c r="C24" i="33"/>
  <c r="C20" i="33"/>
  <c r="E26" i="27"/>
  <c r="H7" i="27"/>
  <c r="G7" i="27"/>
  <c r="F7" i="27"/>
  <c r="E7" i="27"/>
  <c r="D7" i="27"/>
  <c r="C7" i="27"/>
  <c r="H6" i="27"/>
  <c r="G6" i="27"/>
  <c r="F6" i="27"/>
  <c r="E6" i="27"/>
  <c r="D6" i="27"/>
  <c r="C6" i="27"/>
  <c r="H5" i="27"/>
  <c r="G5" i="27"/>
  <c r="F5" i="27"/>
  <c r="E5" i="27"/>
  <c r="D5" i="27"/>
  <c r="C5" i="27"/>
  <c r="C4" i="27"/>
  <c r="C3" i="27"/>
  <c r="C2" i="27"/>
  <c r="C5" i="26"/>
  <c r="C4" i="26"/>
  <c r="C3" i="26"/>
  <c r="A8" i="31"/>
  <c r="D5" i="25"/>
  <c r="E5" i="25"/>
  <c r="F5" i="25"/>
  <c r="G5" i="25"/>
  <c r="H5" i="25"/>
  <c r="D6" i="25"/>
  <c r="E6" i="25"/>
  <c r="F6" i="25"/>
  <c r="G6" i="25"/>
  <c r="H6" i="25"/>
  <c r="D7" i="25"/>
  <c r="E7" i="25"/>
  <c r="F7" i="25"/>
  <c r="G7" i="25"/>
  <c r="H7" i="25"/>
  <c r="C7" i="25"/>
  <c r="C6" i="25"/>
  <c r="C5" i="25"/>
  <c r="C11" i="25"/>
  <c r="C5" i="24"/>
  <c r="C4" i="24"/>
  <c r="C3" i="24"/>
  <c r="H32" i="15"/>
  <c r="F30" i="15"/>
  <c r="D34" i="15"/>
  <c r="H7" i="15"/>
  <c r="G7" i="15"/>
  <c r="F7" i="15"/>
  <c r="E7" i="15"/>
  <c r="D7" i="15"/>
  <c r="C7" i="15"/>
  <c r="H6" i="15"/>
  <c r="G6" i="15"/>
  <c r="F6" i="15"/>
  <c r="E6" i="15"/>
  <c r="D6" i="15"/>
  <c r="C6" i="15"/>
  <c r="H5" i="15"/>
  <c r="G5" i="15"/>
  <c r="F5" i="15"/>
  <c r="E5" i="15"/>
  <c r="D5" i="15"/>
  <c r="C5" i="15"/>
  <c r="C4" i="15"/>
  <c r="C3" i="15"/>
  <c r="C2" i="15"/>
  <c r="C5" i="14"/>
  <c r="C4" i="14"/>
  <c r="C3" i="14"/>
  <c r="D5" i="11"/>
  <c r="E5" i="11"/>
  <c r="F5" i="11"/>
  <c r="G5" i="11"/>
  <c r="H5" i="11"/>
  <c r="D6" i="11"/>
  <c r="E6" i="11"/>
  <c r="F6" i="11"/>
  <c r="G6" i="11"/>
  <c r="H6" i="11"/>
  <c r="D7" i="11"/>
  <c r="E7" i="11"/>
  <c r="F7" i="11"/>
  <c r="G7" i="11"/>
  <c r="H7" i="11"/>
  <c r="C5" i="11"/>
  <c r="C7" i="11"/>
  <c r="C6" i="11"/>
  <c r="C5" i="10"/>
  <c r="C4" i="10"/>
  <c r="C3" i="10"/>
  <c r="M22" i="29"/>
  <c r="M13" i="29"/>
  <c r="J128" i="29" l="1"/>
  <c r="E200" i="28"/>
  <c r="F161" i="28"/>
  <c r="J161" i="28" s="1"/>
  <c r="H90" i="29"/>
  <c r="D21" i="33"/>
  <c r="D23" i="33"/>
  <c r="J9" i="19"/>
  <c r="L128" i="29" s="1"/>
  <c r="L9" i="19"/>
  <c r="F138" i="28"/>
  <c r="J138" i="28" s="1"/>
  <c r="J9" i="33"/>
  <c r="L9" i="33"/>
  <c r="C23" i="33"/>
  <c r="C21" i="33"/>
  <c r="I10" i="11"/>
  <c r="J27" i="29" s="1"/>
  <c r="K10" i="11"/>
  <c r="K27" i="29" s="1"/>
  <c r="M10" i="11"/>
  <c r="I27" i="29" s="1"/>
  <c r="G34" i="15"/>
  <c r="D26" i="27"/>
  <c r="D24" i="27"/>
  <c r="D22" i="27"/>
  <c r="H26" i="27"/>
  <c r="H24" i="27"/>
  <c r="H22" i="27"/>
  <c r="F26" i="27"/>
  <c r="F24" i="27"/>
  <c r="F22" i="27"/>
  <c r="M9" i="27"/>
  <c r="I118" i="29" s="1"/>
  <c r="K9" i="27"/>
  <c r="K118" i="29" s="1"/>
  <c r="I9" i="27"/>
  <c r="G26" i="27"/>
  <c r="G24" i="27"/>
  <c r="G22" i="27"/>
  <c r="E22" i="27"/>
  <c r="E24" i="27"/>
  <c r="H70" i="29"/>
  <c r="F34" i="15"/>
  <c r="D30" i="15"/>
  <c r="H34" i="15"/>
  <c r="D32" i="15"/>
  <c r="H30" i="15"/>
  <c r="F32" i="15"/>
  <c r="F33" i="15" s="1"/>
  <c r="K9" i="15"/>
  <c r="K93" i="29" s="1"/>
  <c r="I9" i="15"/>
  <c r="E30" i="15"/>
  <c r="E32" i="15"/>
  <c r="E34" i="15"/>
  <c r="M9" i="15"/>
  <c r="I93" i="29" s="1"/>
  <c r="C30" i="15"/>
  <c r="G30" i="15"/>
  <c r="C32" i="15"/>
  <c r="G32" i="15"/>
  <c r="C34" i="15"/>
  <c r="E189" i="28" l="1"/>
  <c r="J118" i="29"/>
  <c r="J93" i="29"/>
  <c r="L93" i="29" s="1"/>
  <c r="E163" i="28" s="1"/>
  <c r="F158" i="28"/>
  <c r="J158" i="28" s="1"/>
  <c r="K158" i="28" s="1"/>
  <c r="F31" i="15"/>
  <c r="F137" i="28"/>
  <c r="J137" i="28" s="1"/>
  <c r="L10" i="11"/>
  <c r="F97" i="28"/>
  <c r="J97" i="28" s="1"/>
  <c r="H27" i="29"/>
  <c r="J10" i="11"/>
  <c r="L27" i="29" s="1"/>
  <c r="F140" i="28"/>
  <c r="J140" i="28" s="1"/>
  <c r="K140" i="28" s="1"/>
  <c r="F200" i="28"/>
  <c r="J200" i="28" s="1"/>
  <c r="K73" i="29"/>
  <c r="I73" i="29"/>
  <c r="H72" i="29"/>
  <c r="H25" i="27"/>
  <c r="H23" i="27"/>
  <c r="G25" i="27"/>
  <c r="G23" i="27"/>
  <c r="F25" i="27"/>
  <c r="F23" i="27"/>
  <c r="J9" i="27"/>
  <c r="L118" i="29" s="1"/>
  <c r="L9" i="27"/>
  <c r="D25" i="27"/>
  <c r="D23" i="27"/>
  <c r="E23" i="27"/>
  <c r="E25" i="27"/>
  <c r="J9" i="15"/>
  <c r="H69" i="29"/>
  <c r="D31" i="15"/>
  <c r="D33" i="15"/>
  <c r="H33" i="15"/>
  <c r="H31" i="15"/>
  <c r="L9" i="15"/>
  <c r="C33" i="15"/>
  <c r="C31" i="15"/>
  <c r="G33" i="15"/>
  <c r="G31" i="15"/>
  <c r="E33" i="15"/>
  <c r="E31" i="15"/>
  <c r="K161" i="28" l="1"/>
  <c r="K159" i="28"/>
  <c r="B26" i="30" s="1"/>
  <c r="H100" i="29"/>
  <c r="F170" i="28"/>
  <c r="H89" i="29"/>
  <c r="H93" i="29" s="1"/>
  <c r="AF8" i="31" s="1"/>
  <c r="C25" i="30"/>
  <c r="K138" i="28"/>
  <c r="K137" i="28"/>
  <c r="H128" i="29"/>
  <c r="F192" i="28"/>
  <c r="J192" i="28" s="1"/>
  <c r="H73" i="29"/>
  <c r="J73" i="29"/>
  <c r="B25" i="30" l="1"/>
  <c r="C28" i="30"/>
  <c r="B27" i="30"/>
  <c r="B28" i="30"/>
  <c r="C27" i="30"/>
  <c r="C26" i="30"/>
  <c r="AC8" i="31"/>
  <c r="AD8" i="31"/>
  <c r="AG8" i="31"/>
  <c r="AE8" i="31"/>
  <c r="L73" i="29"/>
  <c r="E142" i="28" s="1"/>
  <c r="S8" i="31"/>
  <c r="T8" i="31"/>
  <c r="U8" i="31"/>
  <c r="V8" i="31"/>
  <c r="H121" i="29"/>
  <c r="C21" i="30"/>
  <c r="C20" i="30"/>
  <c r="C19" i="30"/>
  <c r="W8" i="31" l="1"/>
  <c r="F11" i="9"/>
  <c r="H11" i="9"/>
  <c r="M10" i="9" l="1"/>
  <c r="I18" i="29" s="1"/>
  <c r="K10" i="9"/>
  <c r="K18" i="29" s="1"/>
  <c r="I10" i="9"/>
  <c r="H6" i="9"/>
  <c r="G6" i="9"/>
  <c r="F6" i="9"/>
  <c r="E6" i="9"/>
  <c r="D6" i="9"/>
  <c r="H7" i="9"/>
  <c r="G7" i="9"/>
  <c r="F7" i="9"/>
  <c r="E7" i="9"/>
  <c r="D7" i="9"/>
  <c r="H5" i="9"/>
  <c r="G5" i="9"/>
  <c r="F5" i="9"/>
  <c r="E5" i="9"/>
  <c r="D5" i="9"/>
  <c r="C6" i="9"/>
  <c r="C7" i="9"/>
  <c r="C5" i="9"/>
  <c r="L10" i="9" l="1"/>
  <c r="J10" i="9"/>
  <c r="L18" i="29" s="1"/>
  <c r="J18" i="29"/>
  <c r="H18" i="29" s="1"/>
  <c r="M24" i="29"/>
  <c r="M25" i="29"/>
  <c r="M26" i="29"/>
  <c r="M29" i="29"/>
  <c r="M30" i="29"/>
  <c r="M23" i="29"/>
  <c r="M15" i="29"/>
  <c r="M16" i="29"/>
  <c r="M17" i="29"/>
  <c r="M19" i="29"/>
  <c r="M20" i="29"/>
  <c r="M21" i="29"/>
  <c r="M14" i="29"/>
  <c r="A2" i="29" l="1"/>
  <c r="C2" i="25" l="1"/>
  <c r="C2" i="11"/>
  <c r="C2" i="9"/>
  <c r="C3" i="8"/>
  <c r="A3" i="29" l="1"/>
  <c r="D75" i="28"/>
  <c r="D43" i="28"/>
  <c r="C3" i="25"/>
  <c r="C3" i="11"/>
  <c r="C3" i="9"/>
  <c r="C4" i="8"/>
  <c r="C8" i="31" l="1"/>
  <c r="B8" i="31"/>
  <c r="D73" i="28" l="1"/>
  <c r="D42" i="28"/>
  <c r="D41" i="28"/>
  <c r="D40" i="28"/>
  <c r="A28" i="28"/>
  <c r="C32" i="4" l="1"/>
  <c r="C31" i="4"/>
  <c r="C30" i="4"/>
  <c r="C29" i="4"/>
  <c r="C28" i="4"/>
  <c r="C27" i="4"/>
  <c r="C26" i="4"/>
  <c r="C25" i="4"/>
  <c r="C22" i="4"/>
  <c r="C21" i="4"/>
  <c r="D32" i="4" l="1"/>
  <c r="D29" i="4"/>
  <c r="D28" i="4"/>
  <c r="D25" i="4"/>
  <c r="D21" i="4"/>
  <c r="D26" i="4"/>
  <c r="D30" i="4"/>
  <c r="D31" i="4"/>
  <c r="D22" i="4"/>
  <c r="D27" i="4"/>
  <c r="D48" i="28" l="1"/>
  <c r="D59" i="28"/>
  <c r="D51" i="28"/>
  <c r="D54" i="28"/>
  <c r="D61" i="28"/>
  <c r="D52" i="28"/>
  <c r="D58" i="28"/>
  <c r="D50" i="28"/>
  <c r="D60" i="28"/>
  <c r="D57" i="28"/>
  <c r="D49" i="28"/>
  <c r="D55" i="28"/>
  <c r="D56" i="28"/>
  <c r="D53" i="28"/>
  <c r="B7" i="30"/>
  <c r="B6" i="30"/>
  <c r="A4" i="29" l="1"/>
  <c r="C4" i="25" l="1"/>
  <c r="C4" i="11"/>
  <c r="C5" i="8"/>
  <c r="C4" i="9"/>
  <c r="D72" i="28" l="1"/>
  <c r="D74" i="28"/>
  <c r="B21" i="30" l="1"/>
  <c r="C18" i="30"/>
  <c r="B20" i="30"/>
  <c r="B18" i="30"/>
  <c r="B19" i="30"/>
  <c r="K9" i="9" l="1"/>
  <c r="K17" i="29" s="1"/>
  <c r="I9" i="9"/>
  <c r="J17" i="29" s="1"/>
  <c r="M9" i="9"/>
  <c r="I17" i="29" s="1"/>
  <c r="H17" i="29" l="1"/>
  <c r="L9" i="9"/>
  <c r="E85" i="28"/>
  <c r="F85" i="28" s="1"/>
  <c r="J85" i="28" s="1"/>
  <c r="J9" i="9"/>
  <c r="L17" i="29" s="1"/>
  <c r="D22" i="11" l="1"/>
  <c r="D20" i="11"/>
  <c r="D18" i="11"/>
  <c r="F20" i="11"/>
  <c r="F22" i="11"/>
  <c r="F18" i="11"/>
  <c r="G20" i="11"/>
  <c r="G22" i="11"/>
  <c r="G18" i="11"/>
  <c r="E20" i="11"/>
  <c r="E18" i="11"/>
  <c r="E22" i="11"/>
  <c r="H20" i="11"/>
  <c r="H22" i="11"/>
  <c r="H18" i="11"/>
  <c r="H21" i="11" l="1"/>
  <c r="H19" i="11"/>
  <c r="E21" i="11"/>
  <c r="E19" i="11"/>
  <c r="G21" i="11"/>
  <c r="G19" i="11"/>
  <c r="F19" i="11"/>
  <c r="F21" i="11"/>
  <c r="D21" i="11"/>
  <c r="D19" i="11"/>
  <c r="F20" i="25" l="1"/>
  <c r="D22" i="25"/>
  <c r="G18" i="25"/>
  <c r="F18" i="25" l="1"/>
  <c r="F19" i="25" s="1"/>
  <c r="C22" i="25"/>
  <c r="C18" i="25"/>
  <c r="M9" i="25"/>
  <c r="I9" i="25"/>
  <c r="C20" i="25"/>
  <c r="K9" i="25"/>
  <c r="E22" i="25"/>
  <c r="E20" i="25"/>
  <c r="E18" i="25"/>
  <c r="H20" i="25"/>
  <c r="H18" i="25"/>
  <c r="G20" i="25"/>
  <c r="G21" i="25" s="1"/>
  <c r="G22" i="25"/>
  <c r="D18" i="25"/>
  <c r="D20" i="25"/>
  <c r="H22" i="25"/>
  <c r="F22" i="25"/>
  <c r="F169" i="28" l="1"/>
  <c r="J169" i="28" s="1"/>
  <c r="K169" i="28" s="1"/>
  <c r="I122" i="29"/>
  <c r="K122" i="29"/>
  <c r="K102" i="29"/>
  <c r="F189" i="28"/>
  <c r="J189" i="28" s="1"/>
  <c r="F21" i="25"/>
  <c r="D21" i="25"/>
  <c r="D19" i="25"/>
  <c r="E19" i="25"/>
  <c r="E21" i="25"/>
  <c r="L9" i="25"/>
  <c r="J9" i="25"/>
  <c r="C19" i="25"/>
  <c r="C21" i="25"/>
  <c r="H19" i="25"/>
  <c r="H21" i="25"/>
  <c r="G19" i="25"/>
  <c r="L102" i="29" l="1"/>
  <c r="E173" i="28" s="1"/>
  <c r="AK8" i="31"/>
  <c r="H99" i="29"/>
  <c r="B31" i="30"/>
  <c r="B30" i="30"/>
  <c r="C30" i="30"/>
  <c r="B29" i="30"/>
  <c r="C29" i="30"/>
  <c r="C31" i="30"/>
  <c r="K189" i="28"/>
  <c r="K192" i="28"/>
  <c r="H118" i="29"/>
  <c r="H122" i="29" s="1"/>
  <c r="AS8" i="31" s="1"/>
  <c r="J122" i="29"/>
  <c r="L122" i="29" s="1"/>
  <c r="E194" i="28" s="1"/>
  <c r="AL8" i="31" l="1"/>
  <c r="C37" i="30"/>
  <c r="AR8" i="31"/>
  <c r="C36" i="30"/>
  <c r="AT8" i="31"/>
  <c r="AU8" i="31"/>
  <c r="B37" i="30"/>
  <c r="B36" i="30"/>
  <c r="B35" i="30"/>
  <c r="C35" i="30"/>
  <c r="AV8" i="31"/>
  <c r="H22" i="9" l="1"/>
  <c r="H20" i="9"/>
  <c r="F22" i="9"/>
  <c r="F20" i="9"/>
  <c r="G22" i="9"/>
  <c r="G20" i="9"/>
  <c r="F18" i="9"/>
  <c r="G18" i="9"/>
  <c r="H18" i="9"/>
  <c r="H21" i="9" l="1"/>
  <c r="G19" i="9"/>
  <c r="F19" i="9"/>
  <c r="F21" i="9"/>
  <c r="H19" i="9"/>
  <c r="G21" i="9"/>
  <c r="C26" i="27" l="1"/>
  <c r="C24" i="27"/>
  <c r="K132" i="29"/>
  <c r="I132" i="29"/>
  <c r="C22" i="27"/>
  <c r="F203" i="28" l="1"/>
  <c r="J203" i="28" s="1"/>
  <c r="C25" i="27"/>
  <c r="C23" i="27"/>
  <c r="K203" i="28" l="1"/>
  <c r="K200" i="28"/>
  <c r="H132" i="29"/>
  <c r="J132" i="29"/>
  <c r="L132" i="29" s="1"/>
  <c r="E205" i="28" s="1"/>
  <c r="AY8" i="31" l="1"/>
  <c r="AX8" i="31"/>
  <c r="BA8" i="31"/>
  <c r="C38" i="30"/>
  <c r="C40" i="30"/>
  <c r="C39" i="30"/>
  <c r="AW8" i="31"/>
  <c r="AZ8" i="31"/>
  <c r="B39" i="30"/>
  <c r="B40" i="30"/>
  <c r="B38" i="30"/>
  <c r="D22" i="9"/>
  <c r="D20" i="9"/>
  <c r="D18" i="9"/>
  <c r="C20" i="9"/>
  <c r="C22" i="9"/>
  <c r="C18" i="9"/>
  <c r="D19" i="9" l="1"/>
  <c r="D21" i="9"/>
  <c r="C21" i="9"/>
  <c r="C19" i="9"/>
  <c r="E22" i="9"/>
  <c r="E20" i="9"/>
  <c r="E18" i="9"/>
  <c r="I20" i="29"/>
  <c r="E21" i="9" l="1"/>
  <c r="K20" i="29"/>
  <c r="E86" i="28"/>
  <c r="F86" i="28" s="1"/>
  <c r="E19" i="9"/>
  <c r="F88" i="28"/>
  <c r="J88" i="28" s="1"/>
  <c r="J20" i="29"/>
  <c r="K88" i="28" l="1"/>
  <c r="K85" i="28"/>
  <c r="L20" i="29"/>
  <c r="E90" i="28" s="1"/>
  <c r="H19" i="29"/>
  <c r="H20" i="29" s="1"/>
  <c r="C9" i="11"/>
  <c r="F8" i="31" l="1"/>
  <c r="C8" i="30"/>
  <c r="B8" i="30"/>
  <c r="B9" i="30"/>
  <c r="C10" i="30"/>
  <c r="C9" i="30"/>
  <c r="B10" i="30"/>
  <c r="G8" i="31"/>
  <c r="H8" i="31"/>
  <c r="E8" i="31"/>
  <c r="D8" i="31"/>
  <c r="C22" i="11"/>
  <c r="C20" i="11"/>
  <c r="K9" i="11"/>
  <c r="K26" i="29" s="1"/>
  <c r="M9" i="11"/>
  <c r="I26" i="29" s="1"/>
  <c r="I9" i="11"/>
  <c r="L9" i="11" l="1"/>
  <c r="J9" i="11"/>
  <c r="L26" i="29" s="1"/>
  <c r="E96" i="28"/>
  <c r="F96" i="28" s="1"/>
  <c r="J96" i="28" s="1"/>
  <c r="J26" i="29"/>
  <c r="I29" i="29"/>
  <c r="I10" i="29" s="1"/>
  <c r="K29" i="29"/>
  <c r="K10" i="29" s="1"/>
  <c r="C18" i="11"/>
  <c r="H26" i="29" l="1"/>
  <c r="C21" i="11"/>
  <c r="C19" i="11"/>
  <c r="K96" i="28" l="1"/>
  <c r="J10" i="29"/>
  <c r="L10" i="29" s="1"/>
  <c r="H29" i="29"/>
  <c r="H10" i="29" s="1"/>
  <c r="K97" i="28"/>
  <c r="C14" i="30" s="1"/>
  <c r="L29" i="29" l="1"/>
  <c r="E100" i="28" s="1"/>
  <c r="C11" i="30"/>
  <c r="C13" i="30"/>
  <c r="B14" i="30"/>
  <c r="B12" i="30"/>
  <c r="B13" i="30"/>
  <c r="C12" i="30"/>
  <c r="B11" i="30"/>
  <c r="J8" i="31"/>
  <c r="K8" i="31"/>
  <c r="I8" i="31"/>
  <c r="L8" i="31"/>
  <c r="M8" i="31" l="1"/>
  <c r="BF8" i="31"/>
  <c r="BE8" i="31"/>
  <c r="BD8" i="31"/>
  <c r="BC8" i="31"/>
  <c r="BB8" i="31"/>
  <c r="C19" i="13"/>
  <c r="C23" i="13"/>
  <c r="C21" i="13"/>
  <c r="C20" i="13" l="1"/>
  <c r="C22" i="13"/>
  <c r="F21" i="13"/>
  <c r="F23" i="13"/>
  <c r="F19" i="13"/>
  <c r="H21" i="13"/>
  <c r="H23" i="13"/>
  <c r="E21" i="13"/>
  <c r="E23" i="13"/>
  <c r="D21" i="13"/>
  <c r="D23" i="13"/>
  <c r="G23" i="13"/>
  <c r="G21" i="13"/>
  <c r="G19" i="13"/>
  <c r="G22" i="13" s="1"/>
  <c r="D19" i="13"/>
  <c r="H19" i="13"/>
  <c r="E19" i="13"/>
  <c r="I63" i="29" l="1"/>
  <c r="K63" i="29"/>
  <c r="H20" i="13"/>
  <c r="E22" i="13"/>
  <c r="D20" i="13"/>
  <c r="F129" i="28"/>
  <c r="J129" i="28" s="1"/>
  <c r="K129" i="28" s="1"/>
  <c r="F20" i="13"/>
  <c r="D22" i="13"/>
  <c r="E20" i="13"/>
  <c r="H22" i="13"/>
  <c r="G20" i="13"/>
  <c r="F22" i="13"/>
  <c r="H61" i="29" l="1"/>
  <c r="K127" i="28"/>
  <c r="B16" i="30" s="1"/>
  <c r="J63" i="29"/>
  <c r="L63" i="29" s="1"/>
  <c r="E131" i="28" s="1"/>
  <c r="H62" i="29"/>
  <c r="H63" i="29" l="1"/>
  <c r="R8" i="31" s="1"/>
  <c r="B17" i="30"/>
  <c r="C17" i="30"/>
  <c r="B15" i="30"/>
  <c r="C15" i="30"/>
  <c r="C16" i="30"/>
  <c r="C23" i="35"/>
  <c r="I112" i="29"/>
  <c r="C25" i="35"/>
  <c r="K112" i="29"/>
  <c r="C21" i="35"/>
  <c r="O8" i="31" l="1"/>
  <c r="Q8" i="31"/>
  <c r="P8" i="31"/>
  <c r="N8" i="31"/>
  <c r="C22" i="35"/>
  <c r="C24" i="35"/>
  <c r="C25" i="19"/>
  <c r="C27" i="19"/>
  <c r="C23" i="19"/>
  <c r="H109" i="29" l="1"/>
  <c r="H112" i="29" s="1"/>
  <c r="J112" i="29"/>
  <c r="L112" i="29" s="1"/>
  <c r="E184" i="28" s="1"/>
  <c r="C26" i="19"/>
  <c r="C24" i="19"/>
  <c r="AM8" i="31" l="1"/>
  <c r="AO8" i="31"/>
  <c r="AP8" i="31"/>
  <c r="AQ8" i="31"/>
  <c r="AN8" i="31"/>
</calcChain>
</file>

<file path=xl/sharedStrings.xml><?xml version="1.0" encoding="utf-8"?>
<sst xmlns="http://schemas.openxmlformats.org/spreadsheetml/2006/main" count="1481" uniqueCount="388">
  <si>
    <t>Enter the information requested in the yellow highlighted cells in Column B.  
Information entered here will automatically be entered in all applicable worksheets in this workbook.</t>
  </si>
  <si>
    <t>Workbook Set-up Information</t>
  </si>
  <si>
    <t>NAME OF REVIEWER(S):</t>
  </si>
  <si>
    <t>BEGIN REVIEW DATE:</t>
  </si>
  <si>
    <t>END REVIEW DATE:</t>
  </si>
  <si>
    <t>Indicate in Column B the tools that are applicable for this review.</t>
  </si>
  <si>
    <t>Tools in this Workbook</t>
  </si>
  <si>
    <t>Applicable
(Yes/No)</t>
  </si>
  <si>
    <t>Yes</t>
  </si>
  <si>
    <t>REVIEW DATE(S):</t>
  </si>
  <si>
    <t>SCORE</t>
  </si>
  <si>
    <t>ITEM:</t>
  </si>
  <si>
    <t>REVIEW  ITEM:</t>
  </si>
  <si>
    <t># MET</t>
  </si>
  <si>
    <t>% MET</t>
  </si>
  <si>
    <t># NOT MET</t>
  </si>
  <si>
    <t>% NOT MET</t>
  </si>
  <si>
    <t># N/A</t>
  </si>
  <si>
    <t>1.</t>
  </si>
  <si>
    <t>2.</t>
  </si>
  <si>
    <t>3.</t>
  </si>
  <si>
    <t>4.</t>
  </si>
  <si>
    <t>5.</t>
  </si>
  <si>
    <t>6.</t>
  </si>
  <si>
    <t>REVIEWER'S INITIALS:</t>
  </si>
  <si>
    <t>Total Met:</t>
  </si>
  <si>
    <t>% Met:</t>
  </si>
  <si>
    <t>Total Not Met:</t>
  </si>
  <si>
    <t>% Not Met:</t>
  </si>
  <si>
    <t>Total N/A</t>
  </si>
  <si>
    <t>Record</t>
  </si>
  <si>
    <t># Met</t>
  </si>
  <si>
    <t># Not Met</t>
  </si>
  <si>
    <t>Include</t>
  </si>
  <si>
    <t>Results?</t>
  </si>
  <si>
    <t># Scorable Items</t>
  </si>
  <si>
    <t>% Met</t>
  </si>
  <si>
    <t>TOTAL</t>
  </si>
  <si>
    <t># Scorable Records / Items</t>
  </si>
  <si>
    <t>LME-MCO</t>
  </si>
  <si>
    <t>This list used in the Workbook Set-Up worksheet LME-MCO drop-down box.</t>
  </si>
  <si>
    <t>Range Name = LME_MCO</t>
  </si>
  <si>
    <t>LME-MCOs</t>
  </si>
  <si>
    <t>Cardinal Innovations Healthcare Solutions</t>
  </si>
  <si>
    <t>EastPointe</t>
  </si>
  <si>
    <t>Partners Behavioral Health Management</t>
  </si>
  <si>
    <t>Sandhills Center</t>
  </si>
  <si>
    <t>Summary Results For All Items Reviewed</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</si>
  <si>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</si>
  <si>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</si>
  <si>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</si>
  <si>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</si>
  <si>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</si>
  <si>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</si>
  <si>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</si>
  <si>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</si>
  <si>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</si>
  <si>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</si>
  <si>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</si>
  <si>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</si>
  <si>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</si>
  <si>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</si>
  <si>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</si>
  <si>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</si>
  <si>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</si>
  <si>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</si>
  <si>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</si>
  <si>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</si>
  <si>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</si>
  <si>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</si>
  <si>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</si>
  <si>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</si>
  <si>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</si>
  <si>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</si>
  <si>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</si>
  <si>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</si>
  <si>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</si>
  <si>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</si>
  <si>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</si>
  <si>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</si>
  <si>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</si>
  <si>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</si>
  <si>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</si>
  <si>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</si>
  <si>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</si>
  <si>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</si>
  <si>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</si>
  <si>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</si>
  <si>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</si>
  <si>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</si>
  <si>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</si>
  <si>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</si>
  <si>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</si>
  <si>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</si>
  <si>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</si>
  <si>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</si>
  <si>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</si>
  <si>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</si>
  <si>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</si>
  <si>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</si>
  <si>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</si>
  <si>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</si>
  <si>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</si>
  <si>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</si>
  <si>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</si>
  <si>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</si>
  <si>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</si>
  <si>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</si>
  <si>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</si>
  <si>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</si>
  <si>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</si>
  <si>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</si>
  <si>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</si>
  <si>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</si>
  <si>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</si>
  <si>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</si>
  <si>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</si>
  <si>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</si>
  <si>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</si>
  <si>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</si>
  <si>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</si>
  <si>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</si>
  <si>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</si>
  <si>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</si>
  <si>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</si>
  <si>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</si>
  <si>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</si>
  <si>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</si>
  <si>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</si>
  <si>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</si>
  <si>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</si>
  <si>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</si>
  <si>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</si>
  <si>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</si>
  <si>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</si>
  <si>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</si>
  <si>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</si>
  <si>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</si>
  <si>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</si>
  <si>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</si>
  <si>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</si>
  <si>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</si>
  <si>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</si>
  <si>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</si>
  <si>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</si>
  <si>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</si>
  <si>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</si>
  <si>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CUMBERLAND</t>
  </si>
  <si>
    <t>NAME OF REVIEWER #2:</t>
  </si>
  <si>
    <t>NAME OF REVIEWER #3:</t>
  </si>
  <si>
    <t>NAME OF REVIEWER #4:</t>
  </si>
  <si>
    <t>NAME OF REVIEWER #5:</t>
  </si>
  <si>
    <t>COMMENTS:</t>
  </si>
  <si>
    <t>Reviewer(s):</t>
  </si>
  <si>
    <t>Team Leader:</t>
  </si>
  <si>
    <t>Plan of Correction is required as follows:</t>
  </si>
  <si>
    <t>No Plan of Correction required</t>
  </si>
  <si>
    <t>No Recommendations made</t>
  </si>
  <si>
    <t xml:space="preserve">        </t>
  </si>
  <si>
    <t>Recommendations, not requiring Corrective Action:</t>
  </si>
  <si>
    <t>NAME OF TEAM LEADER:</t>
  </si>
  <si>
    <t>Review Date(s):</t>
  </si>
  <si>
    <t>Division of Mental Health, Developmental Disabilities and Substance Abuse Services</t>
  </si>
  <si>
    <t>Summary of Findings</t>
  </si>
  <si>
    <t>Results of this review will be forwarded to various Sections / Teams within the Division of MH/DD/SAS as well as to the Department of Health and Human Services Office of the Internal Auditor.</t>
  </si>
  <si>
    <t>LME-MCO:</t>
  </si>
  <si>
    <t>During the review, the following evaluations were conducted:</t>
  </si>
  <si>
    <r>
      <t>North Carolina</t>
    </r>
    <r>
      <rPr>
        <sz val="14"/>
        <rFont val="Arial"/>
        <family val="2"/>
      </rPr>
      <t xml:space="preserve"> </t>
    </r>
    <r>
      <rPr>
        <b/>
        <sz val="14"/>
        <rFont val="Arial"/>
        <family val="2"/>
      </rPr>
      <t>Department of Health and Human Services</t>
    </r>
  </si>
  <si>
    <t>REVIEW DATE(S)</t>
  </si>
  <si>
    <t>Overall Results</t>
  </si>
  <si>
    <t>Begin Review Date</t>
  </si>
  <si>
    <t>End Review Date</t>
  </si>
  <si>
    <t># Scorable Items &amp; Records</t>
  </si>
  <si>
    <t># ScorableRecords</t>
  </si>
  <si>
    <t># Scorable Records</t>
  </si>
  <si>
    <t>NAME OF REVIEWER #6:</t>
  </si>
  <si>
    <t>NAME OF REVIEWER #7:</t>
  </si>
  <si>
    <t>NAME OF REVIEWER #8:</t>
  </si>
  <si>
    <t>COUNTY NAME</t>
  </si>
  <si>
    <t>There is evidence that this individual meets the requirements of the designated benefit plan.</t>
  </si>
  <si>
    <t>LME Monitoring Plan of Correction</t>
  </si>
  <si>
    <t>Benefit Plan</t>
  </si>
  <si>
    <t>Service Definition</t>
  </si>
  <si>
    <t>DMH/DD/SAS LME Monitoring Overall Summary of Results</t>
  </si>
  <si>
    <t>DMH/DD/SAS LME Monitoring Tools Summary Results</t>
  </si>
  <si>
    <t>Trillium Health Resources</t>
  </si>
  <si>
    <t>The Quality Management and Operations Section of the Division of MH/DD/SAS conducted monitoring of the following LME-MCO:</t>
  </si>
  <si>
    <r>
      <rPr>
        <b/>
        <u/>
        <sz val="8"/>
        <rFont val="Arial"/>
        <family val="2"/>
      </rPr>
      <t>Disclaimer:</t>
    </r>
    <r>
      <rPr>
        <sz val="8"/>
        <rFont val="Arial"/>
        <family val="2"/>
      </rPr>
      <t xml:space="preserve">  Every effort has been made to ensure the accuracy of this report.  Any errors noted should be reported immediately to the team leader.  Mail:  DMH/DD/SAS, Mail Service Center 3001, Raleigh, NC 27699; Phone: (919) 715-2076.</t>
    </r>
  </si>
  <si>
    <t>DATE OF SERVICE:</t>
  </si>
  <si>
    <t>CLIENT ID:</t>
  </si>
  <si>
    <t>BENEFIT PLAN:</t>
  </si>
  <si>
    <t>There is evidence that this individual meets the requirements of the designated benefit plan. Per GS 122C-3(12a), Developmental Disability means a severe, chronic disability of a person.
ALL the following statements need to be answered YES in order for this item to be MET.</t>
  </si>
  <si>
    <t>a</t>
  </si>
  <si>
    <t>d</t>
  </si>
  <si>
    <t>e</t>
  </si>
  <si>
    <t>b</t>
  </si>
  <si>
    <t>c</t>
  </si>
  <si>
    <t>Is attributable to a mental or physical impairment or a combination of mental and physical impairments;</t>
  </si>
  <si>
    <t>Is manifested before the person attains age 22, unless the disability is caused by a traumatic head injury and is manifested after age 22;</t>
  </si>
  <si>
    <t>Is likely to continue indefinitely;</t>
  </si>
  <si>
    <t>Results in substantial functional limitations in three or more of the following areas of major life activity:  self-care, receptive and expressive language, capacity for independent living, learning, mobility, self-direction and economic self-sufficiency; and</t>
  </si>
  <si>
    <t>Reflects the person’s need for a combination and sequence of special interdisciplinary, or generic care, treatment, or other services which are of a lifelong or extended duration and are individually planned and coordinated.</t>
  </si>
  <si>
    <t>REVIEW ITEM:</t>
  </si>
  <si>
    <t>AGE:</t>
  </si>
  <si>
    <t xml:space="preserve">The individual has a condition that may be defined as a developmental disability as defined in G.S 122C-3 (12a). </t>
  </si>
  <si>
    <t>The individual has a NC SNAP or Supports Intensity Scale (SIS) and</t>
  </si>
  <si>
    <t>The individual is experiencing difficulties in at least one of the following areas:</t>
  </si>
  <si>
    <t>There is evidence that this individual meets the eligibility requirements of the service definition. Individual must meet all the items listed below.</t>
  </si>
  <si>
    <t>Functional impairment AND/OR</t>
  </si>
  <si>
    <t>Crisis intervention/diversion/aftercare needs, AND/OR</t>
  </si>
  <si>
    <t>At risk of placement outside the natural home setting</t>
  </si>
  <si>
    <t>The individual’s level of functioning has not been restored or improved and may indicate a need for clinical interventions in a natural setting if any of the following apply:</t>
  </si>
  <si>
    <t>At risk for out of home placement, hospitalization, and/or institutionalization due to symptoms associated with diagnosis AND/OR</t>
  </si>
  <si>
    <t>Presents with intensive verbal, and limited physical aggression due to symptoms associated with diagnosis, which are sufficient to create functional problems in a community setting AND/OR</t>
  </si>
  <si>
    <t>At risk of exclusion from services, placement or significant community support systems as a result of functional behavioral problems associated with the diagnosis AND/OR</t>
  </si>
  <si>
    <t xml:space="preserve">Requires a structured setting to foster successful integration into the community through individualized interventions and activities. </t>
  </si>
  <si>
    <t>There is evidence that this individual meets the eligibility requirements of the service definition. Individual must meet all the items listed.</t>
  </si>
  <si>
    <t>IDD Clinical Monitoring Overall Results</t>
  </si>
  <si>
    <r>
      <t xml:space="preserve">There is evidence that this individual meets benefit plan eligibility.  </t>
    </r>
    <r>
      <rPr>
        <b/>
        <sz val="10"/>
        <color theme="3" tint="-0.499984740745262"/>
        <rFont val="Arial Narrow"/>
        <family val="2"/>
      </rPr>
      <t>[This item is automatically scored based on results from the Group Living Eligibility Checklist]</t>
    </r>
  </si>
  <si>
    <r>
      <t xml:space="preserve">This worksheet is used to evaluate item 1 on the IDD Concurrent Authorization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</si>
  <si>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 xml:space="preserve">The individual has a NC SNAP or Supports Intensity Scale (SIS) </t>
  </si>
  <si>
    <t>Consumer is making satisfactory progress toward meeting goals.</t>
  </si>
  <si>
    <t>There is evidence that this individual meets benefit plan eligibility.</t>
  </si>
  <si>
    <t xml:space="preserve">Copy the clinical monitoring results from row 8 of this worksheet, and using the paste special command, paste the values into the DMH Clinical Monitoring Database </t>
  </si>
  <si>
    <t>IDD Clinical Monitoring</t>
  </si>
  <si>
    <t>Guidelines for the IDD Clinical Monitoring Tools</t>
  </si>
  <si>
    <t>IDD Supervised Living - Moderate Initial Authorization</t>
  </si>
  <si>
    <t>IDD Supervised Living - Moderate Continuation Authorization</t>
  </si>
  <si>
    <t>Vaya Health</t>
  </si>
  <si>
    <t>Mya Lewis</t>
  </si>
  <si>
    <t>LaToya Chancey</t>
  </si>
  <si>
    <t>Rachel Noell</t>
  </si>
  <si>
    <t>IDD Group Living - Low Initial Authorization</t>
  </si>
  <si>
    <t>IDD Supervised Living - Low Initial Authorization</t>
  </si>
  <si>
    <t>IDD Supervised Living - Low Continuation Authorization</t>
  </si>
  <si>
    <r>
      <t xml:space="preserve">Copy the IDD clinical monitoring results from column B of this worksheet, and using the paste special command, </t>
    </r>
    <r>
      <rPr>
        <b/>
        <sz val="10"/>
        <color rgb="FFFF0000"/>
        <rFont val="Arial Narrow"/>
        <family val="2"/>
      </rPr>
      <t>paste the values</t>
    </r>
    <r>
      <rPr>
        <b/>
        <sz val="10"/>
        <color theme="3" tint="-0.499984740745262"/>
        <rFont val="Arial Narrow"/>
        <family val="2"/>
      </rPr>
      <t xml:space="preserve"> into the IDD Clinical Monitoring Review Summary</t>
    </r>
  </si>
  <si>
    <t>IDD Group Living - Moderate Initial Authorization</t>
  </si>
  <si>
    <t>IDD Group Living - High Initial Authorization</t>
  </si>
  <si>
    <t>IDD Group Living - High Continuation Authorization</t>
  </si>
  <si>
    <t>IDD Group Living - Low Continuation Authorization</t>
  </si>
  <si>
    <t>IDD Group Living - Moderate Continuation Authorization</t>
  </si>
  <si>
    <t>DMH/DD/SAS IDD Clinical Monitoring Tools Summary Results</t>
  </si>
  <si>
    <r>
      <t xml:space="preserve">There is evidence that this individual meets benefit plan eligibility.  </t>
    </r>
    <r>
      <rPr>
        <b/>
        <sz val="10"/>
        <color theme="3" tint="-0.499984740745262"/>
        <rFont val="Arial Narrow"/>
        <family val="2"/>
      </rPr>
      <t>[This item is automatically scored based on results from the Supported Employment Eligibility Checklist]</t>
    </r>
  </si>
  <si>
    <t>IDD Supported Employment Continuation Authorization Clinical Monitoring Checklist</t>
  </si>
  <si>
    <t>IDD Supported Employment  Initial Authorization Eligibility Checklist</t>
  </si>
  <si>
    <t>IDD Supported Employment Initial Authorization Clinical Monitoring Tool</t>
  </si>
  <si>
    <r>
      <t xml:space="preserve">This worksheet is used to evaluate item 1 on the IDD Supported Employment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</si>
  <si>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r>
      <t xml:space="preserve">This worksheet is used to evaluate item 1 on the IDD Developmental Day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</si>
  <si>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IDD Developmental Day - Moderate Initial Authorization Eligibility Checklist</t>
  </si>
  <si>
    <t>If the recipient is functioning effectively with this service and discharge would otherwise be indicated, Supported Employment-Individual should be maintained when it can be reasonably anticipated that regression is likely to occur if the service is withdrawn. The decision should be based on any one of the following:</t>
  </si>
  <si>
    <t>The individual has a NC SNAP or Supports Intensity Scale (SIS)</t>
  </si>
  <si>
    <t>3</t>
  </si>
  <si>
    <t>In the event there are epidemiologically sound expectations that symptoms will persist and that ongoing treatment interventions are needed to sustain functional gains, the presence of a DSM-5 (or any subsequent editions of this reference material) diagnosis would necessitate a disability management approach.</t>
  </si>
  <si>
    <t>The recipient is eligible for this service when there is an  child under age 3 determined to be eligible for early intervention services through procedures documented in the North Carolina Infant Toddler Program Manual (Bulletins 16 and 22) or the child has a condition that may be defined as a developmental disability as defined in GS 122C-3 (12a); AND</t>
  </si>
  <si>
    <t>NCSNAP or Supports Intensity Scale, or children under age 3 determined to be eligible for early intervention services through procedures documented in the North Carolina Infant Toddler Program Manual (Bulletins 16 and 22) or, if over age 3, deemed eligible for services based on a documented developmental delay or disability.</t>
  </si>
  <si>
    <t>The client is experiencing difficulties in at least one of the following areas:</t>
  </si>
  <si>
    <t>The client’s level of functioning is delayed or has not improved and may indicate a need for Developmental day services</t>
  </si>
  <si>
    <t>Child is in need of special instruction and/or specialized therapies because of identified risk factors or delays, as evidenced by the multidisciplinary assessment.</t>
  </si>
  <si>
    <t>Individual requires assistance, and/ or training to access community supports and for activities of daily living.</t>
  </si>
  <si>
    <t>IDD Developmental Day Initial Authorization Clinical Monitoring Tool</t>
  </si>
  <si>
    <t>AND</t>
  </si>
  <si>
    <t>Services must be listed on the child’s service plan [IFSP, etc.], subject to review on a 6-month cycle for children under age 3.  For children age 3 and older, services must be listed on the child’s service plan [IEP, etc.], subject to annual review.</t>
  </si>
  <si>
    <t>IDD Developmental Day Continuation Authorization Clinical Monitoring Checklist</t>
  </si>
  <si>
    <t>IDD Supported Employment Initial Authorization</t>
  </si>
  <si>
    <t>IDD Supported Employment Continuation Authorization</t>
  </si>
  <si>
    <t>IDD Developmental Day Initial Authorization</t>
  </si>
  <si>
    <t>IDD Developmental Day Continuation</t>
  </si>
  <si>
    <t>IDD Day Activity Initial Authorization</t>
  </si>
  <si>
    <t>IDD Day Activity Continuation Authorization</t>
  </si>
  <si>
    <t>IDD Day Supports Initial Authorization</t>
  </si>
  <si>
    <t>IDD Day Supports Continuation Authorization</t>
  </si>
  <si>
    <t>IDD CAET-Community Activity and Employment Transitions Initial Authorization</t>
  </si>
  <si>
    <t>IDD CAET-Community Activity and Employment Transitions Continuation Authorization</t>
  </si>
  <si>
    <t>IDD Day Activity Continuation Authorization Clinical Monitoring Tool</t>
  </si>
  <si>
    <t>IDD Day Activity Initial Authorization Eligibility Checklist</t>
  </si>
  <si>
    <r>
      <t xml:space="preserve">This worksheet is used to evaluate item 1 on the IDD Day Activity Tool.  Results below are automatically entered on that tool.  This worksheet has spaces to evaluate up to 6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</si>
  <si>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IDD Day Activity Continuation Authorization Clinical Monitoring Checklist</t>
  </si>
  <si>
    <r>
      <t xml:space="preserve">There is evidence that this individual meets benefit plan eligibility.  </t>
    </r>
    <r>
      <rPr>
        <b/>
        <sz val="10"/>
        <color theme="3" tint="-0.499984740745262"/>
        <rFont val="Arial Narrow"/>
        <family val="2"/>
      </rPr>
      <t>[This item is automatically scored based on results from the Day Activity Eligibility Checklist]</t>
    </r>
  </si>
  <si>
    <t>IDD Day Activity Initial Authorization Clinical Monitoring Tool</t>
  </si>
  <si>
    <t>4</t>
  </si>
  <si>
    <t>5</t>
  </si>
  <si>
    <t>6</t>
  </si>
  <si>
    <t>The desired outcome or level of functioning has not been restored, improved, or sustained over the time frame outlined in the consumer’s service plan or the consumer continues to be at risk for relapse based on history or the tenuous nature of the functional gains or any one of the following apply</t>
  </si>
  <si>
    <t>Consumer has achieved initial service plan goals and additional goals are indicated</t>
  </si>
  <si>
    <t>Consumer is making some progress, but the service plan (specific interventions) need to be modified so that greater gains which are consistent with the consumer’s premorbid level of functioning are possible or can be achieved</t>
  </si>
  <si>
    <t>Consumer is not making progress; the service plan must be modified to identify more effective interventions</t>
  </si>
  <si>
    <t>Consumer is regressing; the service plan must be modified to identify more effective interventions</t>
  </si>
  <si>
    <t>IDD Day Supports Initial Authorization Clinical Monitoring Checklist</t>
  </si>
  <si>
    <t>IDD Day Supports Initial Authorization Clinical Monitoring Tool</t>
  </si>
  <si>
    <r>
      <t xml:space="preserve">There is evidence that this individual meets benefit plan eligibility.  </t>
    </r>
    <r>
      <rPr>
        <b/>
        <sz val="10"/>
        <color theme="3" tint="-0.499984740745262"/>
        <rFont val="Arial Narrow"/>
        <family val="2"/>
      </rPr>
      <t>[This item is automatically scored based on results from theDay Supports Initial Authorization Eligibility Checklist]</t>
    </r>
  </si>
  <si>
    <t>IDD Day Supports Continuation Authorization Clinical Monitoring Checklist</t>
  </si>
  <si>
    <t>Consumer’s level of functioning has improved with respect to the goals outlined in the service plan, or no longer benefits from this service.  The decision should be based on one of the following</t>
  </si>
  <si>
    <t>Consumer has achieved service plan goals; discharge to a lower level of care is indicated</t>
  </si>
  <si>
    <t>Consumer is not making progress, or is regressing, and all realistic treatment options within this modality have been exhausted.</t>
  </si>
  <si>
    <t>If the recipient is functioning effectively with this service and discharge would otherwise be indicated, Day Supports should be maintained when it can be reasonably anticipated that regression is likely to occur if the service is withdrawn. The decision should be based on any one of the following</t>
  </si>
  <si>
    <t>Evidence that gains will be lost in the absence of Day Supports is documented in the service record</t>
  </si>
  <si>
    <t>In the event there are epidemiologically sound expectations that symptoms will persist and that ongoing treatment interventions are needed to sustain functional gains, the presence of a DSM-5 (or any subsequent editions of this reference material) diagnosis would necessitate a disability management approach</t>
  </si>
  <si>
    <t>2</t>
  </si>
  <si>
    <t xml:space="preserve">The individual is experiencing difficulties in at least one of the following areas:  </t>
  </si>
  <si>
    <t>Inidividual has functional impairment</t>
  </si>
  <si>
    <t>Individual has crisis intervnetion/diversion/aftercare needs, and/or</t>
  </si>
  <si>
    <t>Individual at risk of placement in more restrictive setting</t>
  </si>
  <si>
    <t>The individual’s level of functioning has not been restored or improved and may indicate a needs for intensive supports in a natural setting if any of the following apply:</t>
  </si>
  <si>
    <t>At risk of out of home placement, hospitalization, and/or institutionalization due to symptoms associated with diagnosis.</t>
  </si>
  <si>
    <t>At risk of exclusion from services, placement or significant or significant community support systems as a result of functional or behavioral issues associated with the diagnosis</t>
  </si>
  <si>
    <t>The desired outcome or level of functioning has not been restored, improved or sustained over the time frame outlined in the Person Centered Plan</t>
  </si>
  <si>
    <t>2018 – 2019</t>
  </si>
  <si>
    <r>
      <t xml:space="preserve">Information regarding authority and compliance criteria may be obtained by contacting:
   </t>
    </r>
    <r>
      <rPr>
        <b/>
        <sz val="10"/>
        <rFont val="Arial"/>
        <family val="2"/>
      </rPr>
      <t xml:space="preserve">LaToya Chancey
  </t>
    </r>
    <r>
      <rPr>
        <sz val="10"/>
        <rFont val="Arial"/>
        <family val="2"/>
      </rPr>
      <t>I/DD &amp; TBI Section:  I/DD Team
   Division of DMH/DD/SAS
   3004 Mail Service Center
   Raleigh, NC 27699-3004</t>
    </r>
  </si>
  <si>
    <t>IDD Developmental Day Continuation Authorization</t>
  </si>
  <si>
    <t>IDD CAET Initial Authorization</t>
  </si>
  <si>
    <t>IDD CAET Continuation Authorization</t>
  </si>
  <si>
    <t>IDD CAET Initial Authorization Clinical Monitoring Checklist</t>
  </si>
  <si>
    <t>IDD CAET Continuation Authorization Clinical Monitoring Tool</t>
  </si>
  <si>
    <t>IDD CAET Continuation Authorization Clinical Monitoring Checklist</t>
  </si>
  <si>
    <r>
      <t xml:space="preserve">There is evidence that this individual meets benefit plan eligibility.  </t>
    </r>
    <r>
      <rPr>
        <b/>
        <sz val="10"/>
        <color theme="3" tint="-0.499984740745262"/>
        <rFont val="Arial Narrow"/>
        <family val="2"/>
      </rPr>
      <t>[This item is automatically scored based on results from the CAET Continuation Authorization Eligibility Checklist]</t>
    </r>
  </si>
  <si>
    <r>
      <t xml:space="preserve">Evidence that gains will be lost in the absence of Supported Employment-Individual is documented in the service record, </t>
    </r>
    <r>
      <rPr>
        <b/>
        <sz val="10"/>
        <rFont val="Arial Narrow"/>
        <family val="2"/>
      </rPr>
      <t>OR</t>
    </r>
  </si>
  <si>
    <t>If the individual is functioning effectively with this service and discharge would otherwise be indicated, Supported Employment-Individual should be maintained when it can be reasonably anticipated that regression is likely to occur if the service is withdrawn. The decision should be based on any one of the following:</t>
  </si>
  <si>
    <r>
      <t xml:space="preserve">Evidence that gains will be lost in the absence of Supported Employment is documented in the service record, </t>
    </r>
    <r>
      <rPr>
        <b/>
        <sz val="10"/>
        <rFont val="Arial Narrow"/>
        <family val="2"/>
      </rPr>
      <t>OR</t>
    </r>
  </si>
  <si>
    <r>
      <t xml:space="preserve">The individual is eligible for this service when there is an  child under age 3 determined to be eligible for early intervention services through procedures documented in the North Carolina Infant Toddler Program Manual (Bulletins 16 and 22) or the child has a condition that may be defined as a developmental disability as defined in GS 122C-3 (12a); </t>
    </r>
    <r>
      <rPr>
        <b/>
        <sz val="10"/>
        <color rgb="FFFF0000"/>
        <rFont val="Arial Narrow"/>
        <family val="2"/>
      </rPr>
      <t>AND</t>
    </r>
  </si>
  <si>
    <t>The individual's level of functioning is delayed or has not improved and may indicate a need for Developmental day services</t>
  </si>
  <si>
    <t>The individual (child) is in need of special instruction and/or specialized therapies because of identified risk factors or delays, as evidenced by the multidisciplinary assessment.</t>
  </si>
  <si>
    <r>
      <t xml:space="preserve">There is evidence that this individual meets benefit plan eligibility.  </t>
    </r>
    <r>
      <rPr>
        <b/>
        <sz val="10"/>
        <color theme="3" tint="-0.499984740745262"/>
        <rFont val="Arial Narrow"/>
        <family val="2"/>
      </rPr>
      <t>[This item is automatically scored based on results from the Developmental Day Eligibility Checklist]</t>
    </r>
  </si>
  <si>
    <t>ii</t>
  </si>
  <si>
    <t>iii</t>
  </si>
  <si>
    <t>i</t>
  </si>
  <si>
    <r>
      <t xml:space="preserve">Functional impairment </t>
    </r>
    <r>
      <rPr>
        <b/>
        <sz val="10"/>
        <rFont val="Arial Narrow"/>
        <family val="2"/>
      </rPr>
      <t>AND/OR</t>
    </r>
  </si>
  <si>
    <r>
      <t>Crisis intervention/diversion/aftercare needs,</t>
    </r>
    <r>
      <rPr>
        <b/>
        <sz val="10"/>
        <rFont val="Arial Narrow"/>
        <family val="2"/>
      </rPr>
      <t xml:space="preserve"> AND/OR</t>
    </r>
  </si>
  <si>
    <r>
      <t xml:space="preserve">Presents with intensive verbal, and limited physical aggression due to symptoms associated with diagnosis, which are sufficient to create functional problems in a community setting </t>
    </r>
    <r>
      <rPr>
        <b/>
        <sz val="10"/>
        <rFont val="Arial Narrow"/>
        <family val="2"/>
      </rPr>
      <t>AND/OR</t>
    </r>
  </si>
  <si>
    <r>
      <t xml:space="preserve">At risk of exclusion from services, placement or significant community support systems as a result of functional behavioral problems associated with the diagnosis </t>
    </r>
    <r>
      <rPr>
        <b/>
        <sz val="10"/>
        <rFont val="Arial Narrow"/>
        <family val="2"/>
      </rPr>
      <t>AND/OR</t>
    </r>
  </si>
  <si>
    <r>
      <t xml:space="preserve">At risk for out of home placement, hospitalization, and/or institutionalization due to symptoms associated with diagnosis </t>
    </r>
    <r>
      <rPr>
        <b/>
        <sz val="10"/>
        <rFont val="Arial Narrow"/>
        <family val="2"/>
      </rPr>
      <t>AND/OR</t>
    </r>
  </si>
  <si>
    <t>7</t>
  </si>
  <si>
    <t>Individual has SNAP or SIS</t>
  </si>
  <si>
    <t>Individual has a SNAP or SIS</t>
  </si>
  <si>
    <t xml:space="preserve">If the individual is functioning effectively with this service and discharge would otherwise be indicated, Supported Employment-Individual should be maintained when it can be reasonably anticipated that regression is likely to occur if the service is withdrawn. </t>
  </si>
  <si>
    <t>The individual meets the continuation/utilization review criteria as listed in Developmental Day service definition.</t>
  </si>
  <si>
    <t>The individual meets the continuation/utilization review criteria as listed in Day Activity service definition.</t>
  </si>
  <si>
    <t>The individual meets the continuation/utilization review criteria as listed in Developmental Disability service definition.</t>
  </si>
  <si>
    <t>Anglelia Lightfoot</t>
  </si>
  <si>
    <t>Alliance Health</t>
  </si>
  <si>
    <t>NC DIVISION OF MH/DD/SAS</t>
  </si>
  <si>
    <t>2018/2019 Protocol</t>
  </si>
  <si>
    <t>State and Federal Funded Services</t>
  </si>
  <si>
    <t>MONITORING GUIDELINES</t>
  </si>
  <si>
    <t>State-Funded IDD Services Review:</t>
  </si>
  <si>
    <r>
      <t>·</t>
    </r>
    <r>
      <rPr>
        <sz val="7"/>
        <rFont val="Times New Roman"/>
        <family val="1"/>
      </rPr>
      <t xml:space="preserve">       </t>
    </r>
    <r>
      <rPr>
        <sz val="11"/>
        <rFont val="Calibri"/>
        <family val="2"/>
      </rPr>
      <t>Benefit Plan Eligibility Criteria</t>
    </r>
  </si>
  <si>
    <r>
      <t>·</t>
    </r>
    <r>
      <rPr>
        <sz val="7"/>
        <rFont val="Times New Roman"/>
        <family val="1"/>
      </rPr>
      <t xml:space="preserve">       </t>
    </r>
    <r>
      <rPr>
        <sz val="11"/>
        <rFont val="Calibri"/>
        <family val="2"/>
      </rPr>
      <t>Initial or Concurrent Service Criteria</t>
    </r>
  </si>
  <si>
    <t>The Division will generate a sample of paid claims for the expenditure of State and Social Services Block Grant funds for service provision.  The LME-MCO authorizations reviewed will represent the services listed below:</t>
  </si>
  <si>
    <r>
      <t>·</t>
    </r>
    <r>
      <rPr>
        <sz val="7"/>
        <rFont val="Times New Roman"/>
        <family val="1"/>
      </rPr>
      <t xml:space="preserve">       </t>
    </r>
    <r>
      <rPr>
        <sz val="11"/>
        <rFont val="Calibri"/>
        <family val="2"/>
      </rPr>
      <t>Supported Employment</t>
    </r>
  </si>
  <si>
    <r>
      <t>·</t>
    </r>
    <r>
      <rPr>
        <sz val="7"/>
        <rFont val="Times New Roman"/>
        <family val="1"/>
      </rPr>
      <t xml:space="preserve">       </t>
    </r>
    <r>
      <rPr>
        <sz val="11"/>
        <rFont val="Calibri"/>
        <family val="2"/>
      </rPr>
      <t>Long Term Vocational Supports</t>
    </r>
  </si>
  <si>
    <r>
      <t>·</t>
    </r>
    <r>
      <rPr>
        <sz val="7"/>
        <rFont val="Times New Roman"/>
        <family val="1"/>
      </rPr>
      <t xml:space="preserve">       </t>
    </r>
    <r>
      <rPr>
        <sz val="11"/>
        <rFont val="Calibri"/>
        <family val="2"/>
      </rPr>
      <t>Developmental Day</t>
    </r>
  </si>
  <si>
    <r>
      <t>·</t>
    </r>
    <r>
      <rPr>
        <sz val="7"/>
        <rFont val="Times New Roman"/>
        <family val="1"/>
      </rPr>
      <t xml:space="preserve">       </t>
    </r>
    <r>
      <rPr>
        <sz val="11"/>
        <rFont val="Calibri"/>
        <family val="2"/>
      </rPr>
      <t>Day Activity</t>
    </r>
  </si>
  <si>
    <r>
      <t>·</t>
    </r>
    <r>
      <rPr>
        <sz val="7"/>
        <rFont val="Times New Roman"/>
        <family val="1"/>
      </rPr>
      <t xml:space="preserve">       </t>
    </r>
    <r>
      <rPr>
        <sz val="11"/>
        <rFont val="Calibri"/>
        <family val="2"/>
      </rPr>
      <t>Day Supports</t>
    </r>
  </si>
  <si>
    <r>
      <t>·</t>
    </r>
    <r>
      <rPr>
        <sz val="7"/>
        <rFont val="Times New Roman"/>
        <family val="1"/>
      </rPr>
      <t xml:space="preserve">       </t>
    </r>
    <r>
      <rPr>
        <sz val="11"/>
        <rFont val="Calibri"/>
        <family val="2"/>
      </rPr>
      <t>CAET-Community Activity and Employment Transitions</t>
    </r>
  </si>
  <si>
    <t xml:space="preserve">The LME-MCO will be notified of which records/authorizations to have available for the review.  The LME-MCO must ensure that sufficient documentation to adequately respond to the questions on the LME Clinical Monitoring tool is present at the review site.  </t>
  </si>
  <si>
    <t>The LME-MCO’s record will be reviewed for 1) DMH/DD/SAS Benefit Plan eligibility and 2) eligibility for the specific service (initial or concurrent authorizations).  The sample to be reviewed will include 8 claims from each of the services paid for with state funds and federal funds.  The LME-MCO may have paper or electronic records available for review.</t>
  </si>
  <si>
    <t>Any services that eligibility was only verified by the LME-MCO during the post-payment review will require the following:</t>
  </si>
  <si>
    <r>
      <t>1)</t>
    </r>
    <r>
      <rPr>
        <sz val="7"/>
        <rFont val="Times New Roman"/>
        <family val="1"/>
      </rPr>
      <t xml:space="preserve">     </t>
    </r>
    <r>
      <rPr>
        <sz val="11"/>
        <rFont val="Calibri"/>
        <family val="2"/>
      </rPr>
      <t>A copy of the most recent LME-MCO post-payment review policy</t>
    </r>
  </si>
  <si>
    <r>
      <t>2)</t>
    </r>
    <r>
      <rPr>
        <sz val="7"/>
        <rFont val="Times New Roman"/>
        <family val="1"/>
      </rPr>
      <t xml:space="preserve">     </t>
    </r>
    <r>
      <rPr>
        <sz val="11"/>
        <rFont val="Calibri"/>
        <family val="2"/>
      </rPr>
      <t>A copy of the most recent LME-MCO post-payment review of the specific service (e.g., supported employment) and</t>
    </r>
  </si>
  <si>
    <r>
      <t>3)</t>
    </r>
    <r>
      <rPr>
        <sz val="7"/>
        <rFont val="Times New Roman"/>
        <family val="1"/>
      </rPr>
      <t xml:space="preserve">     </t>
    </r>
    <r>
      <rPr>
        <sz val="11"/>
        <rFont val="Calibri"/>
        <family val="2"/>
      </rPr>
      <t>The service records or sufficient documentation to adequately respond to the questions on the LME Clinical Monitoring tool available on-site for review.</t>
    </r>
  </si>
  <si>
    <t>CRITERIA MONITORING</t>
  </si>
  <si>
    <t>BENEFIT PLAN/SERVICE ELIGIBILITY</t>
  </si>
  <si>
    <t>IDD Long Term Vocational Supports Initial Authorization</t>
  </si>
  <si>
    <t>IDD Long Term Vocational Supports Continuation Authorization</t>
  </si>
  <si>
    <t>IDD Supported Employment Continuation Authorization Clinical Monitoring Tool</t>
  </si>
  <si>
    <t xml:space="preserve">If the recipient is functioning effectively with this service and discharge would otherwise be indicated, Supported Employment-Individual should be maintained when it can be reasonably anticipated that regression is likely to occur if the service is withdrawn. </t>
  </si>
  <si>
    <t>IDD Developmental Day Continuation Authorization Clinical Monitoring Tool</t>
  </si>
  <si>
    <t>A</t>
  </si>
  <si>
    <t>B</t>
  </si>
  <si>
    <t>C</t>
  </si>
  <si>
    <t>D</t>
  </si>
  <si>
    <t>iv</t>
  </si>
  <si>
    <t>The individual’s level of functioning has not been restored or improved and may indicate a need for clinical interventions in a natural setting</t>
  </si>
  <si>
    <t xml:space="preserve">The desired outcome or level of functioning has not been restored, improved, or sustained over the time frame outlined in the consumer’s service plan or the consumer continues to be at risk for relapse based on history or the tenuous nature of the functional gains </t>
  </si>
  <si>
    <t xml:space="preserve">Consumer’s level of functioning has improved with respect to the goals outlined in the service plan, or no longer benefits from this service. </t>
  </si>
  <si>
    <t>Consumer’s level of functioning has improved with respect to the goals outlined in the service plan, or no longer benefits from this service.</t>
  </si>
  <si>
    <t xml:space="preserve">If the recipient is functioning effectively with this service and discharge would otherwise be indicated, Day Supports should be maintained when it can be reasonably anticipated that regression is likely to occur if the service is withdrawn. </t>
  </si>
  <si>
    <t xml:space="preserve">If the recipient is functioning effectively with this service and discharge would otherwise be indicated, Day Supports should be maintained                                                  when it can be reasonably anticipated that regression is likely to occur if the service is withdrawn. </t>
  </si>
  <si>
    <t>Individual expereincing difficulties</t>
  </si>
  <si>
    <t xml:space="preserve">The individual’s level of functioning has not been restored or improved and may indicate a needs for intensive supports in a natural setting </t>
  </si>
  <si>
    <t>IDD Long-Term Vocational Supports Initial Authorization Eligibility Checklist</t>
  </si>
  <si>
    <t>IDD Long-Term Vocational Supports Initial Authorization Clinical Monitoring Tool</t>
  </si>
  <si>
    <t>Individual verbalized desire to work and currently expresses a preference for ongoing supports.</t>
  </si>
  <si>
    <t xml:space="preserve">Individual requires assistance in addition to what is typically available from the employer to maintain competitive employment because of functional deficits and behaviors associated with diagnosis. </t>
  </si>
  <si>
    <t>IDD LTVS Initial Authorization</t>
  </si>
  <si>
    <t>IDD LTVS Continuation Authorization</t>
  </si>
  <si>
    <t>Consumer requires this service to maintain their function for employment within the community and progress towards meaningful long term career goals.</t>
  </si>
  <si>
    <t>IDD long-Term Vocational Supports Continuation Authorization Clinical Monitoring Tool</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</si>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</sst>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dd/yy;@"/>
  </numFmts>
  <fonts count="57">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0"/>
      <color theme="3" tint="-0.249977111117893"/>
      <name val="Arial"/>
      <family val="2"/>
      <scheme val="minor"/>
    </font>
    <font>
      <b/>
      <u/>
      <sz val="10"/>
      <color theme="3" tint="-0.249977111117893"/>
      <name val="Arial"/>
      <family val="2"/>
      <scheme val="minor"/>
    </font>
    <font>
      <sz val="11"/>
      <color indexed="8"/>
      <name val="Helvetica Neue"/>
    </font>
    <font>
      <sz val="10"/>
      <color theme="3" tint="-0.499984740745262"/>
      <name val="Arial Narrow"/>
      <family val="2"/>
    </font>
    <font>
      <sz val="8"/>
      <name val="Arial Narrow"/>
      <family val="2"/>
    </font>
    <font>
      <b/>
      <sz val="12"/>
      <color indexed="9"/>
      <name val="Arial Narrow"/>
      <family val="2"/>
    </font>
    <font>
      <b/>
      <sz val="10"/>
      <color theme="3" tint="-0.499984740745262"/>
      <name val="Arial Narrow"/>
      <family val="2"/>
    </font>
    <font>
      <sz val="14"/>
      <name val="Arial"/>
      <family val="2"/>
    </font>
    <font>
      <sz val="12"/>
      <name val="Arial Narrow"/>
      <family val="2"/>
    </font>
    <font>
      <b/>
      <sz val="16"/>
      <name val="Arial"/>
      <family val="2"/>
    </font>
    <font>
      <b/>
      <sz val="20"/>
      <name val="Arial"/>
      <family val="2"/>
    </font>
    <font>
      <b/>
      <sz val="18"/>
      <name val="Arial"/>
      <family val="2"/>
    </font>
    <font>
      <sz val="10"/>
      <color rgb="FF000000"/>
      <name val="Arial"/>
      <family val="2"/>
    </font>
    <font>
      <sz val="12"/>
      <name val="Arial"/>
      <family val="2"/>
    </font>
    <font>
      <b/>
      <u/>
      <sz val="10"/>
      <name val="Arial"/>
      <family val="2"/>
    </font>
    <font>
      <sz val="8"/>
      <name val="Arial"/>
      <family val="2"/>
    </font>
    <font>
      <b/>
      <u/>
      <sz val="8"/>
      <name val="Arial"/>
      <family val="2"/>
    </font>
    <font>
      <sz val="11"/>
      <name val="Arial Narrow"/>
      <family val="2"/>
    </font>
    <font>
      <b/>
      <sz val="11"/>
      <name val="Arial Narrow"/>
      <family val="2"/>
    </font>
    <font>
      <sz val="11"/>
      <name val="Consolas"/>
      <family val="3"/>
    </font>
    <font>
      <sz val="8"/>
      <name val="Arial"/>
      <family val="2"/>
      <scheme val="major"/>
    </font>
    <font>
      <b/>
      <sz val="8"/>
      <name val="Arial"/>
      <family val="2"/>
    </font>
    <font>
      <sz val="10"/>
      <name val="Consolas"/>
      <family val="3"/>
    </font>
    <font>
      <b/>
      <sz val="10"/>
      <color rgb="FFFF0000"/>
      <name val="Arial Narrow"/>
      <family val="2"/>
    </font>
    <font>
      <sz val="10"/>
      <color theme="7" tint="-0.749992370372631"/>
      <name val="Arial Narrow"/>
      <family val="2"/>
    </font>
    <font>
      <b/>
      <sz val="10"/>
      <color theme="3"/>
      <name val="Arial Narrow"/>
      <family val="2"/>
    </font>
    <font>
      <sz val="14"/>
      <color theme="1"/>
      <name val="Arial Narrow"/>
      <family val="2"/>
    </font>
    <font>
      <sz val="11"/>
      <color theme="1"/>
      <name val="Arial Narrow"/>
      <family val="2"/>
    </font>
    <font>
      <b/>
      <sz val="12"/>
      <name val="Calibri"/>
      <family val="2"/>
    </font>
    <font>
      <sz val="11"/>
      <name val="Calibri"/>
      <family val="2"/>
    </font>
    <font>
      <b/>
      <sz val="11"/>
      <name val="Calibri"/>
      <family val="2"/>
    </font>
    <font>
      <b/>
      <u/>
      <sz val="12"/>
      <name val="Calibri"/>
      <family val="2"/>
    </font>
    <font>
      <b/>
      <sz val="8.5"/>
      <name val="Calibri"/>
      <family val="2"/>
    </font>
    <font>
      <sz val="11"/>
      <name val="Symbol"/>
      <family val="1"/>
      <charset val="2"/>
    </font>
    <font>
      <sz val="7"/>
      <name val="Times New Roman"/>
      <family val="1"/>
    </font>
  </fonts>
  <fills count="1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45"/>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s>
  <borders count="8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2">
    <xf numFmtId="0" fontId="0" fillId="0" borderId="0"/>
    <xf numFmtId="0" fontId="2" fillId="0" borderId="0"/>
    <xf numFmtId="0" fontId="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24" fillId="0" borderId="0" applyNumberFormat="0" applyFill="0" applyBorder="0" applyProtection="0">
      <alignment vertical="top"/>
    </xf>
    <xf numFmtId="9" fontId="2" fillId="0" borderId="0" applyFont="0" applyFill="0" applyBorder="0" applyAlignment="0" applyProtection="0"/>
  </cellStyleXfs>
  <cellXfs count="581">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5" fillId="3"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49" fontId="2" fillId="3" borderId="5" xfId="0" applyNumberFormat="1" applyFont="1" applyFill="1" applyBorder="1" applyAlignment="1">
      <alignment horizontal="left"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wrapText="1"/>
      <protection locked="0"/>
    </xf>
    <xf numFmtId="0" fontId="9" fillId="4" borderId="13" xfId="0" applyFont="1" applyFill="1" applyBorder="1" applyAlignment="1" applyProtection="1">
      <alignment horizontal="centerContinuous" vertical="center"/>
      <protection locked="0"/>
    </xf>
    <xf numFmtId="0" fontId="9" fillId="4" borderId="0" xfId="0" applyFont="1" applyFill="1" applyBorder="1" applyAlignment="1" applyProtection="1">
      <alignment horizontal="centerContinuous" vertical="center"/>
      <protection locked="0"/>
    </xf>
    <xf numFmtId="0" fontId="9" fillId="4" borderId="14" xfId="0" applyFont="1" applyFill="1" applyBorder="1" applyAlignment="1" applyProtection="1">
      <alignment horizontal="centerContinuous" vertical="center"/>
      <protection locked="0"/>
    </xf>
    <xf numFmtId="0" fontId="9" fillId="4" borderId="17" xfId="0" applyFont="1" applyFill="1" applyBorder="1" applyAlignment="1" applyProtection="1">
      <alignment vertical="center" wrapText="1"/>
      <protection locked="0"/>
    </xf>
    <xf numFmtId="0" fontId="9" fillId="4" borderId="17" xfId="0" applyFont="1" applyFill="1" applyBorder="1" applyAlignment="1" applyProtection="1">
      <alignment horizontal="left" vertical="center"/>
    </xf>
    <xf numFmtId="0" fontId="9" fillId="4" borderId="19" xfId="0" applyFont="1" applyFill="1" applyBorder="1" applyAlignment="1" applyProtection="1">
      <alignment vertical="center"/>
    </xf>
    <xf numFmtId="0" fontId="9" fillId="4" borderId="7" xfId="0" applyFont="1" applyFill="1" applyBorder="1" applyAlignment="1" applyProtection="1">
      <alignment vertical="center" wrapText="1"/>
      <protection locked="0"/>
    </xf>
    <xf numFmtId="0" fontId="9" fillId="4" borderId="7" xfId="0" applyFont="1" applyFill="1" applyBorder="1" applyAlignment="1" applyProtection="1">
      <alignment horizontal="centerContinuous" vertical="center"/>
      <protection locked="0"/>
    </xf>
    <xf numFmtId="0" fontId="9" fillId="4" borderId="8" xfId="0" applyFont="1" applyFill="1" applyBorder="1" applyAlignment="1" applyProtection="1">
      <alignment horizontal="centerContinuous" vertical="center"/>
      <protection locked="0"/>
    </xf>
    <xf numFmtId="0" fontId="9" fillId="4" borderId="9" xfId="0" applyFont="1" applyFill="1" applyBorder="1" applyAlignment="1" applyProtection="1">
      <alignment horizontal="centerContinuous" vertical="center"/>
      <protection locked="0"/>
    </xf>
    <xf numFmtId="49" fontId="10" fillId="0" borderId="22" xfId="0" applyNumberFormat="1" applyFont="1" applyBorder="1" applyAlignment="1" applyProtection="1">
      <alignment horizontal="center" vertical="center" textRotation="90" wrapText="1"/>
      <protection locked="0"/>
    </xf>
    <xf numFmtId="0" fontId="10" fillId="0" borderId="3" xfId="0" applyFont="1" applyFill="1" applyBorder="1" applyAlignment="1">
      <alignment horizontal="center" vertical="center" wrapText="1"/>
    </xf>
    <xf numFmtId="0" fontId="10" fillId="0" borderId="23" xfId="0" applyNumberFormat="1"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33" xfId="0" applyNumberFormat="1" applyFont="1" applyFill="1" applyBorder="1" applyAlignment="1" applyProtection="1">
      <alignment horizontal="center" vertical="center"/>
      <protection locked="0"/>
    </xf>
    <xf numFmtId="0" fontId="11" fillId="0" borderId="34" xfId="0" applyFont="1" applyFill="1" applyBorder="1" applyAlignment="1">
      <alignment horizontal="left" vertical="center" wrapText="1"/>
    </xf>
    <xf numFmtId="0" fontId="2" fillId="0" borderId="0" xfId="0" applyFont="1" applyFill="1" applyBorder="1" applyAlignment="1">
      <alignment vertical="center" wrapText="1"/>
    </xf>
    <xf numFmtId="49" fontId="11" fillId="0" borderId="17" xfId="0" applyNumberFormat="1" applyFont="1" applyFill="1" applyBorder="1" applyAlignment="1">
      <alignment horizontal="center" vertical="center" wrapText="1"/>
    </xf>
    <xf numFmtId="0" fontId="9" fillId="0" borderId="37" xfId="0" applyNumberFormat="1" applyFont="1" applyFill="1" applyBorder="1" applyAlignment="1" applyProtection="1">
      <alignment horizontal="center" vertical="center"/>
      <protection locked="0"/>
    </xf>
    <xf numFmtId="9" fontId="11" fillId="0" borderId="5" xfId="0" applyNumberFormat="1" applyFont="1" applyFill="1" applyBorder="1" applyAlignment="1" applyProtection="1">
      <alignment vertical="center" wrapText="1"/>
    </xf>
    <xf numFmtId="0" fontId="11" fillId="0" borderId="38" xfId="0" applyFont="1" applyFill="1" applyBorder="1" applyAlignment="1" applyProtection="1">
      <alignment vertical="center" wrapText="1"/>
    </xf>
    <xf numFmtId="0" fontId="11" fillId="0" borderId="5" xfId="0" applyFont="1" applyFill="1" applyBorder="1" applyAlignment="1" applyProtection="1">
      <alignment vertical="center" wrapText="1"/>
    </xf>
    <xf numFmtId="0" fontId="2" fillId="6" borderId="0" xfId="0" applyFont="1" applyFill="1" applyAlignment="1">
      <alignment vertical="center" wrapText="1"/>
    </xf>
    <xf numFmtId="49" fontId="11" fillId="5" borderId="33" xfId="0" applyNumberFormat="1" applyFont="1" applyFill="1" applyBorder="1" applyAlignment="1">
      <alignment horizontal="center" vertical="center" wrapText="1"/>
    </xf>
    <xf numFmtId="49" fontId="11" fillId="0" borderId="37" xfId="0" applyNumberFormat="1" applyFont="1" applyFill="1" applyBorder="1" applyAlignment="1">
      <alignment horizontal="center" vertical="center" wrapText="1"/>
    </xf>
    <xf numFmtId="0" fontId="9" fillId="0" borderId="38"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vertical="center" wrapText="1"/>
    </xf>
    <xf numFmtId="9" fontId="11" fillId="0" borderId="38" xfId="0" applyNumberFormat="1" applyFont="1" applyFill="1" applyBorder="1" applyAlignment="1" applyProtection="1">
      <alignment vertical="center" wrapText="1"/>
    </xf>
    <xf numFmtId="0" fontId="11" fillId="0" borderId="41" xfId="0" applyFont="1" applyFill="1" applyBorder="1" applyAlignment="1" applyProtection="1">
      <alignment vertical="center" wrapText="1"/>
    </xf>
    <xf numFmtId="0" fontId="9" fillId="0" borderId="5" xfId="0"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43" fontId="11" fillId="0" borderId="0" xfId="0" applyNumberFormat="1" applyFont="1" applyFill="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4" xfId="0" applyFont="1" applyFill="1" applyBorder="1" applyAlignment="1">
      <alignment horizontal="right" vertical="center" wrapText="1"/>
    </xf>
    <xf numFmtId="12" fontId="9" fillId="0" borderId="28" xfId="0" applyNumberFormat="1" applyFont="1" applyBorder="1" applyAlignment="1">
      <alignment horizontal="center" vertical="center" wrapText="1"/>
    </xf>
    <xf numFmtId="12" fontId="9" fillId="0" borderId="30" xfId="0" applyNumberFormat="1" applyFont="1" applyBorder="1" applyAlignment="1">
      <alignment horizontal="center" vertical="center" wrapText="1"/>
    </xf>
    <xf numFmtId="9" fontId="11" fillId="0" borderId="13" xfId="0" applyNumberFormat="1" applyFont="1" applyBorder="1" applyAlignment="1">
      <alignment horizontal="center" vertical="center" wrapText="1"/>
    </xf>
    <xf numFmtId="9" fontId="11" fillId="0" borderId="0" xfId="0" applyNumberFormat="1" applyFont="1" applyBorder="1" applyAlignment="1">
      <alignment horizontal="center" vertical="center" wrapText="1"/>
    </xf>
    <xf numFmtId="9" fontId="9" fillId="0" borderId="33"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12" fontId="9" fillId="0" borderId="33"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5" xfId="0" applyNumberFormat="1" applyFont="1" applyFill="1" applyBorder="1" applyAlignment="1">
      <alignment horizontal="center" vertical="center" wrapText="1"/>
    </xf>
    <xf numFmtId="12" fontId="9" fillId="0" borderId="36" xfId="0" applyNumberFormat="1" applyFont="1" applyFill="1" applyBorder="1" applyAlignment="1">
      <alignment horizontal="center" vertical="center" wrapText="1"/>
    </xf>
    <xf numFmtId="39" fontId="9" fillId="0" borderId="13" xfId="0" applyNumberFormat="1" applyFont="1" applyFill="1" applyBorder="1" applyAlignment="1">
      <alignment horizontal="center" vertical="center" wrapText="1"/>
    </xf>
    <xf numFmtId="39" fontId="9" fillId="0" borderId="0" xfId="0" applyNumberFormat="1" applyFont="1" applyFill="1" applyBorder="1" applyAlignment="1">
      <alignment horizontal="center" vertical="center" wrapText="1"/>
    </xf>
    <xf numFmtId="0" fontId="11" fillId="0" borderId="0" xfId="0" applyFont="1" applyFill="1" applyAlignment="1">
      <alignment horizontal="center" vertical="top" wrapText="1"/>
    </xf>
    <xf numFmtId="12" fontId="9" fillId="0" borderId="0" xfId="0" applyNumberFormat="1" applyFont="1" applyFill="1" applyAlignment="1">
      <alignment horizontal="center" vertical="top" wrapText="1"/>
    </xf>
    <xf numFmtId="0" fontId="9" fillId="0" borderId="0" xfId="0" applyFont="1" applyFill="1" applyAlignment="1">
      <alignment horizontal="center" vertical="top" wrapText="1"/>
    </xf>
    <xf numFmtId="0" fontId="2" fillId="0" borderId="0" xfId="0"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11" fillId="0" borderId="0" xfId="1" applyFont="1" applyAlignment="1">
      <alignment vertical="center"/>
    </xf>
    <xf numFmtId="0" fontId="9" fillId="0" borderId="0" xfId="1" applyFont="1" applyBorder="1" applyAlignment="1">
      <alignment vertical="center"/>
    </xf>
    <xf numFmtId="0" fontId="9" fillId="4" borderId="19" xfId="0" applyFont="1" applyFill="1" applyBorder="1" applyAlignment="1" applyProtection="1">
      <alignment horizontal="left" vertical="center"/>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2" fillId="0" borderId="16"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11" fillId="0" borderId="0" xfId="0" applyFont="1" applyFill="1" applyBorder="1" applyAlignment="1">
      <alignment horizontal="lef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5" fillId="0" borderId="0" xfId="0" applyFont="1" applyBorder="1" applyAlignment="1">
      <alignment vertical="center"/>
    </xf>
    <xf numFmtId="0" fontId="5" fillId="0" borderId="53" xfId="0" applyFont="1" applyFill="1" applyBorder="1" applyAlignment="1">
      <alignment horizontal="center" vertical="center" wrapText="1"/>
    </xf>
    <xf numFmtId="0" fontId="5" fillId="0" borderId="53" xfId="0" applyFont="1" applyFill="1" applyBorder="1" applyAlignment="1">
      <alignment horizontal="center" vertical="center"/>
    </xf>
    <xf numFmtId="0" fontId="11" fillId="0" borderId="0" xfId="0" applyFont="1" applyBorder="1" applyAlignment="1">
      <alignment vertical="center"/>
    </xf>
    <xf numFmtId="0" fontId="2" fillId="0" borderId="38" xfId="0" applyFont="1" applyFill="1" applyBorder="1" applyAlignment="1">
      <alignment horizontal="center" vertical="center"/>
    </xf>
    <xf numFmtId="9" fontId="2" fillId="0" borderId="38"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5" fillId="0" borderId="15" xfId="0" applyFont="1" applyBorder="1" applyAlignment="1">
      <alignment horizontal="center" vertical="center"/>
    </xf>
    <xf numFmtId="0" fontId="5" fillId="0" borderId="38" xfId="0" applyFont="1" applyFill="1" applyBorder="1" applyAlignment="1">
      <alignment horizontal="center" vertical="center"/>
    </xf>
    <xf numFmtId="9" fontId="5" fillId="0" borderId="38" xfId="0" applyNumberFormat="1" applyFont="1" applyFill="1" applyBorder="1" applyAlignment="1">
      <alignment horizontal="center" vertical="center"/>
    </xf>
    <xf numFmtId="0" fontId="5" fillId="0" borderId="54"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40" xfId="0" applyFont="1" applyBorder="1" applyAlignment="1">
      <alignment vertical="center"/>
    </xf>
    <xf numFmtId="0" fontId="11" fillId="0" borderId="46" xfId="0" applyFont="1" applyBorder="1" applyAlignment="1">
      <alignment vertical="center"/>
    </xf>
    <xf numFmtId="9" fontId="5" fillId="0" borderId="0" xfId="0" applyNumberFormat="1" applyFont="1" applyBorder="1" applyAlignment="1">
      <alignment horizontal="left" vertical="center"/>
    </xf>
    <xf numFmtId="0" fontId="5" fillId="0" borderId="0" xfId="0" applyFont="1" applyBorder="1" applyAlignment="1">
      <alignment horizontal="right" vertical="center"/>
    </xf>
    <xf numFmtId="164" fontId="5" fillId="0" borderId="38" xfId="0"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2" borderId="0" xfId="0" applyFill="1" applyAlignme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 fillId="0" borderId="0" xfId="2" applyFont="1"/>
    <xf numFmtId="0" fontId="2" fillId="0" borderId="0" xfId="2"/>
    <xf numFmtId="0" fontId="21" fillId="0" borderId="0" xfId="2" applyFont="1"/>
    <xf numFmtId="0" fontId="11" fillId="0" borderId="0" xfId="2" applyFont="1" applyFill="1" applyBorder="1"/>
    <xf numFmtId="0" fontId="5" fillId="0" borderId="0" xfId="2" applyFont="1"/>
    <xf numFmtId="0" fontId="15" fillId="0" borderId="0" xfId="1" applyFont="1" applyFill="1" applyAlignment="1">
      <alignment vertical="center"/>
    </xf>
    <xf numFmtId="0" fontId="11" fillId="0" borderId="0" xfId="1" applyFont="1" applyAlignment="1">
      <alignment vertical="top"/>
    </xf>
    <xf numFmtId="0" fontId="2" fillId="0" borderId="0" xfId="1" applyAlignment="1">
      <alignment vertical="top"/>
    </xf>
    <xf numFmtId="0" fontId="0" fillId="0" borderId="0" xfId="0" applyAlignment="1">
      <alignment horizontal="centerContinuous"/>
    </xf>
    <xf numFmtId="0" fontId="5" fillId="0" borderId="55" xfId="0" applyFont="1" applyFill="1" applyBorder="1" applyAlignment="1">
      <alignment horizontal="center" vertical="center" wrapText="1"/>
    </xf>
    <xf numFmtId="0" fontId="5" fillId="0" borderId="55" xfId="0" applyFont="1" applyFill="1" applyBorder="1" applyAlignment="1">
      <alignment horizontal="center" vertical="center"/>
    </xf>
    <xf numFmtId="12" fontId="9" fillId="0" borderId="23" xfId="0" applyNumberFormat="1" applyFont="1" applyFill="1" applyBorder="1" applyAlignment="1" applyProtection="1">
      <alignment horizontal="center" vertical="center" wrapText="1"/>
      <protection locked="0"/>
    </xf>
    <xf numFmtId="12" fontId="9" fillId="0" borderId="24" xfId="0" applyNumberFormat="1" applyFont="1" applyFill="1" applyBorder="1" applyAlignment="1" applyProtection="1">
      <alignment horizontal="center" vertical="center" wrapText="1"/>
      <protection locked="0"/>
    </xf>
    <xf numFmtId="12" fontId="9" fillId="0" borderId="26" xfId="0" applyNumberFormat="1" applyFont="1" applyFill="1" applyBorder="1" applyAlignment="1" applyProtection="1">
      <alignment horizontal="center" vertical="center" wrapText="1"/>
      <protection locked="0"/>
    </xf>
    <xf numFmtId="0" fontId="2" fillId="0" borderId="0" xfId="0" applyFont="1" applyBorder="1"/>
    <xf numFmtId="0" fontId="2" fillId="0" borderId="15" xfId="0" applyFont="1" applyBorder="1"/>
    <xf numFmtId="0" fontId="11" fillId="0" borderId="20" xfId="0" applyFont="1" applyBorder="1" applyAlignment="1">
      <alignment vertical="center"/>
    </xf>
    <xf numFmtId="0" fontId="2" fillId="0" borderId="16" xfId="0" applyFont="1" applyBorder="1"/>
    <xf numFmtId="0" fontId="26" fillId="0" borderId="0" xfId="0" applyFont="1" applyFill="1" applyBorder="1" applyAlignment="1">
      <alignment vertical="center"/>
    </xf>
    <xf numFmtId="0" fontId="7" fillId="10" borderId="1" xfId="0" applyFont="1" applyFill="1" applyBorder="1" applyAlignment="1">
      <alignment horizontal="left" wrapText="1"/>
    </xf>
    <xf numFmtId="0" fontId="7" fillId="10" borderId="6" xfId="0" applyFont="1" applyFill="1" applyBorder="1" applyAlignment="1">
      <alignment horizontal="centerContinuous" wrapText="1"/>
    </xf>
    <xf numFmtId="0" fontId="7" fillId="10" borderId="13" xfId="0" applyFont="1" applyFill="1" applyBorder="1" applyAlignment="1">
      <alignment horizontal="left" wrapText="1"/>
    </xf>
    <xf numFmtId="0" fontId="7" fillId="10" borderId="0" xfId="0" applyFont="1" applyFill="1" applyBorder="1" applyAlignment="1">
      <alignment horizontal="centerContinuous" wrapText="1"/>
    </xf>
    <xf numFmtId="0" fontId="8" fillId="10" borderId="7" xfId="0" applyFont="1" applyFill="1" applyBorder="1" applyAlignment="1">
      <alignment horizontal="centerContinuous" vertical="center" wrapText="1"/>
    </xf>
    <xf numFmtId="0" fontId="8" fillId="10" borderId="8" xfId="0" applyFont="1" applyFill="1" applyBorder="1" applyAlignment="1">
      <alignment horizontal="centerContinuous" vertical="center" wrapText="1"/>
    </xf>
    <xf numFmtId="0" fontId="8" fillId="10" borderId="8" xfId="0" applyFont="1" applyFill="1" applyBorder="1" applyAlignment="1">
      <alignment horizontal="left" vertical="center" wrapText="1"/>
    </xf>
    <xf numFmtId="0" fontId="8" fillId="10" borderId="9" xfId="0" applyFont="1" applyFill="1" applyBorder="1" applyAlignment="1">
      <alignment horizontal="centerContinuous" vertical="center" wrapText="1"/>
    </xf>
    <xf numFmtId="0" fontId="3" fillId="10" borderId="1" xfId="0" applyFont="1" applyFill="1" applyBorder="1" applyAlignment="1">
      <alignment horizontal="centerContinuous" vertical="center" wrapText="1"/>
    </xf>
    <xf numFmtId="0" fontId="4" fillId="10" borderId="2" xfId="0" applyFont="1" applyFill="1" applyBorder="1" applyAlignment="1">
      <alignment horizontal="centerContinuous" vertical="center" wrapText="1"/>
    </xf>
    <xf numFmtId="0" fontId="7" fillId="10" borderId="14" xfId="0" applyFont="1" applyFill="1" applyBorder="1" applyAlignment="1">
      <alignment horizontal="centerContinuous"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12" fontId="9" fillId="0" borderId="25" xfId="0" applyNumberFormat="1" applyFont="1" applyFill="1" applyBorder="1" applyAlignment="1" applyProtection="1">
      <alignment horizontal="center" vertical="center" wrapText="1"/>
      <protection locked="0"/>
    </xf>
    <xf numFmtId="0" fontId="9" fillId="0" borderId="21" xfId="0" applyNumberFormat="1" applyFont="1" applyFill="1" applyBorder="1" applyAlignment="1" applyProtection="1">
      <alignment horizontal="center" vertical="center"/>
      <protection locked="0"/>
    </xf>
    <xf numFmtId="0" fontId="8" fillId="10" borderId="13" xfId="0" applyFont="1" applyFill="1" applyBorder="1" applyAlignment="1">
      <alignment horizontal="centerContinuous" vertical="center" wrapText="1"/>
    </xf>
    <xf numFmtId="0" fontId="27" fillId="10" borderId="0" xfId="0" applyFont="1" applyFill="1" applyBorder="1" applyAlignment="1">
      <alignment horizontal="right" vertical="center" wrapText="1" indent="1"/>
    </xf>
    <xf numFmtId="0" fontId="27" fillId="10" borderId="8" xfId="0" applyFont="1" applyFill="1" applyBorder="1" applyAlignment="1">
      <alignment horizontal="right" vertical="center" wrapText="1" indent="1"/>
    </xf>
    <xf numFmtId="0" fontId="9" fillId="4" borderId="18" xfId="0" applyFont="1" applyFill="1" applyBorder="1" applyAlignment="1">
      <alignment horizontal="right" vertical="center" wrapText="1" indent="1"/>
    </xf>
    <xf numFmtId="0" fontId="9" fillId="4" borderId="9" xfId="0" applyFont="1" applyFill="1" applyBorder="1" applyAlignment="1">
      <alignment horizontal="right" vertical="center" wrapText="1" indent="1"/>
    </xf>
    <xf numFmtId="12" fontId="9" fillId="0" borderId="12"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12" fontId="9" fillId="0" borderId="21" xfId="0" applyNumberFormat="1" applyFont="1" applyBorder="1" applyAlignment="1">
      <alignment horizontal="center" vertical="center" wrapText="1"/>
    </xf>
    <xf numFmtId="12" fontId="9" fillId="0" borderId="48" xfId="0" applyNumberFormat="1" applyFont="1" applyFill="1" applyBorder="1" applyAlignment="1">
      <alignment horizontal="center" vertical="center" wrapText="1"/>
    </xf>
    <xf numFmtId="0" fontId="2" fillId="0" borderId="0" xfId="0" applyFont="1" applyFill="1" applyAlignment="1"/>
    <xf numFmtId="0" fontId="9" fillId="0" borderId="40" xfId="0" applyNumberFormat="1" applyFont="1" applyFill="1" applyBorder="1" applyAlignment="1" applyProtection="1">
      <alignment horizontal="center" vertical="center"/>
      <protection locked="0"/>
    </xf>
    <xf numFmtId="49" fontId="11" fillId="5" borderId="17" xfId="0" applyNumberFormat="1" applyFont="1" applyFill="1" applyBorder="1" applyAlignment="1">
      <alignment horizontal="center" vertical="center" wrapText="1"/>
    </xf>
    <xf numFmtId="0" fontId="25" fillId="0" borderId="39" xfId="0" applyFont="1" applyFill="1" applyBorder="1" applyAlignment="1" applyProtection="1">
      <alignment vertical="center" wrapText="1"/>
    </xf>
    <xf numFmtId="0" fontId="7" fillId="10" borderId="1" xfId="1" applyFont="1" applyFill="1" applyBorder="1" applyAlignment="1">
      <alignment horizontal="centerContinuous" vertical="center"/>
    </xf>
    <xf numFmtId="0" fontId="7" fillId="10" borderId="6" xfId="1" applyFont="1" applyFill="1" applyBorder="1" applyAlignment="1">
      <alignment horizontal="centerContinuous" vertical="center"/>
    </xf>
    <xf numFmtId="0" fontId="7" fillId="10" borderId="2" xfId="1" applyFont="1" applyFill="1" applyBorder="1" applyAlignment="1">
      <alignment horizontal="centerContinuous" vertical="center"/>
    </xf>
    <xf numFmtId="49" fontId="11" fillId="0" borderId="0" xfId="0" applyNumberFormat="1" applyFont="1" applyFill="1" applyAlignment="1">
      <alignment horizontal="center" vertical="center" wrapText="1"/>
    </xf>
    <xf numFmtId="0" fontId="30" fillId="0" borderId="0" xfId="0" applyFont="1" applyAlignment="1">
      <alignment vertical="center"/>
    </xf>
    <xf numFmtId="0" fontId="11" fillId="0" borderId="0" xfId="0" applyFont="1" applyFill="1" applyAlignment="1" applyProtection="1">
      <alignment horizontal="left" vertical="top" wrapText="1"/>
      <protection locked="0"/>
    </xf>
    <xf numFmtId="0" fontId="35" fillId="0" borderId="0" xfId="0" applyFont="1" applyBorder="1" applyAlignment="1">
      <alignmen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0" fontId="2" fillId="0" borderId="1" xfId="0" applyFont="1" applyBorder="1" applyAlignment="1">
      <alignment vertical="center"/>
    </xf>
    <xf numFmtId="0" fontId="36" fillId="0" borderId="13" xfId="0" applyFont="1" applyBorder="1" applyAlignment="1">
      <alignment horizontal="centerContinuous" vertical="center"/>
    </xf>
    <xf numFmtId="0" fontId="2" fillId="0" borderId="7" xfId="0" applyFont="1" applyBorder="1" applyAlignment="1">
      <alignmen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35" fillId="11" borderId="0" xfId="0" applyFont="1" applyFill="1" applyAlignment="1">
      <alignment vertical="center"/>
    </xf>
    <xf numFmtId="0" fontId="5" fillId="0" borderId="0" xfId="0" applyFont="1" applyBorder="1" applyAlignment="1">
      <alignment horizontal="left" vertical="center"/>
    </xf>
    <xf numFmtId="0" fontId="9" fillId="0" borderId="28"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9" fillId="0" borderId="31" xfId="0" applyNumberFormat="1" applyFont="1" applyFill="1" applyBorder="1" applyAlignment="1" applyProtection="1">
      <alignment horizontal="center" vertical="center"/>
    </xf>
    <xf numFmtId="0" fontId="9" fillId="0" borderId="35" xfId="0" applyNumberFormat="1" applyFont="1" applyFill="1" applyBorder="1" applyAlignment="1" applyProtection="1">
      <alignment horizontal="center" vertical="center"/>
      <protection locked="0"/>
    </xf>
    <xf numFmtId="0" fontId="9" fillId="0" borderId="36" xfId="0" applyNumberFormat="1" applyFont="1" applyFill="1" applyBorder="1" applyAlignment="1" applyProtection="1">
      <alignment horizontal="center" vertical="center"/>
      <protection locked="0"/>
    </xf>
    <xf numFmtId="0" fontId="9" fillId="0" borderId="33"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4" fillId="10" borderId="21" xfId="0" applyFont="1" applyFill="1" applyBorder="1" applyAlignment="1">
      <alignment vertical="center"/>
    </xf>
    <xf numFmtId="0" fontId="3" fillId="10" borderId="19" xfId="0" applyFont="1" applyFill="1" applyBorder="1" applyAlignment="1">
      <alignment horizontal="centerContinuous" vertical="center"/>
    </xf>
    <xf numFmtId="0" fontId="13" fillId="10" borderId="19" xfId="0" applyFont="1" applyFill="1" applyBorder="1" applyAlignment="1">
      <alignment horizontal="centerContinuous" vertical="center"/>
    </xf>
    <xf numFmtId="0" fontId="13" fillId="10" borderId="20" xfId="0" applyFont="1" applyFill="1" applyBorder="1" applyAlignment="1">
      <alignment horizontal="centerContinuous" vertical="center"/>
    </xf>
    <xf numFmtId="0" fontId="3" fillId="10" borderId="50" xfId="0" applyFont="1" applyFill="1" applyBorder="1" applyAlignment="1" applyProtection="1">
      <alignment horizontal="centerContinuous" wrapText="1"/>
      <protection locked="0"/>
    </xf>
    <xf numFmtId="0" fontId="4" fillId="10" borderId="49" xfId="0" applyFont="1" applyFill="1" applyBorder="1" applyAlignment="1">
      <alignment horizontal="centerContinuous" wrapText="1"/>
    </xf>
    <xf numFmtId="0" fontId="3" fillId="10" borderId="49" xfId="0" applyFont="1" applyFill="1" applyBorder="1" applyAlignment="1">
      <alignment horizontal="centerContinuous"/>
    </xf>
    <xf numFmtId="0" fontId="12" fillId="10" borderId="16" xfId="0" applyFont="1" applyFill="1" applyBorder="1" applyAlignment="1" applyProtection="1">
      <alignment horizontal="centerContinuous" vertical="center" wrapText="1"/>
    </xf>
    <xf numFmtId="0" fontId="4" fillId="10" borderId="0" xfId="0" applyFont="1" applyFill="1" applyBorder="1" applyAlignment="1">
      <alignment horizontal="centerContinuous" vertical="center" wrapText="1"/>
    </xf>
    <xf numFmtId="0" fontId="12" fillId="10" borderId="0" xfId="0" applyFont="1" applyFill="1" applyBorder="1" applyAlignment="1">
      <alignment horizontal="centerContinuous" vertical="center"/>
    </xf>
    <xf numFmtId="0" fontId="4" fillId="10" borderId="51" xfId="0" applyFont="1" applyFill="1" applyBorder="1" applyAlignment="1">
      <alignment horizontal="centerContinuous" wrapText="1"/>
    </xf>
    <xf numFmtId="0" fontId="4" fillId="10" borderId="15" xfId="0" applyFont="1" applyFill="1" applyBorder="1" applyAlignment="1">
      <alignment horizontal="centerContinuous" vertical="center" wrapText="1"/>
    </xf>
    <xf numFmtId="0" fontId="40" fillId="0" borderId="5" xfId="0" applyFont="1" applyBorder="1" applyAlignment="1">
      <alignment horizontal="center" vertical="center"/>
    </xf>
    <xf numFmtId="0" fontId="41" fillId="0" borderId="0" xfId="0" applyFont="1" applyFill="1" applyAlignment="1">
      <alignment horizontal="left" vertical="center"/>
    </xf>
    <xf numFmtId="49" fontId="11" fillId="0" borderId="0" xfId="0" applyNumberFormat="1" applyFont="1" applyFill="1" applyAlignment="1">
      <alignment horizontal="center" vertical="center" wrapText="1"/>
    </xf>
    <xf numFmtId="165" fontId="9" fillId="4" borderId="17" xfId="0" applyNumberFormat="1" applyFont="1" applyFill="1" applyBorder="1" applyAlignment="1" applyProtection="1">
      <alignment horizontal="left" vertical="center"/>
    </xf>
    <xf numFmtId="165" fontId="9" fillId="4" borderId="19" xfId="0" applyNumberFormat="1" applyFont="1" applyFill="1" applyBorder="1" applyAlignment="1" applyProtection="1">
      <alignment horizontal="left" vertical="center"/>
    </xf>
    <xf numFmtId="0" fontId="9" fillId="4" borderId="17"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9" fillId="4" borderId="18" xfId="0" applyFont="1" applyFill="1" applyBorder="1" applyAlignment="1" applyProtection="1">
      <alignment vertical="center"/>
      <protection locked="0"/>
    </xf>
    <xf numFmtId="0" fontId="9" fillId="4" borderId="17" xfId="1" applyFont="1" applyFill="1" applyBorder="1" applyAlignment="1" applyProtection="1">
      <alignment vertical="center" wrapText="1"/>
    </xf>
    <xf numFmtId="0" fontId="9" fillId="4" borderId="19" xfId="1" applyFont="1" applyFill="1" applyBorder="1" applyAlignment="1" applyProtection="1">
      <alignment horizontal="right" vertical="center" wrapText="1" indent="1"/>
    </xf>
    <xf numFmtId="0" fontId="2" fillId="0" borderId="50" xfId="0" applyFont="1" applyBorder="1" applyAlignment="1">
      <alignment horizontal="center" vertical="center"/>
    </xf>
    <xf numFmtId="0" fontId="2" fillId="0" borderId="16" xfId="0" applyFont="1" applyBorder="1" applyAlignment="1">
      <alignment horizontal="center" vertical="center"/>
    </xf>
    <xf numFmtId="0" fontId="2" fillId="0" borderId="40" xfId="0" applyFont="1" applyBorder="1" applyAlignment="1">
      <alignment horizontal="center" vertical="center"/>
    </xf>
    <xf numFmtId="0" fontId="5" fillId="0" borderId="49" xfId="0" applyFont="1" applyBorder="1" applyAlignment="1">
      <alignment horizontal="left" vertical="center"/>
    </xf>
    <xf numFmtId="0" fontId="2" fillId="0" borderId="51" xfId="0" applyFont="1" applyBorder="1" applyAlignment="1">
      <alignment vertical="center"/>
    </xf>
    <xf numFmtId="0" fontId="2" fillId="0" borderId="0" xfId="0" applyFont="1" applyBorder="1" applyAlignment="1">
      <alignment horizontal="right" vertical="center"/>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49" fontId="11" fillId="0" borderId="0" xfId="0" applyNumberFormat="1" applyFont="1" applyFill="1" applyAlignment="1" applyProtection="1">
      <alignment horizontal="center" vertical="center" wrapText="1"/>
    </xf>
    <xf numFmtId="0" fontId="9" fillId="0" borderId="0" xfId="0" applyFont="1" applyFill="1" applyAlignment="1" applyProtection="1">
      <alignment horizontal="right" vertical="center" wrapText="1"/>
    </xf>
    <xf numFmtId="0" fontId="11" fillId="0" borderId="0" xfId="0" applyFont="1" applyFill="1" applyAlignment="1" applyProtection="1">
      <alignment horizontal="left" vertical="center" wrapText="1"/>
    </xf>
    <xf numFmtId="0" fontId="11" fillId="0" borderId="0" xfId="0" applyFont="1" applyFill="1" applyAlignment="1" applyProtection="1">
      <alignment horizontal="left" vertical="top" wrapText="1"/>
    </xf>
    <xf numFmtId="49" fontId="11" fillId="0" borderId="52" xfId="0" applyNumberFormat="1" applyFont="1" applyFill="1" applyBorder="1" applyAlignment="1">
      <alignment horizontal="right" vertical="center" wrapText="1"/>
    </xf>
    <xf numFmtId="49" fontId="11" fillId="0" borderId="58" xfId="0" applyNumberFormat="1" applyFont="1" applyFill="1" applyBorder="1" applyAlignment="1">
      <alignment horizontal="right" vertical="center" wrapText="1"/>
    </xf>
    <xf numFmtId="49" fontId="11" fillId="0" borderId="38" xfId="0" applyNumberFormat="1" applyFont="1" applyFill="1" applyBorder="1" applyAlignment="1">
      <alignment horizontal="right" vertical="center" wrapText="1"/>
    </xf>
    <xf numFmtId="0" fontId="2" fillId="0" borderId="0" xfId="2" applyAlignment="1">
      <alignment vertical="center"/>
    </xf>
    <xf numFmtId="0" fontId="14" fillId="0" borderId="0" xfId="2" applyFont="1" applyAlignment="1">
      <alignment horizontal="centerContinuous" vertical="center"/>
    </xf>
    <xf numFmtId="0" fontId="2" fillId="0" borderId="0" xfId="2" applyAlignment="1">
      <alignment horizontal="centerContinuous" vertical="center"/>
    </xf>
    <xf numFmtId="0" fontId="2" fillId="0" borderId="19" xfId="2" applyBorder="1" applyAlignment="1">
      <alignment horizontal="centerContinuous" vertical="center"/>
    </xf>
    <xf numFmtId="0" fontId="2" fillId="0" borderId="59" xfId="2" applyBorder="1" applyAlignment="1">
      <alignment horizontal="centerContinuous" vertical="center"/>
    </xf>
    <xf numFmtId="0" fontId="5" fillId="0" borderId="21" xfId="2" applyFont="1" applyBorder="1" applyAlignment="1">
      <alignment horizontal="centerContinuous" vertical="center"/>
    </xf>
    <xf numFmtId="0" fontId="5" fillId="0" borderId="21" xfId="2" applyFont="1" applyBorder="1" applyAlignment="1">
      <alignment horizontal="centerContinuous" vertical="center" wrapText="1"/>
    </xf>
    <xf numFmtId="0" fontId="2" fillId="0" borderId="19" xfId="2" applyBorder="1" applyAlignment="1">
      <alignment horizontal="centerContinuous" vertical="center" wrapText="1"/>
    </xf>
    <xf numFmtId="0" fontId="2" fillId="0" borderId="59" xfId="2" applyBorder="1" applyAlignment="1">
      <alignment horizontal="centerContinuous" vertical="center" wrapText="1"/>
    </xf>
    <xf numFmtId="0" fontId="5" fillId="0" borderId="5" xfId="2" applyFont="1" applyBorder="1" applyAlignment="1">
      <alignment horizontal="center" vertical="center"/>
    </xf>
    <xf numFmtId="0" fontId="5" fillId="0" borderId="5" xfId="2" applyFont="1" applyBorder="1" applyAlignment="1">
      <alignment horizontal="center" vertical="center" wrapText="1"/>
    </xf>
    <xf numFmtId="0" fontId="15" fillId="0" borderId="5" xfId="2" applyFont="1" applyFill="1" applyBorder="1" applyAlignment="1">
      <alignment horizontal="center" vertical="center"/>
    </xf>
    <xf numFmtId="0" fontId="15" fillId="0" borderId="60" xfId="2" applyFont="1" applyFill="1" applyBorder="1" applyAlignment="1">
      <alignment horizontal="center" vertical="center"/>
    </xf>
    <xf numFmtId="0" fontId="15" fillId="0" borderId="5" xfId="2" applyFont="1" applyFill="1" applyBorder="1" applyAlignment="1">
      <alignment horizontal="center" vertical="center" wrapText="1"/>
    </xf>
    <xf numFmtId="0" fontId="2" fillId="0" borderId="0" xfId="2" applyAlignment="1">
      <alignment horizontal="center" vertical="center"/>
    </xf>
    <xf numFmtId="14" fontId="2" fillId="0" borderId="0" xfId="2" applyNumberFormat="1" applyAlignment="1">
      <alignment horizontal="center" vertical="center"/>
    </xf>
    <xf numFmtId="164" fontId="0" fillId="0" borderId="0" xfId="11" applyNumberFormat="1" applyFont="1" applyAlignment="1">
      <alignment horizontal="center" vertical="center"/>
    </xf>
    <xf numFmtId="164" fontId="2" fillId="0" borderId="0" xfId="2" applyNumberFormat="1" applyAlignment="1">
      <alignment horizontal="center" vertical="center"/>
    </xf>
    <xf numFmtId="0" fontId="5" fillId="0" borderId="21" xfId="2" applyFont="1" applyBorder="1" applyAlignment="1">
      <alignment horizontal="center" vertical="center" wrapText="1"/>
    </xf>
    <xf numFmtId="0" fontId="9" fillId="4" borderId="5" xfId="0" applyFont="1" applyFill="1" applyBorder="1" applyAlignment="1" applyProtection="1">
      <alignment horizontal="left" vertical="center"/>
      <protection locked="0"/>
    </xf>
    <xf numFmtId="165" fontId="9" fillId="4" borderId="5" xfId="0" applyNumberFormat="1" applyFont="1" applyFill="1" applyBorder="1" applyAlignment="1" applyProtection="1">
      <alignment horizontal="left" vertical="center"/>
      <protection locked="0"/>
    </xf>
    <xf numFmtId="0" fontId="9" fillId="4" borderId="5" xfId="0" applyFont="1" applyFill="1" applyBorder="1" applyAlignment="1" applyProtection="1">
      <alignment vertical="center"/>
      <protection locked="0"/>
    </xf>
    <xf numFmtId="0" fontId="9" fillId="4" borderId="5" xfId="0" applyNumberFormat="1" applyFont="1" applyFill="1" applyBorder="1" applyAlignment="1" applyProtection="1">
      <alignment horizontal="left" vertical="center"/>
      <protection locked="0"/>
    </xf>
    <xf numFmtId="0" fontId="9" fillId="4" borderId="5" xfId="0" applyNumberFormat="1" applyFont="1" applyFill="1" applyBorder="1" applyAlignment="1" applyProtection="1">
      <alignment horizontal="left" vertical="center"/>
    </xf>
    <xf numFmtId="0" fontId="9" fillId="4" borderId="5" xfId="0" applyFont="1" applyFill="1" applyBorder="1" applyAlignment="1" applyProtection="1">
      <alignment horizontal="left" vertical="center"/>
    </xf>
    <xf numFmtId="165" fontId="9" fillId="4" borderId="5" xfId="0" applyNumberFormat="1" applyFont="1" applyFill="1" applyBorder="1" applyAlignment="1" applyProtection="1">
      <alignment horizontal="left" vertical="center"/>
    </xf>
    <xf numFmtId="0" fontId="9" fillId="4" borderId="5" xfId="0" applyFont="1" applyFill="1" applyBorder="1" applyAlignment="1" applyProtection="1">
      <alignment vertical="center"/>
    </xf>
    <xf numFmtId="0" fontId="9" fillId="4" borderId="43" xfId="1" applyFont="1" applyFill="1" applyBorder="1" applyAlignment="1" applyProtection="1">
      <alignment vertical="center" wrapText="1"/>
    </xf>
    <xf numFmtId="0" fontId="7" fillId="10" borderId="2" xfId="0" applyFont="1" applyFill="1" applyBorder="1" applyAlignment="1">
      <alignment horizontal="centerContinuous" wrapText="1"/>
    </xf>
    <xf numFmtId="0" fontId="2" fillId="2" borderId="0" xfId="2" applyFill="1" applyAlignment="1">
      <alignment horizontal="centerContinuous" vertical="center"/>
    </xf>
    <xf numFmtId="43" fontId="11" fillId="0" borderId="8" xfId="0" applyNumberFormat="1" applyFont="1" applyFill="1" applyBorder="1" applyAlignment="1">
      <alignment horizontal="center" vertical="center" wrapText="1"/>
    </xf>
    <xf numFmtId="43" fontId="11" fillId="0" borderId="9" xfId="0" applyNumberFormat="1" applyFont="1" applyFill="1" applyBorder="1" applyAlignment="1">
      <alignment horizontal="center" vertical="center" wrapText="1"/>
    </xf>
    <xf numFmtId="0" fontId="11" fillId="0" borderId="0" xfId="2" applyFont="1"/>
    <xf numFmtId="0" fontId="9" fillId="0" borderId="53" xfId="2" applyFont="1" applyFill="1" applyBorder="1" applyAlignment="1">
      <alignment horizontal="center" wrapText="1"/>
    </xf>
    <xf numFmtId="0" fontId="11" fillId="0" borderId="61" xfId="2" applyFont="1" applyFill="1" applyBorder="1"/>
    <xf numFmtId="0" fontId="11" fillId="0" borderId="62" xfId="2" applyFont="1" applyFill="1" applyBorder="1"/>
    <xf numFmtId="0" fontId="11" fillId="0" borderId="63" xfId="2" applyFont="1" applyFill="1" applyBorder="1"/>
    <xf numFmtId="0" fontId="2" fillId="0" borderId="0" xfId="0" applyFont="1" applyBorder="1" applyAlignment="1">
      <alignment horizontal="left" vertical="center" wrapText="1"/>
    </xf>
    <xf numFmtId="0" fontId="5" fillId="3" borderId="10" xfId="0" applyFont="1" applyFill="1" applyBorder="1" applyAlignment="1" applyProtection="1">
      <alignment horizontal="right" vertical="center" wrapText="1" indent="1"/>
    </xf>
    <xf numFmtId="0" fontId="2" fillId="0" borderId="11"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right" vertical="center" wrapText="1" indent="1"/>
    </xf>
    <xf numFmtId="0" fontId="2" fillId="0" borderId="18"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right" vertical="center" wrapText="1" indent="1"/>
    </xf>
    <xf numFmtId="0" fontId="2" fillId="0" borderId="45"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right" vertical="center" wrapText="1" indent="1"/>
    </xf>
    <xf numFmtId="14" fontId="2" fillId="0" borderId="9" xfId="0" applyNumberFormat="1" applyFont="1" applyFill="1" applyBorder="1" applyAlignment="1" applyProtection="1">
      <alignment horizontal="center" vertical="center" wrapText="1"/>
      <protection locked="0"/>
    </xf>
    <xf numFmtId="14" fontId="2" fillId="0" borderId="11" xfId="0" applyNumberFormat="1" applyFont="1" applyFill="1" applyBorder="1" applyAlignment="1" applyProtection="1">
      <alignment horizontal="center" vertical="center" wrapText="1"/>
      <protection locked="0"/>
    </xf>
    <xf numFmtId="0" fontId="37" fillId="0" borderId="0" xfId="0" applyFont="1" applyAlignment="1">
      <alignment vertical="center"/>
    </xf>
    <xf numFmtId="0" fontId="42" fillId="0" borderId="0" xfId="0" applyFont="1"/>
    <xf numFmtId="0" fontId="42" fillId="0" borderId="0" xfId="0" applyFont="1" applyAlignment="1">
      <alignment horizontal="center" vertical="center"/>
    </xf>
    <xf numFmtId="0" fontId="42" fillId="0" borderId="0" xfId="0" applyFont="1" applyAlignment="1">
      <alignment horizontal="left" vertical="center" indent="1"/>
    </xf>
    <xf numFmtId="0" fontId="2" fillId="0" borderId="2" xfId="0" applyFont="1" applyBorder="1" applyAlignment="1">
      <alignment vertical="center"/>
    </xf>
    <xf numFmtId="0" fontId="2" fillId="0" borderId="14" xfId="0" applyFont="1" applyBorder="1" applyAlignment="1">
      <alignment horizontal="centerContinuous" vertical="center"/>
    </xf>
    <xf numFmtId="0" fontId="2" fillId="0" borderId="14" xfId="0" applyFont="1" applyBorder="1" applyAlignment="1">
      <alignment vertical="center"/>
    </xf>
    <xf numFmtId="0" fontId="2" fillId="0" borderId="9" xfId="0" applyFont="1" applyBorder="1" applyAlignment="1">
      <alignment vertical="center"/>
    </xf>
    <xf numFmtId="0" fontId="37" fillId="0" borderId="15" xfId="0" applyFont="1" applyBorder="1" applyAlignment="1">
      <alignment vertical="center"/>
    </xf>
    <xf numFmtId="0" fontId="43" fillId="0" borderId="53" xfId="0" applyFont="1" applyFill="1" applyBorder="1" applyAlignment="1">
      <alignment horizontal="center" vertical="center"/>
    </xf>
    <xf numFmtId="9" fontId="37" fillId="0" borderId="38" xfId="0" applyNumberFormat="1" applyFont="1" applyFill="1" applyBorder="1" applyAlignment="1">
      <alignment horizontal="center" vertical="center"/>
    </xf>
    <xf numFmtId="9" fontId="43" fillId="0" borderId="5" xfId="0" applyNumberFormat="1" applyFont="1" applyFill="1" applyBorder="1" applyAlignment="1">
      <alignment horizontal="center" vertical="center"/>
    </xf>
    <xf numFmtId="0" fontId="37" fillId="0" borderId="47" xfId="0" applyFont="1" applyBorder="1" applyAlignment="1">
      <alignment vertical="center"/>
    </xf>
    <xf numFmtId="0" fontId="37" fillId="0" borderId="46" xfId="0" applyFont="1" applyBorder="1" applyAlignment="1">
      <alignment vertical="center"/>
    </xf>
    <xf numFmtId="0" fontId="14" fillId="11" borderId="0" xfId="0" applyFont="1" applyFill="1" applyAlignment="1">
      <alignment horizontal="center" vertical="center"/>
    </xf>
    <xf numFmtId="0" fontId="31" fillId="11" borderId="0" xfId="0" applyFont="1" applyFill="1" applyAlignment="1">
      <alignment horizontal="center" vertical="center"/>
    </xf>
    <xf numFmtId="0" fontId="37" fillId="11" borderId="0" xfId="0" applyFont="1" applyFill="1" applyAlignment="1">
      <alignment vertical="center"/>
    </xf>
    <xf numFmtId="0" fontId="34" fillId="11" borderId="0" xfId="0" applyFont="1" applyFill="1" applyAlignment="1">
      <alignment vertical="center"/>
    </xf>
    <xf numFmtId="0" fontId="2" fillId="0" borderId="13" xfId="0" applyFont="1" applyBorder="1" applyAlignment="1">
      <alignment horizontal="left" vertical="center"/>
    </xf>
    <xf numFmtId="0" fontId="0" fillId="0" borderId="0" xfId="0" applyBorder="1" applyAlignment="1">
      <alignment vertical="center"/>
    </xf>
    <xf numFmtId="0" fontId="42" fillId="11" borderId="0" xfId="0" applyFont="1" applyFill="1"/>
    <xf numFmtId="0" fontId="0" fillId="11" borderId="0" xfId="0" applyFill="1"/>
    <xf numFmtId="0" fontId="31" fillId="0" borderId="0" xfId="0" applyFont="1" applyFill="1" applyBorder="1" applyAlignment="1">
      <alignment horizontal="centerContinuous" vertical="center"/>
    </xf>
    <xf numFmtId="0" fontId="37" fillId="0" borderId="0" xfId="0" applyFont="1" applyFill="1" applyAlignment="1">
      <alignment horizontal="centerContinuous" vertical="center"/>
    </xf>
    <xf numFmtId="0" fontId="42" fillId="0" borderId="0" xfId="0" applyFont="1" applyFill="1" applyAlignment="1">
      <alignment horizontal="centerContinuous"/>
    </xf>
    <xf numFmtId="0" fontId="0" fillId="0" borderId="0" xfId="0" applyFill="1" applyAlignment="1">
      <alignment horizontal="centerContinuous"/>
    </xf>
    <xf numFmtId="0" fontId="44" fillId="0" borderId="0" xfId="0" applyFont="1" applyFill="1" applyAlignment="1">
      <alignment horizontal="left" vertical="center"/>
    </xf>
    <xf numFmtId="0" fontId="39" fillId="0" borderId="50" xfId="0" applyFont="1" applyBorder="1" applyAlignment="1">
      <alignment horizontal="left" vertical="center" wrapText="1"/>
    </xf>
    <xf numFmtId="0" fontId="0" fillId="0" borderId="51" xfId="0" applyBorder="1" applyAlignment="1">
      <alignment vertical="center"/>
    </xf>
    <xf numFmtId="0" fontId="11" fillId="0" borderId="16" xfId="0" applyFont="1" applyBorder="1" applyAlignment="1">
      <alignment horizontal="left" vertical="center" wrapText="1"/>
    </xf>
    <xf numFmtId="9" fontId="45" fillId="0" borderId="15" xfId="0" applyNumberFormat="1" applyFont="1" applyBorder="1" applyAlignment="1">
      <alignment horizontal="left" vertical="center" wrapText="1"/>
    </xf>
    <xf numFmtId="0" fontId="11" fillId="0" borderId="40" xfId="0" applyFont="1" applyBorder="1" applyAlignment="1">
      <alignment horizontal="left" vertical="center" wrapText="1"/>
    </xf>
    <xf numFmtId="9" fontId="45" fillId="0" borderId="47" xfId="0" applyNumberFormat="1" applyFont="1" applyBorder="1" applyAlignment="1">
      <alignment horizontal="left" vertical="center" wrapText="1"/>
    </xf>
    <xf numFmtId="0" fontId="11" fillId="0" borderId="50" xfId="0" applyFont="1" applyBorder="1" applyAlignment="1">
      <alignment horizontal="left" vertical="center" wrapText="1"/>
    </xf>
    <xf numFmtId="9" fontId="45" fillId="0" borderId="51" xfId="0" applyNumberFormat="1" applyFont="1" applyBorder="1" applyAlignment="1">
      <alignment horizontal="left" vertical="center" wrapText="1"/>
    </xf>
    <xf numFmtId="0" fontId="40" fillId="0" borderId="53" xfId="0" applyFont="1" applyBorder="1" applyAlignment="1">
      <alignment horizontal="center" vertical="center"/>
    </xf>
    <xf numFmtId="0" fontId="39" fillId="0" borderId="64" xfId="0" applyFont="1" applyBorder="1" applyAlignment="1">
      <alignment horizontal="left" vertical="center" wrapText="1"/>
    </xf>
    <xf numFmtId="0" fontId="0" fillId="0" borderId="65" xfId="0" applyBorder="1" applyAlignment="1">
      <alignment vertical="center"/>
    </xf>
    <xf numFmtId="49" fontId="11" fillId="5" borderId="56" xfId="0" applyNumberFormat="1"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2" fillId="0" borderId="36" xfId="0" applyFont="1" applyFill="1" applyBorder="1" applyAlignment="1">
      <alignment horizontal="center" vertical="center"/>
    </xf>
    <xf numFmtId="9" fontId="2" fillId="0" borderId="36" xfId="0" applyNumberFormat="1" applyFont="1" applyFill="1" applyBorder="1" applyAlignment="1">
      <alignment horizontal="center" vertical="center"/>
    </xf>
    <xf numFmtId="0" fontId="9" fillId="4" borderId="29" xfId="0" applyFont="1" applyFill="1" applyBorder="1" applyAlignment="1" applyProtection="1">
      <alignment horizontal="left" vertical="center"/>
    </xf>
    <xf numFmtId="0" fontId="46" fillId="0" borderId="39" xfId="0" applyFont="1" applyFill="1" applyBorder="1" applyAlignment="1" applyProtection="1">
      <alignment vertical="center" wrapText="1"/>
    </xf>
    <xf numFmtId="0" fontId="9" fillId="0" borderId="42" xfId="0" applyNumberFormat="1" applyFont="1" applyFill="1" applyBorder="1" applyAlignment="1" applyProtection="1">
      <alignment horizontal="center" vertical="center"/>
      <protection locked="0"/>
    </xf>
    <xf numFmtId="0" fontId="2" fillId="7" borderId="51" xfId="0" applyFont="1" applyFill="1" applyBorder="1" applyAlignment="1">
      <alignment horizontal="center" vertical="center"/>
    </xf>
    <xf numFmtId="0" fontId="2" fillId="7" borderId="47" xfId="0" applyFont="1" applyFill="1" applyBorder="1" applyAlignment="1">
      <alignment horizontal="center" vertical="center"/>
    </xf>
    <xf numFmtId="0" fontId="28" fillId="2" borderId="0" xfId="0" applyFont="1" applyFill="1" applyAlignment="1">
      <alignment horizontal="left" vertical="center"/>
    </xf>
    <xf numFmtId="49" fontId="11" fillId="0" borderId="0" xfId="0" applyNumberFormat="1" applyFont="1" applyFill="1" applyAlignment="1">
      <alignment horizontal="center" vertical="center" wrapText="1"/>
    </xf>
    <xf numFmtId="0" fontId="9" fillId="4" borderId="44" xfId="1" applyFont="1" applyFill="1" applyBorder="1" applyAlignment="1" applyProtection="1">
      <alignment horizontal="right" vertical="center" wrapText="1" indent="1"/>
    </xf>
    <xf numFmtId="0" fontId="11" fillId="0" borderId="33" xfId="1" applyFont="1" applyBorder="1" applyAlignment="1">
      <alignment horizontal="center" vertical="center"/>
    </xf>
    <xf numFmtId="0" fontId="11" fillId="12" borderId="13" xfId="1" applyFont="1" applyFill="1" applyBorder="1" applyAlignment="1">
      <alignment horizontal="center" vertical="center"/>
    </xf>
    <xf numFmtId="0" fontId="15" fillId="12" borderId="14" xfId="1" applyFont="1" applyFill="1" applyBorder="1" applyAlignment="1">
      <alignment horizontal="center" vertical="center"/>
    </xf>
    <xf numFmtId="0" fontId="15" fillId="12" borderId="52" xfId="1" applyFont="1" applyFill="1" applyBorder="1" applyAlignment="1">
      <alignment horizontal="center" vertical="center"/>
    </xf>
    <xf numFmtId="0" fontId="15" fillId="12" borderId="67" xfId="1" applyFont="1" applyFill="1" applyBorder="1" applyAlignment="1">
      <alignment horizontal="center" vertical="center"/>
    </xf>
    <xf numFmtId="0" fontId="47" fillId="2" borderId="33" xfId="1" applyFont="1" applyFill="1" applyBorder="1" applyAlignment="1">
      <alignment horizontal="center" vertical="center"/>
    </xf>
    <xf numFmtId="0" fontId="11" fillId="0" borderId="66" xfId="1" applyFont="1" applyBorder="1" applyAlignment="1">
      <alignment horizontal="center" vertical="center"/>
    </xf>
    <xf numFmtId="0" fontId="49" fillId="0" borderId="5" xfId="0" applyFont="1" applyBorder="1" applyAlignment="1" applyProtection="1">
      <alignment horizontal="center" vertical="center" wrapText="1"/>
      <protection locked="0"/>
    </xf>
    <xf numFmtId="0" fontId="49" fillId="0" borderId="29" xfId="0" applyFont="1" applyBorder="1" applyAlignment="1" applyProtection="1">
      <alignment horizontal="center" vertical="center" wrapText="1"/>
      <protection locked="0"/>
    </xf>
    <xf numFmtId="0" fontId="49" fillId="0" borderId="52" xfId="0" applyFont="1" applyBorder="1" applyAlignment="1" applyProtection="1">
      <alignment horizontal="center" vertical="center" wrapText="1"/>
      <protection locked="0"/>
    </xf>
    <xf numFmtId="0" fontId="49" fillId="0" borderId="67" xfId="0" applyFont="1" applyBorder="1" applyAlignment="1" applyProtection="1">
      <alignment horizontal="center" vertical="center" wrapText="1"/>
      <protection locked="0"/>
    </xf>
    <xf numFmtId="0" fontId="15" fillId="12" borderId="1" xfId="1" applyFont="1" applyFill="1" applyBorder="1" applyAlignment="1" applyProtection="1">
      <alignment vertical="center" wrapText="1"/>
      <protection locked="0"/>
    </xf>
    <xf numFmtId="0" fontId="15" fillId="12" borderId="2" xfId="1" applyFont="1" applyFill="1" applyBorder="1" applyAlignment="1" applyProtection="1">
      <alignment vertical="center" wrapText="1"/>
      <protection locked="0"/>
    </xf>
    <xf numFmtId="0" fontId="15" fillId="12" borderId="6" xfId="1" applyFont="1" applyFill="1" applyBorder="1" applyAlignment="1">
      <alignment horizontal="centerContinuous" vertical="center"/>
    </xf>
    <xf numFmtId="0" fontId="15" fillId="12" borderId="2" xfId="1" applyFont="1" applyFill="1" applyBorder="1" applyAlignment="1">
      <alignment horizontal="centerContinuous" vertical="center"/>
    </xf>
    <xf numFmtId="0" fontId="15" fillId="12" borderId="51" xfId="1" applyFont="1" applyFill="1" applyBorder="1" applyAlignment="1">
      <alignment horizontal="center" vertical="center"/>
    </xf>
    <xf numFmtId="0" fontId="48" fillId="2" borderId="20" xfId="0" applyFont="1" applyFill="1" applyBorder="1" applyAlignment="1">
      <alignment horizontal="center" vertical="center" wrapText="1"/>
    </xf>
    <xf numFmtId="0" fontId="49" fillId="0" borderId="20" xfId="0" applyFont="1" applyBorder="1" applyAlignment="1" applyProtection="1">
      <alignment horizontal="center" vertical="center" wrapText="1"/>
      <protection locked="0"/>
    </xf>
    <xf numFmtId="0" fontId="49" fillId="0" borderId="51" xfId="0" applyFont="1" applyBorder="1" applyAlignment="1" applyProtection="1">
      <alignment horizontal="center" vertical="center" wrapText="1"/>
      <protection locked="0"/>
    </xf>
    <xf numFmtId="0" fontId="47" fillId="2" borderId="29" xfId="1" applyFont="1" applyFill="1" applyBorder="1" applyAlignment="1">
      <alignment vertical="center" wrapText="1"/>
    </xf>
    <xf numFmtId="0" fontId="11" fillId="0" borderId="29" xfId="1" applyFont="1" applyBorder="1" applyAlignment="1">
      <alignment vertical="center" wrapText="1"/>
    </xf>
    <xf numFmtId="0" fontId="11" fillId="0" borderId="67" xfId="1" applyFont="1" applyBorder="1" applyAlignment="1">
      <alignment vertical="center" wrapText="1"/>
    </xf>
    <xf numFmtId="0" fontId="11" fillId="0" borderId="3" xfId="1" applyFont="1" applyBorder="1" applyAlignment="1">
      <alignment vertical="center"/>
    </xf>
    <xf numFmtId="0" fontId="9" fillId="0" borderId="4" xfId="1" applyFont="1" applyBorder="1" applyAlignment="1">
      <alignment horizontal="center" vertical="center"/>
    </xf>
    <xf numFmtId="0" fontId="7" fillId="10" borderId="6" xfId="0" applyFont="1" applyFill="1" applyBorder="1" applyAlignment="1">
      <alignment horizontal="centerContinuous" vertical="center" wrapText="1"/>
    </xf>
    <xf numFmtId="0" fontId="7" fillId="10" borderId="2" xfId="0" applyFont="1" applyFill="1" applyBorder="1" applyAlignment="1">
      <alignment horizontal="centerContinuous" vertical="center" wrapText="1"/>
    </xf>
    <xf numFmtId="0" fontId="7" fillId="10" borderId="1" xfId="0" applyFont="1" applyFill="1" applyBorder="1" applyAlignment="1">
      <alignment horizontal="centerContinuous" vertical="center" wrapText="1"/>
    </xf>
    <xf numFmtId="0" fontId="8" fillId="10" borderId="0" xfId="0" applyFont="1" applyFill="1" applyBorder="1" applyAlignment="1">
      <alignment horizontal="centerContinuous" vertical="center" wrapText="1"/>
    </xf>
    <xf numFmtId="0" fontId="8" fillId="10" borderId="14" xfId="0" applyFont="1" applyFill="1" applyBorder="1" applyAlignment="1">
      <alignment horizontal="centerContinuous" vertical="center" wrapText="1"/>
    </xf>
    <xf numFmtId="0" fontId="9" fillId="4" borderId="56" xfId="1" applyFont="1" applyFill="1" applyBorder="1" applyAlignment="1" applyProtection="1">
      <alignment vertical="center" wrapText="1"/>
    </xf>
    <xf numFmtId="0" fontId="9" fillId="4" borderId="49" xfId="1" applyFont="1" applyFill="1" applyBorder="1" applyAlignment="1" applyProtection="1">
      <alignment horizontal="right" vertical="center" wrapText="1" indent="1"/>
    </xf>
    <xf numFmtId="165" fontId="9" fillId="4" borderId="7" xfId="0" applyNumberFormat="1" applyFont="1" applyFill="1" applyBorder="1" applyAlignment="1" applyProtection="1">
      <alignment horizontal="left" vertical="center"/>
      <protection locked="0"/>
    </xf>
    <xf numFmtId="165" fontId="9" fillId="4" borderId="57" xfId="0" applyNumberFormat="1" applyFont="1" applyFill="1" applyBorder="1" applyAlignment="1" applyProtection="1">
      <alignment horizontal="left" vertical="center"/>
      <protection locked="0"/>
    </xf>
    <xf numFmtId="165" fontId="9" fillId="4" borderId="9" xfId="0" applyNumberFormat="1" applyFont="1" applyFill="1" applyBorder="1" applyAlignment="1" applyProtection="1">
      <alignment horizontal="left" vertical="center"/>
      <protection locked="0"/>
    </xf>
    <xf numFmtId="1" fontId="9" fillId="4" borderId="17" xfId="0" applyNumberFormat="1" applyFont="1" applyFill="1" applyBorder="1" applyAlignment="1" applyProtection="1">
      <alignment horizontal="left" vertical="center"/>
      <protection locked="0"/>
    </xf>
    <xf numFmtId="1" fontId="9" fillId="4" borderId="5" xfId="0" applyNumberFormat="1" applyFont="1" applyFill="1" applyBorder="1" applyAlignment="1" applyProtection="1">
      <alignment horizontal="left" vertical="center"/>
      <protection locked="0"/>
    </xf>
    <xf numFmtId="1" fontId="9" fillId="4" borderId="18" xfId="0" applyNumberFormat="1" applyFont="1" applyFill="1" applyBorder="1" applyAlignment="1" applyProtection="1">
      <alignment horizontal="left" vertical="center"/>
      <protection locked="0"/>
    </xf>
    <xf numFmtId="0" fontId="8" fillId="10" borderId="0" xfId="0" applyFont="1" applyFill="1" applyBorder="1" applyAlignment="1">
      <alignment horizontal="centerContinuous" vertical="center"/>
    </xf>
    <xf numFmtId="0" fontId="8" fillId="10" borderId="14" xfId="0" applyFont="1" applyFill="1" applyBorder="1" applyAlignment="1">
      <alignment horizontal="centerContinuous" vertical="center"/>
    </xf>
    <xf numFmtId="0" fontId="9" fillId="4" borderId="28" xfId="0" applyFont="1" applyFill="1" applyBorder="1" applyAlignment="1" applyProtection="1">
      <alignment horizontal="left" vertical="center"/>
    </xf>
    <xf numFmtId="0" fontId="9" fillId="4" borderId="30" xfId="0" applyFont="1" applyFill="1" applyBorder="1" applyAlignment="1" applyProtection="1">
      <alignment horizontal="left" vertical="center"/>
    </xf>
    <xf numFmtId="0" fontId="9" fillId="4" borderId="31" xfId="0" applyFont="1" applyFill="1" applyBorder="1" applyAlignment="1" applyProtection="1">
      <alignment horizontal="left" vertical="center"/>
    </xf>
    <xf numFmtId="0" fontId="9" fillId="4" borderId="33" xfId="0" applyFont="1" applyFill="1" applyBorder="1" applyAlignment="1" applyProtection="1">
      <alignment horizontal="left" vertical="center"/>
    </xf>
    <xf numFmtId="165" fontId="9" fillId="4" borderId="35" xfId="0" applyNumberFormat="1" applyFont="1" applyFill="1" applyBorder="1" applyAlignment="1" applyProtection="1">
      <alignment horizontal="left" vertical="center"/>
    </xf>
    <xf numFmtId="165" fontId="9" fillId="4" borderId="36" xfId="0" applyNumberFormat="1" applyFont="1" applyFill="1" applyBorder="1" applyAlignment="1" applyProtection="1">
      <alignment horizontal="left" vertical="center"/>
    </xf>
    <xf numFmtId="165" fontId="9" fillId="4" borderId="42" xfId="0" applyNumberFormat="1" applyFont="1" applyFill="1" applyBorder="1" applyAlignment="1" applyProtection="1">
      <alignment horizontal="left" vertical="center"/>
    </xf>
    <xf numFmtId="49" fontId="11" fillId="0" borderId="34" xfId="0" applyNumberFormat="1" applyFont="1" applyFill="1" applyBorder="1" applyAlignment="1">
      <alignment horizontal="center" vertical="center" wrapText="1"/>
    </xf>
    <xf numFmtId="0" fontId="9" fillId="4" borderId="28" xfId="0" applyFont="1" applyFill="1" applyBorder="1" applyAlignment="1" applyProtection="1">
      <alignment horizontal="left" vertical="center"/>
      <protection locked="0"/>
    </xf>
    <xf numFmtId="0" fontId="9" fillId="4" borderId="30" xfId="0" applyFont="1" applyFill="1" applyBorder="1" applyAlignment="1" applyProtection="1">
      <alignment horizontal="left" vertical="center"/>
      <protection locked="0"/>
    </xf>
    <xf numFmtId="0" fontId="9" fillId="4" borderId="31" xfId="0" applyFont="1" applyFill="1" applyBorder="1" applyAlignment="1" applyProtection="1">
      <alignment horizontal="left" vertical="center"/>
      <protection locked="0"/>
    </xf>
    <xf numFmtId="165" fontId="9" fillId="4" borderId="33" xfId="0" applyNumberFormat="1" applyFont="1" applyFill="1" applyBorder="1" applyAlignment="1" applyProtection="1">
      <alignment horizontal="left" vertical="center"/>
      <protection locked="0"/>
    </xf>
    <xf numFmtId="165" fontId="9" fillId="4" borderId="29" xfId="0" applyNumberFormat="1" applyFont="1" applyFill="1" applyBorder="1" applyAlignment="1" applyProtection="1">
      <alignment horizontal="left" vertical="center"/>
      <protection locked="0"/>
    </xf>
    <xf numFmtId="165" fontId="9" fillId="4" borderId="35" xfId="0" applyNumberFormat="1" applyFont="1" applyFill="1" applyBorder="1" applyAlignment="1" applyProtection="1">
      <alignment horizontal="left" vertical="center"/>
      <protection locked="0"/>
    </xf>
    <xf numFmtId="165" fontId="9" fillId="4" borderId="36" xfId="0" applyNumberFormat="1" applyFont="1" applyFill="1" applyBorder="1" applyAlignment="1" applyProtection="1">
      <alignment horizontal="left" vertical="center"/>
      <protection locked="0"/>
    </xf>
    <xf numFmtId="165" fontId="9" fillId="4" borderId="42" xfId="0" applyNumberFormat="1" applyFont="1" applyFill="1" applyBorder="1" applyAlignment="1" applyProtection="1">
      <alignment horizontal="left" vertical="center"/>
      <protection locked="0"/>
    </xf>
    <xf numFmtId="0" fontId="9" fillId="0" borderId="10" xfId="0" applyNumberFormat="1" applyFont="1" applyFill="1" applyBorder="1" applyAlignment="1" applyProtection="1">
      <alignment horizontal="center" vertical="center"/>
    </xf>
    <xf numFmtId="0" fontId="48" fillId="2" borderId="33"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27" fillId="10" borderId="1" xfId="0" applyFont="1" applyFill="1" applyBorder="1" applyAlignment="1">
      <alignment horizontal="centerContinuous" vertical="center"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wrapText="1"/>
    </xf>
    <xf numFmtId="0" fontId="5" fillId="0" borderId="19" xfId="2" applyFont="1" applyBorder="1" applyAlignment="1">
      <alignment horizontal="centerContinuous" vertical="center" wrapText="1"/>
    </xf>
    <xf numFmtId="12" fontId="9" fillId="0" borderId="69" xfId="0" applyNumberFormat="1" applyFont="1" applyFill="1" applyBorder="1" applyAlignment="1" applyProtection="1">
      <alignment horizontal="center" vertical="center" wrapText="1"/>
      <protection locked="0"/>
    </xf>
    <xf numFmtId="12" fontId="9" fillId="0" borderId="57" xfId="0" applyNumberFormat="1" applyFont="1" applyFill="1" applyBorder="1" applyAlignment="1" applyProtection="1">
      <alignment horizontal="center" vertical="center" wrapText="1"/>
      <protection locked="0"/>
    </xf>
    <xf numFmtId="12" fontId="9" fillId="0" borderId="70" xfId="0" applyNumberFormat="1" applyFont="1" applyFill="1" applyBorder="1" applyAlignment="1" applyProtection="1">
      <alignment horizontal="center" vertical="center" wrapText="1"/>
      <protection locked="0"/>
    </xf>
    <xf numFmtId="0" fontId="5" fillId="0" borderId="68" xfId="2" applyFont="1" applyBorder="1" applyAlignment="1">
      <alignment horizontal="centerContinuous" vertical="center"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wrapText="1"/>
    </xf>
    <xf numFmtId="0" fontId="9" fillId="0" borderId="20" xfId="0" applyNumberFormat="1" applyFont="1" applyFill="1" applyBorder="1" applyAlignment="1" applyProtection="1">
      <alignment horizontal="center" vertical="center"/>
      <protection locked="0"/>
    </xf>
    <xf numFmtId="49" fontId="11" fillId="5" borderId="5" xfId="0" applyNumberFormat="1" applyFont="1" applyFill="1" applyBorder="1" applyAlignment="1">
      <alignment horizontal="center" vertical="center" wrapText="1"/>
    </xf>
    <xf numFmtId="0" fontId="11" fillId="0" borderId="5" xfId="0" applyFont="1" applyBorder="1" applyAlignment="1">
      <alignment vertical="center" wrapText="1"/>
    </xf>
    <xf numFmtId="0" fontId="11" fillId="0" borderId="5" xfId="0" applyFont="1" applyFill="1" applyBorder="1" applyAlignment="1">
      <alignment horizontal="left" vertical="center" wrapText="1"/>
    </xf>
    <xf numFmtId="0" fontId="9" fillId="9" borderId="5" xfId="0" applyNumberFormat="1" applyFont="1" applyFill="1" applyBorder="1" applyAlignment="1" applyProtection="1">
      <alignment horizontal="center" vertical="center"/>
    </xf>
    <xf numFmtId="0" fontId="9" fillId="9" borderId="32" xfId="0" applyFont="1" applyFill="1" applyBorder="1" applyAlignment="1">
      <alignment horizontal="center" vertical="center" wrapText="1"/>
    </xf>
    <xf numFmtId="0" fontId="9" fillId="9" borderId="0" xfId="0" applyFont="1" applyFill="1" applyAlignment="1">
      <alignment horizontal="left" vertical="center"/>
    </xf>
    <xf numFmtId="49" fontId="11" fillId="5" borderId="21" xfId="0" applyNumberFormat="1" applyFont="1" applyFill="1" applyBorder="1" applyAlignment="1">
      <alignment horizontal="center" vertical="center" wrapText="1"/>
    </xf>
    <xf numFmtId="12" fontId="9" fillId="0" borderId="72"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right" vertical="center" wrapText="1" indent="1"/>
    </xf>
    <xf numFmtId="0" fontId="25" fillId="0" borderId="34" xfId="0" applyFont="1" applyFill="1" applyBorder="1" applyAlignment="1" applyProtection="1">
      <alignment vertical="center" wrapText="1"/>
    </xf>
    <xf numFmtId="0" fontId="46" fillId="0" borderId="34" xfId="0" applyFont="1" applyFill="1" applyBorder="1" applyAlignment="1" applyProtection="1">
      <alignment vertical="center" wrapText="1"/>
    </xf>
    <xf numFmtId="0" fontId="11" fillId="0" borderId="17"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47" xfId="0" applyFont="1" applyFill="1" applyBorder="1" applyAlignment="1" applyProtection="1">
      <alignment vertical="center" wrapText="1"/>
    </xf>
    <xf numFmtId="0" fontId="9" fillId="4" borderId="10" xfId="0" applyFont="1" applyFill="1" applyBorder="1" applyAlignment="1" applyProtection="1">
      <alignment horizontal="left" vertical="center"/>
    </xf>
    <xf numFmtId="0" fontId="9" fillId="4" borderId="30" xfId="0" applyNumberFormat="1"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4" borderId="18" xfId="0" applyFont="1" applyFill="1" applyBorder="1" applyAlignment="1" applyProtection="1">
      <alignment vertical="center"/>
    </xf>
    <xf numFmtId="165" fontId="9" fillId="4" borderId="18" xfId="0" applyNumberFormat="1" applyFont="1" applyFill="1" applyBorder="1" applyAlignment="1" applyProtection="1">
      <alignment horizontal="left" vertical="center"/>
    </xf>
    <xf numFmtId="0" fontId="10" fillId="0" borderId="26" xfId="0" applyNumberFormat="1" applyFont="1" applyFill="1" applyBorder="1" applyAlignment="1">
      <alignment horizontal="center" vertical="center" wrapText="1"/>
    </xf>
    <xf numFmtId="0" fontId="11" fillId="9" borderId="0" xfId="0" applyFont="1" applyFill="1" applyBorder="1" applyAlignment="1" applyProtection="1">
      <alignment horizontal="right" vertical="center" wrapText="1"/>
    </xf>
    <xf numFmtId="9" fontId="11" fillId="9" borderId="0" xfId="0" applyNumberFormat="1" applyFont="1" applyFill="1" applyBorder="1" applyAlignment="1" applyProtection="1">
      <alignment horizontal="right" vertical="center" wrapText="1"/>
    </xf>
    <xf numFmtId="49" fontId="11" fillId="0" borderId="74" xfId="1" applyNumberFormat="1" applyFont="1" applyBorder="1" applyAlignment="1">
      <alignment horizontal="center" vertical="center" wrapText="1"/>
    </xf>
    <xf numFmtId="0" fontId="11" fillId="0" borderId="74" xfId="0" applyFont="1" applyFill="1" applyBorder="1" applyAlignment="1">
      <alignment horizontal="left" vertical="center" wrapText="1"/>
    </xf>
    <xf numFmtId="0" fontId="9" fillId="0" borderId="66" xfId="0" applyNumberFormat="1" applyFont="1" applyFill="1" applyBorder="1" applyAlignment="1" applyProtection="1">
      <alignment horizontal="center" vertical="center"/>
      <protection locked="0"/>
    </xf>
    <xf numFmtId="0" fontId="9" fillId="0" borderId="52" xfId="0" applyNumberFormat="1" applyFont="1" applyFill="1" applyBorder="1" applyAlignment="1" applyProtection="1">
      <alignment horizontal="center" vertical="center"/>
      <protection locked="0"/>
    </xf>
    <xf numFmtId="0" fontId="9" fillId="0" borderId="50" xfId="0" applyNumberFormat="1" applyFont="1" applyFill="1" applyBorder="1" applyAlignment="1" applyProtection="1">
      <alignment horizontal="center" vertical="center"/>
      <protection locked="0"/>
    </xf>
    <xf numFmtId="49" fontId="11" fillId="0" borderId="5" xfId="1" applyNumberFormat="1" applyFont="1" applyBorder="1" applyAlignment="1">
      <alignment horizontal="center" vertical="center" wrapText="1"/>
    </xf>
    <xf numFmtId="0" fontId="11" fillId="0" borderId="5" xfId="1" applyFont="1" applyFill="1" applyBorder="1" applyAlignment="1" applyProtection="1">
      <alignment vertical="center" wrapText="1"/>
    </xf>
    <xf numFmtId="0" fontId="11" fillId="9" borderId="0" xfId="0" applyFont="1" applyFill="1" applyBorder="1" applyAlignment="1" applyProtection="1">
      <alignment vertical="center" wrapText="1"/>
    </xf>
    <xf numFmtId="9" fontId="11" fillId="9" borderId="0" xfId="0" applyNumberFormat="1" applyFont="1" applyFill="1" applyBorder="1" applyAlignment="1" applyProtection="1">
      <alignment vertical="center" wrapText="1"/>
    </xf>
    <xf numFmtId="0" fontId="46" fillId="0" borderId="5" xfId="0" applyFont="1" applyFill="1" applyBorder="1" applyAlignment="1" applyProtection="1">
      <alignment vertical="center" wrapText="1"/>
    </xf>
    <xf numFmtId="0" fontId="9" fillId="4" borderId="8" xfId="0" applyFont="1" applyFill="1" applyBorder="1" applyAlignment="1">
      <alignment horizontal="right" vertical="center" wrapText="1" indent="1"/>
    </xf>
    <xf numFmtId="0" fontId="11" fillId="0" borderId="19" xfId="0" applyFont="1" applyFill="1" applyBorder="1" applyAlignment="1">
      <alignment horizontal="left" vertical="center" wrapText="1"/>
    </xf>
    <xf numFmtId="0" fontId="9" fillId="9" borderId="5" xfId="0" applyFont="1" applyFill="1" applyBorder="1" applyAlignment="1">
      <alignment horizontal="center" vertical="center" wrapText="1"/>
    </xf>
    <xf numFmtId="0" fontId="11" fillId="0" borderId="66" xfId="0" applyFont="1" applyFill="1" applyBorder="1" applyAlignment="1" applyProtection="1">
      <alignment vertical="center" wrapText="1"/>
    </xf>
    <xf numFmtId="9" fontId="11" fillId="0" borderId="52" xfId="0" applyNumberFormat="1" applyFont="1" applyFill="1" applyBorder="1" applyAlignment="1" applyProtection="1">
      <alignment vertical="center" wrapText="1"/>
    </xf>
    <xf numFmtId="0" fontId="11" fillId="0" borderId="52" xfId="0" applyFont="1" applyFill="1" applyBorder="1" applyAlignment="1" applyProtection="1">
      <alignment vertical="center" wrapText="1"/>
    </xf>
    <xf numFmtId="0" fontId="11" fillId="0" borderId="67" xfId="0" applyFont="1" applyFill="1" applyBorder="1" applyAlignment="1" applyProtection="1">
      <alignment vertical="center"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11" fillId="0" borderId="21" xfId="0" applyFont="1" applyBorder="1" applyAlignment="1">
      <alignment vertical="center" wrapText="1"/>
    </xf>
    <xf numFmtId="0" fontId="8" fillId="10" borderId="3" xfId="0" applyFont="1" applyFill="1" applyBorder="1" applyAlignment="1">
      <alignment horizontal="centerContinuous" vertical="center" wrapText="1"/>
    </xf>
    <xf numFmtId="0" fontId="8" fillId="10" borderId="76" xfId="0" applyFont="1" applyFill="1" applyBorder="1" applyAlignment="1">
      <alignment horizontal="centerContinuous" vertical="center" wrapText="1"/>
    </xf>
    <xf numFmtId="0" fontId="8" fillId="10" borderId="4" xfId="0" applyFont="1" applyFill="1" applyBorder="1" applyAlignment="1">
      <alignment horizontal="centerContinuous" vertical="center" wrapText="1"/>
    </xf>
    <xf numFmtId="0" fontId="5" fillId="0" borderId="33" xfId="0" applyFont="1" applyBorder="1" applyAlignment="1">
      <alignment horizontal="center" vertical="center"/>
    </xf>
    <xf numFmtId="0" fontId="5" fillId="0" borderId="29" xfId="0" applyFont="1" applyBorder="1" applyAlignment="1">
      <alignment horizontal="center" vertical="center"/>
    </xf>
    <xf numFmtId="0" fontId="9" fillId="9" borderId="33" xfId="0" applyNumberFormat="1" applyFont="1" applyFill="1" applyBorder="1" applyAlignment="1" applyProtection="1">
      <alignment horizontal="center" vertical="center"/>
    </xf>
    <xf numFmtId="0" fontId="9" fillId="9" borderId="29" xfId="0" applyNumberFormat="1" applyFont="1" applyFill="1" applyBorder="1" applyAlignment="1" applyProtection="1">
      <alignment horizontal="center" vertical="center"/>
    </xf>
    <xf numFmtId="0" fontId="9" fillId="0" borderId="29"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9" fillId="0" borderId="21" xfId="0" applyNumberFormat="1" applyFont="1" applyFill="1" applyBorder="1" applyAlignment="1" applyProtection="1">
      <alignment horizontal="center" vertical="center"/>
    </xf>
    <xf numFmtId="0" fontId="11" fillId="0" borderId="73" xfId="0" applyFont="1" applyFill="1" applyBorder="1" applyAlignment="1" applyProtection="1">
      <alignment vertical="center" wrapText="1"/>
    </xf>
    <xf numFmtId="9" fontId="11" fillId="0" borderId="58" xfId="0" applyNumberFormat="1" applyFont="1" applyFill="1" applyBorder="1" applyAlignment="1" applyProtection="1">
      <alignment vertical="center" wrapText="1"/>
    </xf>
    <xf numFmtId="0" fontId="11" fillId="0" borderId="58" xfId="0" applyFont="1" applyFill="1" applyBorder="1" applyAlignment="1" applyProtection="1">
      <alignment vertical="center" wrapText="1"/>
    </xf>
    <xf numFmtId="0" fontId="11" fillId="0" borderId="75" xfId="0" applyFont="1" applyFill="1" applyBorder="1" applyAlignment="1" applyProtection="1">
      <alignment vertical="center" wrapText="1"/>
    </xf>
    <xf numFmtId="0" fontId="5" fillId="9" borderId="5" xfId="0" applyFont="1" applyFill="1" applyBorder="1" applyAlignment="1">
      <alignment horizontal="center" vertical="center"/>
    </xf>
    <xf numFmtId="0" fontId="9" fillId="9" borderId="5" xfId="0" applyFont="1" applyFill="1" applyBorder="1" applyAlignment="1">
      <alignment horizontal="center" vertical="center"/>
    </xf>
    <xf numFmtId="49" fontId="11" fillId="0" borderId="46" xfId="0" applyNumberFormat="1" applyFont="1" applyFill="1" applyBorder="1" applyAlignment="1">
      <alignment horizontal="center" vertical="center" wrapText="1"/>
    </xf>
    <xf numFmtId="0" fontId="11" fillId="9" borderId="1" xfId="0" applyFont="1" applyFill="1" applyBorder="1" applyAlignment="1" applyProtection="1">
      <alignment vertical="center" wrapText="1"/>
    </xf>
    <xf numFmtId="9" fontId="11" fillId="9" borderId="6" xfId="0" applyNumberFormat="1" applyFont="1" applyFill="1" applyBorder="1" applyAlignment="1" applyProtection="1">
      <alignment vertical="center" wrapText="1"/>
    </xf>
    <xf numFmtId="0" fontId="11" fillId="9" borderId="6"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13" xfId="0" applyFont="1" applyFill="1" applyBorder="1" applyAlignment="1" applyProtection="1">
      <alignment vertical="center" wrapText="1"/>
    </xf>
    <xf numFmtId="0" fontId="11" fillId="9" borderId="14" xfId="0" applyFont="1" applyFill="1" applyBorder="1" applyAlignment="1" applyProtection="1">
      <alignment vertical="center" wrapText="1"/>
    </xf>
    <xf numFmtId="0" fontId="11" fillId="9" borderId="7" xfId="0" applyFont="1" applyFill="1" applyBorder="1" applyAlignment="1" applyProtection="1">
      <alignment vertical="center" wrapText="1"/>
    </xf>
    <xf numFmtId="9" fontId="11" fillId="9" borderId="8" xfId="0" applyNumberFormat="1" applyFont="1" applyFill="1" applyBorder="1" applyAlignment="1" applyProtection="1">
      <alignment vertical="center" wrapText="1"/>
    </xf>
    <xf numFmtId="0" fontId="11" fillId="9" borderId="8" xfId="0" applyFont="1" applyFill="1" applyBorder="1" applyAlignment="1" applyProtection="1">
      <alignment vertical="center" wrapText="1"/>
    </xf>
    <xf numFmtId="0" fontId="11" fillId="9" borderId="9" xfId="0" applyFont="1" applyFill="1" applyBorder="1" applyAlignment="1" applyProtection="1">
      <alignment vertical="center" wrapText="1"/>
    </xf>
    <xf numFmtId="0" fontId="5" fillId="0" borderId="5" xfId="0" applyFont="1" applyFill="1" applyBorder="1" applyAlignment="1">
      <alignment horizontal="center" vertical="center"/>
    </xf>
    <xf numFmtId="0" fontId="11" fillId="9" borderId="7" xfId="0" applyFont="1" applyFill="1" applyBorder="1" applyAlignment="1" applyProtection="1">
      <alignment horizontal="right" vertical="center" wrapText="1"/>
    </xf>
    <xf numFmtId="9" fontId="11" fillId="9" borderId="8" xfId="0" applyNumberFormat="1" applyFont="1" applyFill="1" applyBorder="1" applyAlignment="1" applyProtection="1">
      <alignment horizontal="right" vertical="center" wrapText="1"/>
    </xf>
    <xf numFmtId="0" fontId="11" fillId="9" borderId="8" xfId="0" applyFont="1" applyFill="1" applyBorder="1" applyAlignment="1" applyProtection="1">
      <alignment horizontal="right" vertical="center" wrapText="1"/>
    </xf>
    <xf numFmtId="0" fontId="11" fillId="9" borderId="9" xfId="0" applyFont="1" applyFill="1" applyBorder="1" applyAlignment="1" applyProtection="1">
      <alignment horizontal="right" vertical="center" wrapText="1"/>
    </xf>
    <xf numFmtId="0" fontId="11" fillId="0" borderId="15" xfId="0" applyFont="1" applyFill="1" applyBorder="1" applyAlignment="1" applyProtection="1">
      <alignment vertical="center" wrapText="1"/>
    </xf>
    <xf numFmtId="0" fontId="0" fillId="9" borderId="6" xfId="0" applyFill="1" applyBorder="1"/>
    <xf numFmtId="0" fontId="0" fillId="9" borderId="2" xfId="0" applyFill="1" applyBorder="1"/>
    <xf numFmtId="0" fontId="10" fillId="0" borderId="77" xfId="0" applyNumberFormat="1" applyFont="1" applyFill="1" applyBorder="1" applyAlignment="1">
      <alignment horizontal="center" vertical="center" wrapText="1"/>
    </xf>
    <xf numFmtId="0" fontId="10" fillId="0" borderId="78" xfId="0" applyNumberFormat="1" applyFont="1" applyFill="1" applyBorder="1" applyAlignment="1">
      <alignment horizontal="center" vertical="center" wrapText="1"/>
    </xf>
    <xf numFmtId="0" fontId="10" fillId="0" borderId="79" xfId="0" applyNumberFormat="1" applyFont="1" applyFill="1" applyBorder="1" applyAlignment="1">
      <alignment horizontal="center" vertical="center" wrapText="1"/>
    </xf>
    <xf numFmtId="0" fontId="5" fillId="9" borderId="33" xfId="0" applyFont="1" applyFill="1" applyBorder="1" applyAlignment="1">
      <alignment horizontal="center" vertical="center"/>
    </xf>
    <xf numFmtId="0" fontId="5" fillId="9" borderId="29" xfId="0" applyFont="1" applyFill="1" applyBorder="1" applyAlignment="1">
      <alignment horizontal="center" vertical="center"/>
    </xf>
    <xf numFmtId="0" fontId="9" fillId="0" borderId="17" xfId="0" applyNumberFormat="1" applyFont="1" applyFill="1" applyBorder="1" applyAlignment="1" applyProtection="1">
      <alignment horizontal="center" vertical="center"/>
    </xf>
    <xf numFmtId="0" fontId="9" fillId="0" borderId="17" xfId="0" applyNumberFormat="1" applyFont="1" applyFill="1" applyBorder="1" applyAlignment="1" applyProtection="1">
      <alignment horizontal="center" vertical="center"/>
      <protection locked="0"/>
    </xf>
    <xf numFmtId="0" fontId="9" fillId="0" borderId="43" xfId="0" applyNumberFormat="1" applyFont="1" applyFill="1" applyBorder="1" applyAlignment="1" applyProtection="1">
      <alignment horizontal="center" vertical="center"/>
      <protection locked="0"/>
    </xf>
    <xf numFmtId="0" fontId="10" fillId="0" borderId="80" xfId="0" applyNumberFormat="1" applyFont="1" applyFill="1" applyBorder="1" applyAlignment="1">
      <alignment horizontal="center" vertical="center" wrapText="1"/>
    </xf>
    <xf numFmtId="0" fontId="9" fillId="9" borderId="2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25" fillId="0" borderId="5" xfId="0" applyFont="1" applyFill="1" applyBorder="1" applyAlignment="1" applyProtection="1">
      <alignment vertical="center" wrapText="1"/>
    </xf>
    <xf numFmtId="0" fontId="9" fillId="9" borderId="21" xfId="0" applyFont="1" applyFill="1" applyBorder="1" applyAlignment="1">
      <alignment horizontal="center" vertical="center"/>
    </xf>
    <xf numFmtId="0" fontId="11" fillId="9" borderId="13" xfId="0" applyFont="1" applyFill="1" applyBorder="1" applyAlignment="1" applyProtection="1">
      <alignment horizontal="right" vertical="center" wrapText="1"/>
    </xf>
    <xf numFmtId="0" fontId="11" fillId="9" borderId="14" xfId="0" applyFont="1" applyFill="1" applyBorder="1" applyAlignment="1" applyProtection="1">
      <alignment horizontal="right" vertical="center" wrapText="1"/>
    </xf>
    <xf numFmtId="0" fontId="9" fillId="9" borderId="34" xfId="0" applyNumberFormat="1" applyFont="1" applyFill="1" applyBorder="1" applyAlignment="1" applyProtection="1">
      <alignment horizontal="center" vertical="center"/>
    </xf>
    <xf numFmtId="0" fontId="9" fillId="0" borderId="48" xfId="0" applyNumberFormat="1" applyFont="1" applyFill="1" applyBorder="1" applyAlignment="1" applyProtection="1">
      <alignment horizontal="center" vertical="center"/>
      <protection locked="0"/>
    </xf>
    <xf numFmtId="0" fontId="10" fillId="0" borderId="77" xfId="0" applyFont="1" applyFill="1" applyBorder="1" applyAlignment="1">
      <alignment horizontal="center" vertical="center" wrapText="1"/>
    </xf>
    <xf numFmtId="0" fontId="10" fillId="0" borderId="81"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0" fillId="0" borderId="79" xfId="0" applyFont="1" applyFill="1" applyBorder="1" applyAlignment="1">
      <alignment horizontal="center" vertical="center" wrapText="1"/>
    </xf>
    <xf numFmtId="165" fontId="9" fillId="4" borderId="33" xfId="0" applyNumberFormat="1" applyFont="1" applyFill="1" applyBorder="1" applyAlignment="1" applyProtection="1">
      <alignment horizontal="left" vertical="center"/>
    </xf>
    <xf numFmtId="165" fontId="9" fillId="4" borderId="29" xfId="0" applyNumberFormat="1" applyFont="1" applyFill="1" applyBorder="1" applyAlignment="1" applyProtection="1">
      <alignment horizontal="left" vertical="center"/>
    </xf>
    <xf numFmtId="0" fontId="5" fillId="0" borderId="52" xfId="0" applyFont="1" applyFill="1" applyBorder="1" applyAlignment="1">
      <alignment horizontal="center" vertical="center" wrapText="1"/>
    </xf>
    <xf numFmtId="0" fontId="5" fillId="0" borderId="52" xfId="0" applyFont="1" applyFill="1" applyBorder="1" applyAlignment="1">
      <alignment horizontal="center" vertical="center"/>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9" fontId="5" fillId="0" borderId="5" xfId="0" applyNumberFormat="1" applyFont="1" applyFill="1" applyBorder="1" applyAlignment="1">
      <alignment horizontal="center" vertical="center"/>
    </xf>
    <xf numFmtId="49" fontId="11" fillId="0" borderId="0" xfId="0" applyNumberFormat="1" applyFont="1" applyFill="1" applyAlignment="1">
      <alignment horizontal="center" vertical="center" wrapText="1"/>
    </xf>
    <xf numFmtId="0" fontId="11" fillId="0" borderId="0" xfId="0" applyFont="1" applyFill="1" applyBorder="1" applyAlignment="1">
      <alignment horizontal="left" vertical="center" wrapText="1"/>
    </xf>
    <xf numFmtId="0" fontId="11" fillId="0" borderId="27" xfId="1" applyFont="1" applyBorder="1" applyAlignment="1" applyProtection="1">
      <alignment vertical="center" wrapText="1"/>
      <protection locked="0"/>
    </xf>
    <xf numFmtId="0" fontId="11" fillId="0" borderId="24" xfId="1" applyFont="1" applyBorder="1" applyAlignment="1" applyProtection="1">
      <alignment vertical="center" wrapText="1"/>
      <protection locked="0"/>
    </xf>
    <xf numFmtId="0" fontId="11" fillId="0" borderId="26" xfId="1" applyFont="1" applyBorder="1" applyAlignment="1" applyProtection="1">
      <alignment vertical="center" wrapText="1"/>
      <protection locked="0"/>
    </xf>
    <xf numFmtId="0" fontId="5" fillId="0" borderId="3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1" fillId="0" borderId="0" xfId="0" applyFont="1" applyAlignment="1">
      <alignment vertical="center" wrapText="1"/>
    </xf>
    <xf numFmtId="0" fontId="5" fillId="0" borderId="0" xfId="0" applyFont="1" applyAlignment="1">
      <alignment horizontal="center" vertical="center" wrapText="1"/>
    </xf>
    <xf numFmtId="0" fontId="50"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Alignment="1">
      <alignment vertical="center" wrapText="1"/>
    </xf>
    <xf numFmtId="0" fontId="52" fillId="0" borderId="0" xfId="0" applyFont="1" applyAlignment="1">
      <alignment vertical="center" wrapText="1"/>
    </xf>
    <xf numFmtId="0" fontId="55" fillId="0" borderId="0" xfId="0" applyFont="1" applyAlignment="1">
      <alignment horizontal="left" vertical="center" wrapText="1"/>
    </xf>
    <xf numFmtId="0" fontId="51" fillId="0" borderId="0" xfId="0" applyFont="1" applyAlignment="1">
      <alignment horizontal="left" vertical="center" wrapText="1"/>
    </xf>
    <xf numFmtId="0" fontId="0" fillId="0" borderId="0" xfId="0" applyAlignment="1">
      <alignment wrapText="1"/>
    </xf>
    <xf numFmtId="0" fontId="11" fillId="0" borderId="0" xfId="0" applyFont="1" applyBorder="1" applyAlignment="1">
      <alignment vertical="top" wrapText="1"/>
    </xf>
    <xf numFmtId="0" fontId="11" fillId="9" borderId="51" xfId="0" applyFont="1" applyFill="1" applyBorder="1" applyAlignment="1" applyProtection="1">
      <alignment vertical="center" wrapText="1"/>
    </xf>
    <xf numFmtId="0" fontId="9" fillId="9" borderId="17" xfId="0" applyNumberFormat="1" applyFont="1" applyFill="1" applyBorder="1" applyAlignment="1" applyProtection="1">
      <alignment horizontal="center" vertical="center"/>
    </xf>
    <xf numFmtId="0" fontId="5" fillId="0" borderId="17" xfId="0" applyFont="1" applyBorder="1" applyAlignment="1">
      <alignment horizontal="center" vertical="center"/>
    </xf>
    <xf numFmtId="0" fontId="11" fillId="9" borderId="21" xfId="0" applyFont="1" applyFill="1" applyBorder="1" applyAlignment="1" applyProtection="1">
      <alignment vertical="center" wrapText="1"/>
    </xf>
    <xf numFmtId="9" fontId="11" fillId="9" borderId="19" xfId="0" applyNumberFormat="1" applyFont="1" applyFill="1" applyBorder="1" applyAlignment="1" applyProtection="1">
      <alignment vertical="center" wrapText="1"/>
    </xf>
    <xf numFmtId="0" fontId="11" fillId="9" borderId="19" xfId="0" applyFont="1" applyFill="1" applyBorder="1" applyAlignment="1" applyProtection="1">
      <alignment vertical="center" wrapText="1"/>
    </xf>
    <xf numFmtId="0" fontId="11" fillId="9" borderId="20" xfId="0" applyFont="1" applyFill="1" applyBorder="1" applyAlignment="1" applyProtection="1">
      <alignment vertical="center" wrapText="1"/>
    </xf>
    <xf numFmtId="0" fontId="11" fillId="0" borderId="0" xfId="0" applyFont="1" applyFill="1" applyBorder="1" applyAlignment="1">
      <alignment vertical="top" wrapText="1"/>
    </xf>
    <xf numFmtId="9" fontId="37" fillId="0" borderId="47" xfId="0" applyNumberFormat="1" applyFont="1" applyFill="1" applyBorder="1" applyAlignment="1">
      <alignment horizontal="center" vertical="center"/>
    </xf>
    <xf numFmtId="0" fontId="2" fillId="0" borderId="0" xfId="0" applyFont="1" applyBorder="1" applyAlignment="1">
      <alignment vertical="center" wrapText="1"/>
    </xf>
    <xf numFmtId="0" fontId="11" fillId="9" borderId="50" xfId="0" applyFont="1" applyFill="1" applyBorder="1" applyAlignment="1" applyProtection="1">
      <alignment vertical="center" wrapText="1"/>
    </xf>
    <xf numFmtId="9" fontId="11" fillId="9" borderId="49" xfId="0" applyNumberFormat="1" applyFont="1" applyFill="1" applyBorder="1" applyAlignment="1" applyProtection="1">
      <alignment vertical="center" wrapText="1"/>
    </xf>
    <xf numFmtId="0" fontId="11" fillId="9" borderId="49" xfId="0" applyFont="1" applyFill="1" applyBorder="1" applyAlignment="1" applyProtection="1">
      <alignment vertical="center" wrapText="1"/>
    </xf>
    <xf numFmtId="0" fontId="11" fillId="9" borderId="40" xfId="0" applyFont="1" applyFill="1" applyBorder="1" applyAlignment="1" applyProtection="1">
      <alignment vertical="center" wrapText="1"/>
    </xf>
    <xf numFmtId="9" fontId="11" fillId="9" borderId="46" xfId="0" applyNumberFormat="1" applyFont="1" applyFill="1" applyBorder="1" applyAlignment="1" applyProtection="1">
      <alignment vertical="center" wrapText="1"/>
    </xf>
    <xf numFmtId="0" fontId="11" fillId="9" borderId="46" xfId="0" applyFont="1" applyFill="1" applyBorder="1" applyAlignment="1" applyProtection="1">
      <alignment vertical="center" wrapText="1"/>
    </xf>
    <xf numFmtId="0" fontId="11" fillId="9" borderId="47" xfId="0" applyFont="1" applyFill="1" applyBorder="1" applyAlignment="1" applyProtection="1">
      <alignment vertical="center" wrapText="1"/>
    </xf>
    <xf numFmtId="0" fontId="11" fillId="0" borderId="0" xfId="0" applyFont="1" applyBorder="1" applyAlignment="1">
      <alignment vertical="center" wrapText="1"/>
    </xf>
    <xf numFmtId="0" fontId="11" fillId="9" borderId="73" xfId="0" applyFont="1" applyFill="1" applyBorder="1" applyAlignment="1" applyProtection="1">
      <alignment vertical="center" wrapText="1"/>
    </xf>
    <xf numFmtId="9" fontId="11" fillId="9" borderId="58" xfId="0" applyNumberFormat="1" applyFont="1" applyFill="1" applyBorder="1" applyAlignment="1" applyProtection="1">
      <alignment vertical="center" wrapText="1"/>
    </xf>
    <xf numFmtId="0" fontId="11" fillId="9" borderId="58" xfId="0" applyFont="1" applyFill="1" applyBorder="1" applyAlignment="1" applyProtection="1">
      <alignment vertical="center" wrapText="1"/>
    </xf>
    <xf numFmtId="0" fontId="11" fillId="9" borderId="75" xfId="0" applyFont="1" applyFill="1" applyBorder="1" applyAlignment="1" applyProtection="1">
      <alignment vertical="center" wrapText="1"/>
    </xf>
    <xf numFmtId="0" fontId="43" fillId="0" borderId="52" xfId="0" applyFont="1" applyFill="1" applyBorder="1" applyAlignment="1">
      <alignment horizontal="center" vertical="center"/>
    </xf>
    <xf numFmtId="9" fontId="37" fillId="0" borderId="5" xfId="0" applyNumberFormat="1" applyFont="1" applyFill="1" applyBorder="1" applyAlignment="1">
      <alignment horizontal="center" vertical="center"/>
    </xf>
    <xf numFmtId="49" fontId="2" fillId="13" borderId="38" xfId="0" applyNumberFormat="1" applyFont="1" applyFill="1" applyBorder="1" applyAlignment="1">
      <alignment horizontal="center" vertical="center"/>
    </xf>
    <xf numFmtId="0" fontId="5" fillId="13" borderId="38" xfId="0" applyFont="1" applyFill="1" applyBorder="1" applyAlignment="1">
      <alignment horizontal="center" vertical="center"/>
    </xf>
    <xf numFmtId="0" fontId="22" fillId="0" borderId="8" xfId="1" applyFont="1" applyBorder="1" applyAlignment="1">
      <alignment horizontal="left" vertical="top" wrapText="1"/>
    </xf>
    <xf numFmtId="0" fontId="8" fillId="10" borderId="13"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0" borderId="14" xfId="0" applyFont="1" applyFill="1" applyBorder="1" applyAlignment="1">
      <alignment horizontal="center" vertical="center" wrapText="1"/>
    </xf>
    <xf numFmtId="49" fontId="11" fillId="0" borderId="16" xfId="0" applyNumberFormat="1" applyFont="1" applyFill="1" applyBorder="1" applyAlignment="1" applyProtection="1">
      <alignment horizontal="left" vertical="center" wrapText="1"/>
      <protection locked="0"/>
    </xf>
    <xf numFmtId="49" fontId="11" fillId="0" borderId="0" xfId="0" applyNumberFormat="1" applyFont="1" applyFill="1" applyBorder="1" applyAlignment="1" applyProtection="1">
      <alignment horizontal="left" vertical="center" wrapText="1"/>
      <protection locked="0"/>
    </xf>
    <xf numFmtId="49" fontId="11" fillId="0" borderId="15" xfId="0" applyNumberFormat="1" applyFont="1" applyFill="1" applyBorder="1" applyAlignment="1" applyProtection="1">
      <alignment horizontal="left" vertical="center" wrapText="1"/>
      <protection locked="0"/>
    </xf>
    <xf numFmtId="49" fontId="11" fillId="0" borderId="40" xfId="0" applyNumberFormat="1" applyFont="1" applyFill="1" applyBorder="1" applyAlignment="1" applyProtection="1">
      <alignment horizontal="left" vertical="center" wrapText="1"/>
      <protection locked="0"/>
    </xf>
    <xf numFmtId="49" fontId="11" fillId="0" borderId="46" xfId="0" applyNumberFormat="1" applyFont="1" applyFill="1" applyBorder="1" applyAlignment="1" applyProtection="1">
      <alignment horizontal="left" vertical="center" wrapText="1"/>
      <protection locked="0"/>
    </xf>
    <xf numFmtId="49" fontId="11" fillId="0" borderId="47" xfId="0" applyNumberFormat="1" applyFont="1" applyFill="1" applyBorder="1" applyAlignment="1" applyProtection="1">
      <alignment horizontal="left" vertical="center" wrapText="1"/>
      <protection locked="0"/>
    </xf>
    <xf numFmtId="49" fontId="11" fillId="0" borderId="0" xfId="0" applyNumberFormat="1" applyFont="1" applyFill="1" applyAlignment="1">
      <alignment horizontal="center" vertical="center" wrapText="1"/>
    </xf>
    <xf numFmtId="49" fontId="11" fillId="0" borderId="50" xfId="0" applyNumberFormat="1" applyFont="1" applyFill="1" applyBorder="1" applyAlignment="1" applyProtection="1">
      <alignment horizontal="left" vertical="center" wrapText="1"/>
      <protection locked="0"/>
    </xf>
    <xf numFmtId="49" fontId="11" fillId="0" borderId="49" xfId="0" applyNumberFormat="1" applyFont="1" applyFill="1" applyBorder="1" applyAlignment="1" applyProtection="1">
      <alignment horizontal="left" vertical="center" wrapText="1"/>
      <protection locked="0"/>
    </xf>
    <xf numFmtId="49" fontId="11" fillId="0" borderId="51" xfId="0" applyNumberFormat="1"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5" fillId="11" borderId="0" xfId="0" applyFont="1" applyFill="1" applyAlignment="1">
      <alignment horizontal="center" vertical="center"/>
    </xf>
    <xf numFmtId="0" fontId="32" fillId="11" borderId="0" xfId="0" applyFont="1" applyFill="1" applyAlignment="1">
      <alignment horizontal="center" vertical="center"/>
    </xf>
    <xf numFmtId="0" fontId="31" fillId="11" borderId="0" xfId="0" applyFont="1" applyFill="1" applyAlignment="1">
      <alignment horizontal="center" vertical="center"/>
    </xf>
    <xf numFmtId="0" fontId="33" fillId="11" borderId="0" xfId="0" applyFont="1" applyFill="1" applyAlignment="1">
      <alignment horizontal="center" vertical="center"/>
    </xf>
    <xf numFmtId="0" fontId="14" fillId="11" borderId="0" xfId="0" applyFont="1" applyFill="1" applyAlignment="1">
      <alignment horizontal="center" vertical="center"/>
    </xf>
    <xf numFmtId="0" fontId="37" fillId="0" borderId="0" xfId="0" applyFont="1" applyBorder="1" applyAlignment="1">
      <alignment horizontal="center" vertical="center" wrapText="1"/>
    </xf>
    <xf numFmtId="0" fontId="6" fillId="8" borderId="21"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2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Border="1" applyAlignment="1">
      <alignment horizontal="left" vertical="top" wrapText="1"/>
    </xf>
    <xf numFmtId="0" fontId="11" fillId="0" borderId="0" xfId="0" applyFont="1" applyBorder="1" applyAlignment="1">
      <alignment horizontal="left" vertical="top" wrapText="1"/>
    </xf>
    <xf numFmtId="0" fontId="11" fillId="0" borderId="15" xfId="0" applyFont="1" applyBorder="1" applyAlignment="1">
      <alignment horizontal="left" vertical="top" wrapText="1"/>
    </xf>
    <xf numFmtId="0" fontId="11" fillId="0" borderId="13" xfId="0" applyFont="1" applyFill="1" applyBorder="1" applyAlignment="1">
      <alignment horizontal="left" vertical="top" wrapText="1"/>
    </xf>
    <xf numFmtId="0" fontId="11" fillId="0" borderId="0" xfId="1" applyFont="1" applyFill="1" applyBorder="1" applyAlignment="1" applyProtection="1">
      <alignment horizontal="left" vertical="top" wrapText="1"/>
    </xf>
    <xf numFmtId="0" fontId="2" fillId="0" borderId="0" xfId="0" applyFont="1" applyBorder="1" applyAlignment="1">
      <alignment horizontal="center" vertical="center" wrapText="1"/>
    </xf>
    <xf numFmtId="0" fontId="11" fillId="0" borderId="0" xfId="0" applyFont="1" applyBorder="1" applyAlignment="1">
      <alignment horizontal="left" vertical="top"/>
    </xf>
    <xf numFmtId="0" fontId="0" fillId="0" borderId="19" xfId="0" applyBorder="1" applyAlignment="1">
      <alignment vertical="center"/>
    </xf>
    <xf numFmtId="0" fontId="0" fillId="0" borderId="20" xfId="0" applyBorder="1" applyAlignment="1">
      <alignment vertical="center"/>
    </xf>
    <xf numFmtId="0" fontId="11" fillId="0" borderId="0" xfId="0" applyFont="1" applyFill="1" applyBorder="1" applyAlignment="1">
      <alignment horizontal="left" wrapText="1"/>
    </xf>
    <xf numFmtId="0" fontId="40" fillId="0" borderId="52" xfId="0" applyFont="1" applyFill="1" applyBorder="1" applyAlignment="1">
      <alignment horizontal="center" vertical="center" wrapText="1"/>
    </xf>
    <xf numFmtId="0" fontId="40" fillId="0" borderId="58"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0" fillId="0" borderId="52" xfId="0" applyFont="1" applyBorder="1" applyAlignment="1">
      <alignment horizontal="center" vertical="center" wrapText="1"/>
    </xf>
    <xf numFmtId="0" fontId="40" fillId="0" borderId="58"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71" xfId="0" applyFont="1" applyBorder="1" applyAlignment="1">
      <alignment horizontal="center" vertical="center" wrapText="1"/>
    </xf>
  </cellXfs>
  <cellStyles count="12">
    <cellStyle name="Map Data Values" xfId="3" xr:uid="{00000000-0005-0000-0000-000000000000}"/>
    <cellStyle name="Map Distance" xfId="4" xr:uid="{00000000-0005-0000-0000-000001000000}"/>
    <cellStyle name="Map Labels" xfId="5" xr:uid="{00000000-0005-0000-0000-000002000000}"/>
    <cellStyle name="Map Legend" xfId="6" xr:uid="{00000000-0005-0000-0000-000003000000}"/>
    <cellStyle name="Map Object Names" xfId="7" xr:uid="{00000000-0005-0000-0000-000004000000}"/>
    <cellStyle name="Map Title" xfId="8" xr:uid="{00000000-0005-0000-0000-000005000000}"/>
    <cellStyle name="Normal" xfId="0" builtinId="0"/>
    <cellStyle name="Normal 2" xfId="2" xr:uid="{00000000-0005-0000-0000-000007000000}"/>
    <cellStyle name="Normal 3" xfId="9" xr:uid="{00000000-0005-0000-0000-000008000000}"/>
    <cellStyle name="Normal 4" xfId="10" xr:uid="{00000000-0005-0000-0000-000009000000}"/>
    <cellStyle name="Normal_Copy of DHHS Medication Review Tool (2)" xfId="1" xr:uid="{00000000-0005-0000-0000-00000A000000}"/>
    <cellStyle name="Percent 2" xfId="11" xr:uid="{00000000-0005-0000-0000-00000B000000}"/>
  </cellStyles>
  <dxfs count="296">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theme="7" tint="-0.749961851863155"/>
      </font>
    </dxf>
    <dxf>
      <font>
        <b/>
        <i val="0"/>
        <color rgb="FFFF0000"/>
      </font>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condense val="0"/>
        <extend val="0"/>
        <color indexed="10"/>
      </font>
    </dxf>
    <dxf>
      <font>
        <condense val="0"/>
        <extend val="0"/>
        <color indexed="10"/>
      </font>
    </dxf>
    <dxf>
      <fill>
        <patternFill>
          <bgColor indexed="22"/>
        </patternFill>
      </fill>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ont>
        <condense val="0"/>
        <extend val="0"/>
        <color indexed="10"/>
      </font>
    </dxf>
    <dxf>
      <fill>
        <patternFill>
          <bgColor indexed="22"/>
        </patternFill>
      </fill>
    </dxf>
    <dxf>
      <fill>
        <patternFill>
          <bgColor rgb="FFFF00FF"/>
        </patternFill>
      </fill>
    </dxf>
    <dxf>
      <fill>
        <patternFill>
          <bgColor rgb="FFC0C0C0"/>
        </patternFill>
      </fill>
    </dxf>
    <dxf>
      <font>
        <condense val="0"/>
        <extend val="0"/>
        <color indexed="10"/>
      </font>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ont>
        <condense val="0"/>
        <extend val="0"/>
        <color indexed="10"/>
      </font>
    </dxf>
    <dxf>
      <fill>
        <patternFill>
          <bgColor indexed="22"/>
        </patternFill>
      </fill>
    </dxf>
    <dxf>
      <fill>
        <patternFill>
          <bgColor rgb="FFFF00FF"/>
        </patternFill>
      </fill>
    </dxf>
    <dxf>
      <fill>
        <patternFill>
          <bgColor rgb="FFC0C0C0"/>
        </patternFill>
      </fill>
    </dxf>
    <dxf>
      <fill>
        <patternFill>
          <bgColor rgb="FFC0C0C0"/>
        </patternFill>
      </fill>
    </dxf>
    <dxf>
      <fill>
        <patternFill>
          <bgColor indexed="22"/>
        </patternFill>
      </fill>
    </dxf>
    <dxf>
      <fill>
        <patternFill>
          <bgColor rgb="FFFF00FF"/>
        </patternFill>
      </fill>
    </dxf>
    <dxf>
      <font>
        <condense val="0"/>
        <extend val="0"/>
        <color indexed="10"/>
      </font>
    </dxf>
    <dxf>
      <font>
        <condense val="0"/>
        <extend val="0"/>
        <color indexed="10"/>
      </font>
    </dxf>
    <dxf>
      <font>
        <condense val="0"/>
        <extend val="0"/>
        <color indexed="10"/>
      </font>
    </dxf>
    <dxf>
      <fill>
        <patternFill>
          <bgColor rgb="FFC0C0C0"/>
        </patternFill>
      </fill>
    </dxf>
    <dxf>
      <font>
        <condense val="0"/>
        <extend val="0"/>
        <color indexed="10"/>
      </font>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indexed="22"/>
        </patternFill>
      </fill>
    </dxf>
    <dxf>
      <fill>
        <patternFill>
          <bgColor rgb="FFFF00FF"/>
        </patternFill>
      </fill>
    </dxf>
    <dxf>
      <fill>
        <patternFill>
          <bgColor rgb="FFC0C0C0"/>
        </patternFill>
      </fill>
    </dxf>
    <dxf>
      <fill>
        <patternFill>
          <bgColor rgb="FFC0C0C0"/>
        </patternFill>
      </fill>
    </dxf>
    <dxf>
      <fill>
        <patternFill>
          <bgColor indexed="22"/>
        </patternFill>
      </fill>
    </dxf>
    <dxf>
      <fill>
        <patternFill>
          <bgColor rgb="FFFF00FF"/>
        </patternFill>
      </fill>
    </dxf>
    <dxf>
      <font>
        <condense val="0"/>
        <extend val="0"/>
        <color indexed="10"/>
      </font>
    </dxf>
    <dxf>
      <font>
        <condense val="0"/>
        <extend val="0"/>
        <color indexed="10"/>
      </font>
    </dxf>
    <dxf>
      <font>
        <condense val="0"/>
        <extend val="0"/>
        <color indexed="10"/>
      </font>
    </dxf>
    <dxf>
      <fill>
        <patternFill>
          <bgColor rgb="FFC0C0C0"/>
        </patternFill>
      </fill>
    </dxf>
    <dxf>
      <font>
        <condense val="0"/>
        <extend val="0"/>
        <color indexed="10"/>
      </font>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indexed="22"/>
        </patternFill>
      </fill>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ill>
        <patternFill>
          <bgColor rgb="FFC0C0C0"/>
        </patternFill>
      </fill>
    </dxf>
    <dxf>
      <fill>
        <patternFill>
          <bgColor indexed="22"/>
        </patternFill>
      </fill>
    </dxf>
    <dxf>
      <fill>
        <patternFill>
          <bgColor rgb="FFFF00FF"/>
        </patternFill>
      </fill>
    </dxf>
    <dxf>
      <font>
        <condense val="0"/>
        <extend val="0"/>
        <color indexed="10"/>
      </font>
    </dxf>
    <dxf>
      <font>
        <condense val="0"/>
        <extend val="0"/>
        <color indexed="10"/>
      </font>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indexed="22"/>
        </patternFill>
      </fill>
    </dxf>
    <dxf>
      <fill>
        <patternFill>
          <bgColor rgb="FFFF00FF"/>
        </patternFill>
      </fill>
    </dxf>
    <dxf>
      <font>
        <b/>
        <i val="0"/>
        <color rgb="FF00B050"/>
      </font>
      <fill>
        <patternFill>
          <bgColor theme="7" tint="0.79998168889431442"/>
        </patternFill>
      </fill>
    </dxf>
    <dxf>
      <font>
        <b/>
        <i val="0"/>
        <color rgb="FFFF0000"/>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0000"/>
      <color rgb="FF008000"/>
      <color rgb="FFC0C0C0"/>
      <color rgb="FFFF00FF"/>
      <color rgb="FFCCFFCC"/>
      <color rgb="FFFF99CC"/>
      <color rgb="FFFF66CC"/>
      <color rgb="FFFF99FF"/>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581025</xdr:colOff>
      <xdr:row>70</xdr:row>
      <xdr:rowOff>152400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19050"/>
          <a:ext cx="6657975" cy="1082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Workbook Instructions, Clinical Monitoring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accent5">
                  <a:lumMod val="60000"/>
                  <a:lumOff val="4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Eligibility Checklist</a:t>
          </a:r>
          <a:r>
            <a:rPr lang="en-US" sz="1100" b="0" baseline="0">
              <a:solidFill>
                <a:schemeClr val="dk1"/>
              </a:solidFill>
              <a:effectLst/>
              <a:latin typeface="+mn-lt"/>
              <a:ea typeface="+mn-ea"/>
              <a:cs typeface="+mn-cs"/>
            </a:rPr>
            <a:t>s</a:t>
          </a:r>
          <a:endParaRPr lang="en-US">
            <a:effectLst/>
          </a:endParaRP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IDD Clinical </a:t>
          </a:r>
          <a:r>
            <a:rPr lang="en-US" sz="1100" b="0">
              <a:solidFill>
                <a:schemeClr val="dk1"/>
              </a:solidFill>
              <a:effectLst/>
              <a:latin typeface="+mn-lt"/>
              <a:ea typeface="+mn-ea"/>
              <a:cs typeface="+mn-cs"/>
            </a:rPr>
            <a:t>Monitoring Tools</a:t>
          </a:r>
          <a:endParaRPr lang="en-US" sz="1100">
            <a:solidFill>
              <a:schemeClr val="dk1"/>
            </a:solidFill>
            <a:effectLst/>
            <a:latin typeface="+mn-lt"/>
            <a:ea typeface="+mn-ea"/>
            <a:cs typeface="+mn-cs"/>
          </a:endParaRPr>
        </a:p>
        <a:p>
          <a:pPr lvl="0" algn="just"/>
          <a:r>
            <a:rPr lang="en-US" sz="1100" b="1" baseline="0">
              <a:solidFill>
                <a:srgbClr val="FF66CC"/>
              </a:solidFill>
              <a:effectLst/>
              <a:latin typeface="+mn-lt"/>
              <a:ea typeface="+mn-ea"/>
              <a:cs typeface="+mn-cs"/>
            </a:rPr>
            <a:t>Pink</a:t>
          </a:r>
          <a:r>
            <a:rPr lang="en-US" sz="1100" b="0" baseline="0">
              <a:solidFill>
                <a:schemeClr val="dk1"/>
              </a:solidFill>
              <a:effectLst/>
              <a:latin typeface="+mn-lt"/>
              <a:ea typeface="+mn-ea"/>
              <a:cs typeface="+mn-cs"/>
            </a:rPr>
            <a:t>: POC Summary</a:t>
          </a:r>
          <a:endParaRPr lang="en-US" sz="1100" b="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all the monitoring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mn-lt"/>
              <a:ea typeface="+mn-ea"/>
              <a:cs typeface="+mn-cs"/>
            </a:rPr>
            <a:t> tool </a:t>
          </a:r>
          <a:r>
            <a:rPr lang="en-US" sz="1100">
              <a:solidFill>
                <a:schemeClr val="dk1"/>
              </a:solidFill>
              <a:effectLst/>
              <a:latin typeface="+mn-lt"/>
              <a:ea typeface="+mn-ea"/>
              <a:cs typeface="+mn-cs"/>
            </a:rPr>
            <a:t>easier.</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and eligibility checklists,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Monitoring Tool:  </a:t>
          </a:r>
          <a:r>
            <a:rPr lang="en-US" sz="1100">
              <a:solidFill>
                <a:schemeClr val="dk1"/>
              </a:solidFill>
              <a:effectLst/>
              <a:latin typeface="+mn-lt"/>
              <a:ea typeface="+mn-ea"/>
              <a:cs typeface="+mn-cs"/>
            </a:rPr>
            <a:t>Each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If all columns are not needed, either hide unneeded columns or limit the number of pages printed (worksheets are formatted to print 12</a:t>
          </a:r>
          <a:r>
            <a:rPr lang="en-US" sz="1100" baseline="0">
              <a:solidFill>
                <a:schemeClr val="dk1"/>
              </a:solidFill>
              <a:effectLst/>
              <a:latin typeface="+mn-lt"/>
              <a:ea typeface="+mn-ea"/>
              <a:cs typeface="+mn-cs"/>
            </a:rPr>
            <a:t> columns per page)</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Columns that do not apply have been shaded gray and are locked to prevent anything being entered.</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clinical monitoring tools:</a:t>
          </a:r>
        </a:p>
        <a:p>
          <a:pPr algn="just"/>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IDD Supported Employment Initial Authorization</a:t>
          </a:r>
        </a:p>
        <a:p>
          <a:r>
            <a:rPr lang="en-US" sz="1100">
              <a:solidFill>
                <a:schemeClr val="dk1"/>
              </a:solidFill>
              <a:effectLst/>
              <a:latin typeface="+mn-lt"/>
              <a:ea typeface="+mn-ea"/>
              <a:cs typeface="+mn-cs"/>
            </a:rPr>
            <a:t>IDD Supported Employment Continuation Authorization</a:t>
          </a:r>
        </a:p>
        <a:p>
          <a:r>
            <a:rPr lang="en-US" sz="1100">
              <a:solidFill>
                <a:schemeClr val="dk1"/>
              </a:solidFill>
              <a:effectLst/>
              <a:latin typeface="+mn-lt"/>
              <a:ea typeface="+mn-ea"/>
              <a:cs typeface="+mn-cs"/>
            </a:rPr>
            <a:t>IDD Long</a:t>
          </a:r>
          <a:r>
            <a:rPr lang="en-US" sz="1100" baseline="0">
              <a:solidFill>
                <a:schemeClr val="dk1"/>
              </a:solidFill>
              <a:effectLst/>
              <a:latin typeface="+mn-lt"/>
              <a:ea typeface="+mn-ea"/>
              <a:cs typeface="+mn-cs"/>
            </a:rPr>
            <a:t> Term Vocational Supports Initial Authorization</a:t>
          </a:r>
        </a:p>
        <a:p>
          <a:r>
            <a:rPr lang="en-US" sz="1100">
              <a:solidFill>
                <a:schemeClr val="dk1"/>
              </a:solidFill>
              <a:effectLst/>
              <a:latin typeface="+mn-lt"/>
              <a:ea typeface="+mn-ea"/>
              <a:cs typeface="+mn-cs"/>
            </a:rPr>
            <a:t>IDD Long</a:t>
          </a:r>
          <a:r>
            <a:rPr lang="en-US" sz="1100" baseline="0">
              <a:solidFill>
                <a:schemeClr val="dk1"/>
              </a:solidFill>
              <a:effectLst/>
              <a:latin typeface="+mn-lt"/>
              <a:ea typeface="+mn-ea"/>
              <a:cs typeface="+mn-cs"/>
            </a:rPr>
            <a:t> Term Vocational Supports Continuation Authorization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IDD Developmental Day Initial Authorization</a:t>
          </a:r>
        </a:p>
        <a:p>
          <a:r>
            <a:rPr lang="en-US" sz="1100">
              <a:solidFill>
                <a:schemeClr val="dk1"/>
              </a:solidFill>
              <a:effectLst/>
              <a:latin typeface="+mn-lt"/>
              <a:ea typeface="+mn-ea"/>
              <a:cs typeface="+mn-cs"/>
            </a:rPr>
            <a:t>IDD Developmental Day Continuation</a:t>
          </a:r>
        </a:p>
        <a:p>
          <a:r>
            <a:rPr lang="en-US" sz="1100">
              <a:solidFill>
                <a:schemeClr val="dk1"/>
              </a:solidFill>
              <a:effectLst/>
              <a:latin typeface="+mn-lt"/>
              <a:ea typeface="+mn-ea"/>
              <a:cs typeface="+mn-cs"/>
            </a:rPr>
            <a:t>IDD Day Activity Initial Authorization</a:t>
          </a:r>
        </a:p>
        <a:p>
          <a:r>
            <a:rPr lang="en-US" sz="1100">
              <a:solidFill>
                <a:schemeClr val="dk1"/>
              </a:solidFill>
              <a:effectLst/>
              <a:latin typeface="+mn-lt"/>
              <a:ea typeface="+mn-ea"/>
              <a:cs typeface="+mn-cs"/>
            </a:rPr>
            <a:t>IDD Day Activity Continuation Authorization</a:t>
          </a:r>
        </a:p>
        <a:p>
          <a:r>
            <a:rPr lang="en-US" sz="1100">
              <a:solidFill>
                <a:schemeClr val="dk1"/>
              </a:solidFill>
              <a:effectLst/>
              <a:latin typeface="+mn-lt"/>
              <a:ea typeface="+mn-ea"/>
              <a:cs typeface="+mn-cs"/>
            </a:rPr>
            <a:t>IDD Day Supports Initial Authorization</a:t>
          </a:r>
        </a:p>
        <a:p>
          <a:r>
            <a:rPr lang="en-US" sz="1100">
              <a:solidFill>
                <a:schemeClr val="dk1"/>
              </a:solidFill>
              <a:effectLst/>
              <a:latin typeface="+mn-lt"/>
              <a:ea typeface="+mn-ea"/>
              <a:cs typeface="+mn-cs"/>
            </a:rPr>
            <a:t>IDD Day Supports Continuation Authorization</a:t>
          </a:r>
        </a:p>
        <a:p>
          <a:r>
            <a:rPr lang="en-US" sz="1100">
              <a:solidFill>
                <a:schemeClr val="dk1"/>
              </a:solidFill>
              <a:effectLst/>
              <a:latin typeface="+mn-lt"/>
              <a:ea typeface="+mn-ea"/>
              <a:cs typeface="+mn-cs"/>
            </a:rPr>
            <a:t>IDD CAET-Community Activity and Employment Transitions Initial Authorization</a:t>
          </a:r>
        </a:p>
        <a:p>
          <a:r>
            <a:rPr lang="en-US" sz="1100">
              <a:solidFill>
                <a:schemeClr val="dk1"/>
              </a:solidFill>
              <a:effectLst/>
              <a:latin typeface="+mn-lt"/>
              <a:ea typeface="+mn-ea"/>
              <a:cs typeface="+mn-cs"/>
            </a:rPr>
            <a:t>IDD CAET-Community Activity and Employment Transitions Continuation Authorization</a:t>
          </a:r>
        </a:p>
        <a:p>
          <a:pPr lvl="0" algn="just"/>
          <a:endParaRPr lang="en-US" sz="1100">
            <a:solidFill>
              <a:schemeClr val="dk1"/>
            </a:solidFill>
            <a:effectLst/>
            <a:latin typeface="+mn-lt"/>
            <a:ea typeface="+mn-ea"/>
            <a:cs typeface="+mn-cs"/>
          </a:endParaRPr>
        </a:p>
        <a:p>
          <a:pPr lvl="0" algn="just"/>
          <a:r>
            <a:rPr lang="en-US" sz="1100" b="1">
              <a:solidFill>
                <a:srgbClr val="FF99CC"/>
              </a:solidFill>
              <a:effectLst/>
              <a:latin typeface="+mn-lt"/>
              <a:ea typeface="+mn-ea"/>
              <a:cs typeface="+mn-cs"/>
            </a:rPr>
            <a:t>POC Summary:</a:t>
          </a:r>
          <a:r>
            <a:rPr lang="en-US" sz="1100" b="0" baseline="0">
              <a:solidFill>
                <a:sysClr val="windowText" lastClr="000000"/>
              </a:solidFill>
              <a:effectLst/>
              <a:latin typeface="+mn-lt"/>
              <a:ea typeface="+mn-ea"/>
              <a:cs typeface="+mn-cs"/>
            </a:rPr>
            <a:t> The pink sheet that the team leaders complete to summarize the review when plan of corrections are required or when recommendations are made.</a:t>
          </a:r>
          <a:endParaRPr lang="en-US" sz="1100" b="1">
            <a:solidFill>
              <a:srgbClr val="FF99CC"/>
            </a:solidFill>
            <a:effectLst/>
            <a:latin typeface="+mn-lt"/>
            <a:ea typeface="+mn-ea"/>
            <a:cs typeface="+mn-cs"/>
          </a:endParaRPr>
        </a:p>
        <a:p>
          <a:pPr lvl="0" algn="just"/>
          <a:endParaRPr lang="en-US" sz="1100" b="1">
            <a:solidFill>
              <a:schemeClr val="bg1">
                <a:lumMod val="50000"/>
              </a:schemeClr>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far right column of this worksheet indicates whether the tool was designated on the Workbook Set-Up worksheet to be appliable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DMH to aggregate and analyze review results for all LME-MCOs over time. </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1931" cy="89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1931" cy="889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15</xdr:row>
      <xdr:rowOff>57150</xdr:rowOff>
    </xdr:to>
    <xdr:sp macro="" textlink="">
      <xdr:nvSpPr>
        <xdr:cNvPr id="3" name="Left Arrow Callout 2">
          <a:extLst>
            <a:ext uri="{FF2B5EF4-FFF2-40B4-BE49-F238E27FC236}">
              <a16:creationId xmlns:a16="http://schemas.microsoft.com/office/drawing/2014/main" id="{00000000-0008-0000-04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19</xdr:row>
      <xdr:rowOff>104775</xdr:rowOff>
    </xdr:from>
    <xdr:to>
      <xdr:col>8</xdr:col>
      <xdr:colOff>57150</xdr:colOff>
      <xdr:row>22</xdr:row>
      <xdr:rowOff>0</xdr:rowOff>
    </xdr:to>
    <xdr:sp macro="" textlink="">
      <xdr:nvSpPr>
        <xdr:cNvPr id="4" name="Left Arrow Callout 3">
          <a:extLst>
            <a:ext uri="{FF2B5EF4-FFF2-40B4-BE49-F238E27FC236}">
              <a16:creationId xmlns:a16="http://schemas.microsoft.com/office/drawing/2014/main" id="{00000000-0008-0000-04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1931" cy="889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2019300</xdr:colOff>
      <xdr:row>2</xdr:row>
      <xdr:rowOff>9525</xdr:rowOff>
    </xdr:from>
    <xdr:to>
      <xdr:col>3</xdr:col>
      <xdr:colOff>3447884</xdr:colOff>
      <xdr:row>9</xdr:row>
      <xdr:rowOff>46101</xdr:rowOff>
    </xdr:to>
    <xdr:pic>
      <xdr:nvPicPr>
        <xdr:cNvPr id="9" name="yui_3_5_1_3_1393259263442_1789" descr="http://media-cache-ak0.pinimg.com/736x/f1/4d/92/f14d92d92f365453b53be2a0daab99b9.jpg">
          <a:extLst>
            <a:ext uri="{FF2B5EF4-FFF2-40B4-BE49-F238E27FC236}">
              <a16:creationId xmlns:a16="http://schemas.microsoft.com/office/drawing/2014/main" id="{00000000-0008-0000-1E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409575"/>
          <a:ext cx="1428584" cy="140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76</xdr:row>
          <xdr:rowOff>9525</xdr:rowOff>
        </xdr:from>
        <xdr:to>
          <xdr:col>2</xdr:col>
          <xdr:colOff>0</xdr:colOff>
          <xdr:row>77</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E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1</xdr:col>
          <xdr:colOff>238125</xdr:colOff>
          <xdr:row>78</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E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9525</xdr:rowOff>
        </xdr:from>
        <xdr:to>
          <xdr:col>1</xdr:col>
          <xdr:colOff>228600</xdr:colOff>
          <xdr:row>79</xdr:row>
          <xdr:rowOff>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E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12</xdr:col>
      <xdr:colOff>28575</xdr:colOff>
      <xdr:row>0</xdr:row>
      <xdr:rowOff>123825</xdr:rowOff>
    </xdr:from>
    <xdr:to>
      <xdr:col>13</xdr:col>
      <xdr:colOff>571500</xdr:colOff>
      <xdr:row>4</xdr:row>
      <xdr:rowOff>0</xdr:rowOff>
    </xdr:to>
    <xdr:sp macro="" textlink="">
      <xdr:nvSpPr>
        <xdr:cNvPr id="3" name="Down Arrow Callout 2">
          <a:extLst>
            <a:ext uri="{FF2B5EF4-FFF2-40B4-BE49-F238E27FC236}">
              <a16:creationId xmlns:a16="http://schemas.microsoft.com/office/drawing/2014/main" id="{00000000-0008-0000-1F00-000003000000}"/>
            </a:ext>
          </a:extLst>
        </xdr:cNvPr>
        <xdr:cNvSpPr/>
      </xdr:nvSpPr>
      <xdr:spPr>
        <a:xfrm>
          <a:off x="10648950" y="123825"/>
          <a:ext cx="1647825"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twoCellAnchor editAs="oneCell">
    <xdr:from>
      <xdr:col>0</xdr:col>
      <xdr:colOff>28576</xdr:colOff>
      <xdr:row>0</xdr:row>
      <xdr:rowOff>19051</xdr:rowOff>
    </xdr:from>
    <xdr:to>
      <xdr:col>2</xdr:col>
      <xdr:colOff>66676</xdr:colOff>
      <xdr:row>4</xdr:row>
      <xdr:rowOff>1</xdr:rowOff>
    </xdr:to>
    <xdr:pic>
      <xdr:nvPicPr>
        <xdr:cNvPr id="5" name="Picture 4" descr="http://www.veteransfocus.org/wp-content/uploads/2009/04/MHDDSAS_logo.png">
          <a:extLst>
            <a:ext uri="{FF2B5EF4-FFF2-40B4-BE49-F238E27FC236}">
              <a16:creationId xmlns:a16="http://schemas.microsoft.com/office/drawing/2014/main" id="{00000000-0008-0000-1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371475</xdr:colOff>
      <xdr:row>12</xdr:row>
      <xdr:rowOff>123825</xdr:rowOff>
    </xdr:from>
    <xdr:to>
      <xdr:col>22</xdr:col>
      <xdr:colOff>333375</xdr:colOff>
      <xdr:row>17</xdr:row>
      <xdr:rowOff>9525</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4048125" y="2952750"/>
          <a:ext cx="11601450" cy="69532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DMH/DD/SAS</a:t>
          </a:r>
          <a:r>
            <a:rPr lang="en-US" sz="1100" baseline="0"/>
            <a:t> to aggregate and analyze monitoring results for all LME-MCOs.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29167"/>
          <a:ext cx="887942"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3400"/>
          <a:ext cx="887942"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2015"/>
          <a:ext cx="889327" cy="89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1931" cy="89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25821</xdr:colOff>
      <xdr:row>1</xdr:row>
      <xdr:rowOff>0</xdr:rowOff>
    </xdr:from>
    <xdr:to>
      <xdr:col>1</xdr:col>
      <xdr:colOff>532763</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21" y="532015"/>
          <a:ext cx="889327" cy="89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DMHP60\Shared\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WMULJONO\LOCALS~1\TEMP\iprseligibiltymatrix10-0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ccountability%20Statistical%20Analyses\Policy%20Unit\Gold%20Star\DHHS%20Routine%20Monitoring%20Tool%20for%20Providers%203-3-14%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4">
          <cell r="B4" t="str">
            <v>Alliance Behavioral Healthcare</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ow r="43">
          <cell r="H43">
            <v>103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4"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3.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4" Type="http://schemas.openxmlformats.org/officeDocument/2006/relationships/drawing" Target="../drawings/drawing24.xm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drawing" Target="../drawings/drawing26.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78.bin"/><Relationship Id="rId7" Type="http://schemas.openxmlformats.org/officeDocument/2006/relationships/ctrlProp" Target="../ctrlProps/ctrlProp2.x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4"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drawing" Target="../drawings/drawing29.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election activeCell="F3" sqref="F3"/>
    </sheetView>
  </sheetViews>
  <sheetFormatPr defaultRowHeight="12.75"/>
  <sheetData>
    <row r="1" spans="1:1">
      <c r="A1" s="106" t="s">
        <v>229</v>
      </c>
    </row>
    <row r="2" spans="1:1">
      <c r="A2" s="106" t="s">
        <v>230</v>
      </c>
    </row>
    <row r="3" spans="1:1">
      <c r="A3" s="106" t="s">
        <v>231</v>
      </c>
    </row>
    <row r="4" spans="1:1">
      <c r="A4" s="106" t="s">
        <v>337</v>
      </c>
    </row>
    <row r="5" spans="1:1">
      <c r="A5" s="106"/>
    </row>
  </sheetData>
  <customSheetViews>
    <customSheetView guid="{2A3E70A9-51A3-4722-9775-16DBEA0F14B3}" state="hidden">
      <pageMargins left="0.7" right="0.7" top="0.75" bottom="0.75" header="0.3" footer="0.3"/>
      <pageSetup orientation="portrait" r:id="rId1"/>
    </customSheetView>
    <customSheetView guid="{A13B25D0-B104-46DD-B5CC-B628EEB53163}" state="hidden">
      <pageMargins left="0.7" right="0.7" top="0.75" bottom="0.75" header="0.3" footer="0.3"/>
      <pageSetup orientation="portrait" r:id="rId2"/>
    </customSheetView>
  </customSheetView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theme="8" tint="-0.249977111117893"/>
  </sheetPr>
  <dimension ref="A1:BF29"/>
  <sheetViews>
    <sheetView zoomScaleNormal="100" zoomScaleSheetLayoutView="50" workbookViewId="0">
      <pane xSplit="2" ySplit="8" topLeftCell="C9" activePane="bottomRight" state="frozen"/>
      <selection activeCell="C9" sqref="C9"/>
      <selection pane="topRight" activeCell="C9" sqref="C9"/>
      <selection pane="bottomLeft" activeCell="C9" sqref="C9"/>
      <selection pane="bottomRight" activeCell="E15" sqref="E15"/>
    </sheetView>
  </sheetViews>
  <sheetFormatPr defaultColWidth="8.85546875" defaultRowHeight="12.75"/>
  <cols>
    <col min="1" max="1" width="3.28515625" style="161" customWidth="1"/>
    <col min="2" max="2" width="75.7109375" style="69" customWidth="1"/>
    <col min="3" max="3" width="10" style="70" customWidth="1"/>
    <col min="4" max="4" width="10.28515625" style="70" customWidth="1"/>
    <col min="5" max="5" width="9.5703125" style="70" customWidth="1"/>
    <col min="6" max="6" width="10" style="70" customWidth="1"/>
    <col min="7" max="7" width="9.7109375" style="70" customWidth="1"/>
    <col min="8" max="8" width="11.7109375" style="70" customWidth="1"/>
    <col min="9" max="13" width="7.7109375" style="71" customWidth="1"/>
    <col min="14" max="16384" width="8.85546875" style="3"/>
  </cols>
  <sheetData>
    <row r="1" spans="1:58" ht="18" customHeight="1">
      <c r="A1" s="130"/>
      <c r="B1" s="131"/>
      <c r="C1" s="342" t="s">
        <v>363</v>
      </c>
      <c r="D1" s="340"/>
      <c r="E1" s="340"/>
      <c r="F1" s="340"/>
      <c r="G1" s="340"/>
      <c r="H1" s="340"/>
      <c r="I1" s="131"/>
      <c r="J1" s="131"/>
      <c r="K1" s="131"/>
      <c r="L1" s="131"/>
      <c r="M1" s="246"/>
    </row>
    <row r="2" spans="1:58" ht="18" customHeight="1">
      <c r="A2" s="132"/>
      <c r="B2" s="146" t="s">
        <v>165</v>
      </c>
      <c r="C2" s="145" t="str">
        <f>IF('Workbook Set-up'!$B$4="","[Name of LME-MCO]",'Workbook Set-up'!$B$4)</f>
        <v>Trillium Health Resources</v>
      </c>
      <c r="D2" s="133"/>
      <c r="E2" s="133"/>
      <c r="F2" s="133"/>
      <c r="G2" s="133"/>
      <c r="H2" s="133"/>
      <c r="I2" s="133"/>
      <c r="J2" s="133"/>
      <c r="K2" s="133"/>
      <c r="L2" s="133"/>
      <c r="M2" s="140"/>
    </row>
    <row r="3" spans="1:58" ht="18" customHeight="1" thickBo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58" ht="17.649999999999999" customHeight="1" thickBot="1">
      <c r="A4" s="134"/>
      <c r="B4" s="147" t="s">
        <v>9</v>
      </c>
      <c r="C4" s="427" t="str">
        <f>IF(AND('Workbook Set-up'!$B$13="",'Workbook Set-up'!$B$14=""),"",IF('Workbook Set-up'!$B$13='Workbook Set-up'!$B$14,TEXT('Workbook Set-up'!$B$13,"m/d/yyyy"),IF('Workbook Set-up'!$B$13&lt;&gt;'Workbook Set-up'!$B$14,TEXT('Workbook Set-up'!$B$13,"m/d/yyyy")&amp;" to "&amp;TEXT('Workbook Set-up'!$B$14,"m/d/yyyy"),"")))</f>
        <v>7/15/2019</v>
      </c>
      <c r="D4" s="428"/>
      <c r="E4" s="428"/>
      <c r="F4" s="428"/>
      <c r="G4" s="428"/>
      <c r="H4" s="429"/>
      <c r="I4" s="136"/>
      <c r="J4" s="141"/>
      <c r="K4" s="141"/>
      <c r="L4" s="141"/>
      <c r="M4" s="142"/>
    </row>
    <row r="5" spans="1:58" s="8" customFormat="1" ht="14.85" customHeight="1">
      <c r="A5" s="18"/>
      <c r="B5" s="393" t="s">
        <v>189</v>
      </c>
      <c r="C5" s="355" t="str">
        <f>IF('Support Employ Cont Eligibilit'!C6="","",'Support Employ Cont Eligibilit'!C6)</f>
        <v/>
      </c>
      <c r="D5" s="356" t="str">
        <f>IF('Support Employ Cont Eligibilit'!D6="","",'Support Employ Cont Eligibilit'!D6)</f>
        <v/>
      </c>
      <c r="E5" s="356" t="str">
        <f>IF('Support Employ Cont Eligibilit'!E6="","",'Support Employ Cont Eligibilit'!E6)</f>
        <v/>
      </c>
      <c r="F5" s="356" t="str">
        <f>IF('Support Employ Cont Eligibilit'!F6="","",'Support Employ Cont Eligibilit'!F6)</f>
        <v/>
      </c>
      <c r="G5" s="356" t="str">
        <f>IF('Support Employ Cont Eligibilit'!G6="","",'Support Employ Cont Eligibilit'!G6)</f>
        <v/>
      </c>
      <c r="H5" s="357" t="str">
        <f>IF('Support Employ Cont Eligibilit'!H6="","",'Support Employ Cont Eligibilit'!H6)</f>
        <v/>
      </c>
      <c r="I5" s="16"/>
      <c r="J5" s="16"/>
      <c r="K5" s="16"/>
      <c r="L5" s="16"/>
      <c r="M5" s="17"/>
    </row>
    <row r="6" spans="1:58" s="8" customFormat="1" ht="14.85" customHeight="1">
      <c r="A6" s="18"/>
      <c r="B6" s="393" t="s">
        <v>190</v>
      </c>
      <c r="C6" s="358" t="str">
        <f>IF('Support Employ Cont Eligibilit'!C7="","",'Support Employ Cont Eligibilit'!C7)</f>
        <v/>
      </c>
      <c r="D6" s="242" t="str">
        <f>IF('Support Employ Cont Eligibilit'!D7="","",'Support Employ Cont Eligibilit'!D7)</f>
        <v/>
      </c>
      <c r="E6" s="242" t="str">
        <f>IF('Support Employ Cont Eligibilit'!E7="","",'Support Employ Cont Eligibilit'!E7)</f>
        <v/>
      </c>
      <c r="F6" s="242" t="str">
        <f>IF('Support Employ Cont Eligibilit'!F7="","",'Support Employ Cont Eligibilit'!F7)</f>
        <v/>
      </c>
      <c r="G6" s="242" t="str">
        <f>IF('Support Employ Cont Eligibilit'!G7="","",'Support Employ Cont Eligibilit'!G7)</f>
        <v/>
      </c>
      <c r="H6" s="308" t="str">
        <f>IF('Support Employ Cont Eligibilit'!H7="","",'Support Employ Cont Eligibilit'!H7)</f>
        <v/>
      </c>
      <c r="I6" s="16"/>
      <c r="J6" s="16"/>
      <c r="K6" s="16"/>
      <c r="L6" s="16"/>
      <c r="M6" s="17"/>
    </row>
    <row r="7" spans="1:58" s="8" customFormat="1" ht="14.85" customHeight="1" thickBot="1">
      <c r="A7" s="18"/>
      <c r="B7" s="393" t="s">
        <v>188</v>
      </c>
      <c r="C7" s="359" t="str">
        <f>IF('Support Employ Cont Eligibilit'!C9="","",'Support Employ Cont Eligibilit'!C9)</f>
        <v/>
      </c>
      <c r="D7" s="360" t="str">
        <f>IF('Support Employ Cont Eligibilit'!D9="","",'Support Employ Cont Eligibilit'!D9)</f>
        <v/>
      </c>
      <c r="E7" s="360" t="str">
        <f>IF('Support Employ Cont Eligibilit'!E9="","",'Support Employ Cont Eligibilit'!E9)</f>
        <v/>
      </c>
      <c r="F7" s="360" t="str">
        <f>IF('Support Employ Cont Eligibilit'!F9="","",'Support Employ Cont Eligibilit'!F9)</f>
        <v/>
      </c>
      <c r="G7" s="360" t="str">
        <f>IF('Support Employ Cont Eligibilit'!G9="","",'Support Employ Cont Eligibilit'!G9)</f>
        <v/>
      </c>
      <c r="H7" s="361" t="str">
        <f>IF('Support Employ Cont Eligibilit'!H9="","",'Support Employ Cont Eligibilit'!H9)</f>
        <v/>
      </c>
      <c r="I7" s="16" t="s">
        <v>10</v>
      </c>
      <c r="J7" s="16"/>
      <c r="K7" s="16"/>
      <c r="L7" s="16"/>
      <c r="M7" s="17"/>
    </row>
    <row r="8" spans="1:58" s="10" customFormat="1" ht="32.1" customHeight="1" thickBot="1">
      <c r="A8" s="25" t="s">
        <v>11</v>
      </c>
      <c r="B8" s="26" t="s">
        <v>12</v>
      </c>
      <c r="C8" s="462">
        <v>1</v>
      </c>
      <c r="D8" s="463">
        <v>2</v>
      </c>
      <c r="E8" s="463">
        <v>3</v>
      </c>
      <c r="F8" s="463">
        <v>4</v>
      </c>
      <c r="G8" s="463">
        <v>5</v>
      </c>
      <c r="H8" s="464">
        <v>6</v>
      </c>
      <c r="I8" s="31" t="s">
        <v>13</v>
      </c>
      <c r="J8" s="31" t="s">
        <v>14</v>
      </c>
      <c r="K8" s="32" t="s">
        <v>15</v>
      </c>
      <c r="L8" s="33" t="s">
        <v>16</v>
      </c>
      <c r="M8" s="34" t="s">
        <v>17</v>
      </c>
    </row>
    <row r="9" spans="1:58" s="37" customFormat="1" ht="25.5">
      <c r="A9" s="45" t="s">
        <v>18</v>
      </c>
      <c r="B9" s="394" t="s">
        <v>242</v>
      </c>
      <c r="C9" s="174" t="str">
        <f>IF('Support Employ Cont Eligibilit'!C12=0,"",'Support Employ Cont Eligibilit'!C12)</f>
        <v/>
      </c>
      <c r="D9" s="175" t="str">
        <f>IF('Support Employ Cont Eligibilit'!D12=0,"",'Support Employ Cont Eligibilit'!D12)</f>
        <v/>
      </c>
      <c r="E9" s="175" t="str">
        <f>IF('Support Employ Cont Eligibilit'!E12=0,"",'Support Employ Cont Eligibilit'!E12)</f>
        <v/>
      </c>
      <c r="F9" s="175" t="str">
        <f>IF('Support Employ Cont Eligibilit'!F12=0,"",'Support Employ Cont Eligibilit'!F12)</f>
        <v/>
      </c>
      <c r="G9" s="175" t="str">
        <f>IF('Support Employ Cont Eligibilit'!G12=0,"",'Support Employ Cont Eligibilit'!G12)</f>
        <v/>
      </c>
      <c r="H9" s="176" t="str">
        <f>IF('Support Employ Cont Eligibilit'!H12=0,"",'Support Employ Cont Eligibilit'!H12)</f>
        <v/>
      </c>
      <c r="I9" s="398">
        <f>COUNTIF(C9:H9,"=Met")</f>
        <v>0</v>
      </c>
      <c r="J9" s="48">
        <f t="shared" ref="J9" si="0">IF(SUM(I9,K9)=0,0,I9/SUM(I9,K9))</f>
        <v>0</v>
      </c>
      <c r="K9" s="41">
        <f>COUNTIF(C9:H9,"=Not Met")</f>
        <v>0</v>
      </c>
      <c r="L9" s="48">
        <f t="shared" ref="L9" si="1">IF(SUM(I9,K9)=0,0,K9/SUM(I9,K9))</f>
        <v>0</v>
      </c>
      <c r="M9" s="49">
        <f>COUNTIF(C9:H9,"=N/A")</f>
        <v>0</v>
      </c>
    </row>
    <row r="10" spans="1:58" s="37" customFormat="1" ht="26.25" thickBot="1">
      <c r="A10" s="156" t="s">
        <v>19</v>
      </c>
      <c r="B10" s="395" t="s">
        <v>207</v>
      </c>
      <c r="C10" s="430" t="str">
        <f>IF(COUNTIF(C12, "=YES")&gt;=1,"MET", IF(COUNTIF(C12, "=NO")&gt;=1, "NOT MET", IF(COUNTIF(C12, "=N/A")=7,"N/A", "")))</f>
        <v/>
      </c>
      <c r="D10" s="425" t="str">
        <f t="shared" ref="D10:H10" si="2">IF(COUNTIF(D12, "=YES")&gt;=1,"MET", IF(COUNTIF(D12, "=NO")&gt;=1, "NOT MET", IF(COUNTIF(D12, "=N/A")=7,"N/A", "")))</f>
        <v/>
      </c>
      <c r="E10" s="425" t="str">
        <f t="shared" si="2"/>
        <v/>
      </c>
      <c r="F10" s="425" t="str">
        <f t="shared" si="2"/>
        <v/>
      </c>
      <c r="G10" s="425" t="str">
        <f t="shared" si="2"/>
        <v/>
      </c>
      <c r="H10" s="431" t="str">
        <f t="shared" si="2"/>
        <v/>
      </c>
      <c r="I10" s="459">
        <f>COUNTIF(C10:H10,"=Met")</f>
        <v>0</v>
      </c>
      <c r="J10" s="438">
        <f t="shared" ref="J10" si="3">IF(SUM(I10,K10)=0,0,I10/SUM(I10,K10))</f>
        <v>0</v>
      </c>
      <c r="K10" s="439">
        <f>COUNTIF(C10:H10,"=Not Met")</f>
        <v>0</v>
      </c>
      <c r="L10" s="438">
        <f t="shared" ref="L10" si="4">IF(SUM(I10,K10)=0,0,K10/SUM(I10,K10))</f>
        <v>0</v>
      </c>
      <c r="M10" s="440">
        <f>COUNTIF(C10:H10,"=N/A")</f>
        <v>0</v>
      </c>
    </row>
    <row r="11" spans="1:58" s="37" customFormat="1" ht="25.5">
      <c r="A11" s="156" t="s">
        <v>192</v>
      </c>
      <c r="B11" s="36" t="s">
        <v>204</v>
      </c>
      <c r="C11" s="388" t="str">
        <f t="shared" ref="C11:H11" si="5">IF(C9="MET","YES",IF(C9="NOT MET","NO",IF(C9="","")))</f>
        <v/>
      </c>
      <c r="D11" s="388" t="str">
        <f t="shared" si="5"/>
        <v/>
      </c>
      <c r="E11" s="388" t="str">
        <f t="shared" si="5"/>
        <v/>
      </c>
      <c r="F11" s="388" t="str">
        <f t="shared" si="5"/>
        <v/>
      </c>
      <c r="G11" s="388" t="str">
        <f t="shared" si="5"/>
        <v/>
      </c>
      <c r="H11" s="433" t="str">
        <f t="shared" si="5"/>
        <v/>
      </c>
      <c r="I11" s="460"/>
      <c r="J11" s="460"/>
      <c r="K11" s="460"/>
      <c r="L11" s="460"/>
      <c r="M11" s="461"/>
    </row>
    <row r="12" spans="1:58" s="37" customFormat="1">
      <c r="A12" s="156" t="s">
        <v>195</v>
      </c>
      <c r="B12" s="36" t="s">
        <v>250</v>
      </c>
      <c r="C12" s="35"/>
      <c r="D12" s="50"/>
      <c r="E12" s="51"/>
      <c r="F12" s="50"/>
      <c r="G12" s="51"/>
      <c r="H12" s="434"/>
      <c r="I12" s="459">
        <f>COUNTIF(C12:H12,"=YES")</f>
        <v>0</v>
      </c>
      <c r="J12" s="438">
        <f t="shared" ref="J12" si="6">IF(SUM(I12,K12)=0,0,I12/SUM(I12,K12))</f>
        <v>0</v>
      </c>
      <c r="K12" s="439">
        <f>COUNTIF(C12:H12,"=No")</f>
        <v>0</v>
      </c>
      <c r="L12" s="438">
        <f t="shared" ref="L12" si="7">IF(SUM(I12,K12)=0,0,K12/SUM(I12,K12))</f>
        <v>0</v>
      </c>
      <c r="M12" s="440">
        <f>COUNTIF(C12:H12,"=N/A")</f>
        <v>0</v>
      </c>
    </row>
    <row r="13" spans="1:58" s="37" customFormat="1" ht="51">
      <c r="A13" s="385" t="s">
        <v>251</v>
      </c>
      <c r="B13" s="426" t="s">
        <v>249</v>
      </c>
      <c r="C13" s="465" t="str">
        <f>IF(COUNTIF(C14:C15, "NO")&gt;=2,"NOT MET",IF(COUNTIF(C14:C15, "YES")&gt;=1, "MET",IF(COUNTIF(C14:C15,"=N/A")=9,"N/A","")))</f>
        <v/>
      </c>
      <c r="D13" s="441" t="str">
        <f t="shared" ref="D13:H13" si="8">IF(COUNTIF(D14:D15, "NO")&gt;=2,"NOT MET",IF(COUNTIF(D14:D15, "YES")&gt;=1, "MET",IF(COUNTIF(D14:D15,"=N/A")=9,"N/A","")))</f>
        <v/>
      </c>
      <c r="E13" s="441" t="str">
        <f t="shared" si="8"/>
        <v/>
      </c>
      <c r="F13" s="441" t="str">
        <f t="shared" si="8"/>
        <v/>
      </c>
      <c r="G13" s="441" t="str">
        <f t="shared" si="8"/>
        <v/>
      </c>
      <c r="H13" s="466" t="str">
        <f t="shared" si="8"/>
        <v/>
      </c>
      <c r="I13" s="459">
        <f>COUNTIF(C13:H13,"=Met")</f>
        <v>0</v>
      </c>
      <c r="J13" s="438">
        <f t="shared" ref="J13" si="9">IF(SUM(I13,K13)=0,0,I13/SUM(I13,K13))</f>
        <v>0</v>
      </c>
      <c r="K13" s="439">
        <f>COUNTIF(C13:H13,"=Not Met")</f>
        <v>0</v>
      </c>
      <c r="L13" s="438">
        <f t="shared" ref="L13" si="10">IF(SUM(I13,K13)=0,0,K13/SUM(I13,K13))</f>
        <v>0</v>
      </c>
      <c r="M13" s="440">
        <f>COUNTIF(C13:H13,"=N/A")</f>
        <v>0</v>
      </c>
    </row>
    <row r="14" spans="1:58" s="37" customFormat="1" ht="25.5">
      <c r="A14" s="385" t="s">
        <v>192</v>
      </c>
      <c r="B14" s="397" t="s">
        <v>315</v>
      </c>
      <c r="C14" s="35"/>
      <c r="D14" s="50"/>
      <c r="E14" s="51"/>
      <c r="F14" s="50"/>
      <c r="G14" s="51"/>
      <c r="H14" s="434"/>
      <c r="I14" s="414"/>
      <c r="J14" s="415"/>
      <c r="K14" s="414"/>
      <c r="L14" s="415"/>
      <c r="M14" s="449"/>
    </row>
    <row r="15" spans="1:58" s="43" customFormat="1" ht="39" thickBot="1">
      <c r="A15" s="385" t="s">
        <v>195</v>
      </c>
      <c r="B15" s="397" t="s">
        <v>252</v>
      </c>
      <c r="C15" s="177"/>
      <c r="D15" s="178"/>
      <c r="E15" s="178"/>
      <c r="F15" s="178"/>
      <c r="G15" s="178"/>
      <c r="H15" s="310"/>
      <c r="I15" s="452"/>
      <c r="J15" s="451"/>
      <c r="K15" s="452"/>
      <c r="L15" s="451"/>
      <c r="M15" s="453"/>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10" customFormat="1" ht="13.9" customHeight="1" thickBot="1">
      <c r="A16" s="161"/>
      <c r="B16" s="53" t="s">
        <v>24</v>
      </c>
      <c r="C16" s="378"/>
      <c r="D16" s="379"/>
      <c r="E16" s="379"/>
      <c r="F16" s="379"/>
      <c r="G16" s="379"/>
      <c r="H16" s="380"/>
      <c r="I16" s="54"/>
      <c r="J16" s="54"/>
      <c r="K16" s="54"/>
      <c r="L16" s="54"/>
      <c r="M16" s="54"/>
    </row>
    <row r="17" spans="1:13" s="10" customFormat="1" ht="13.9" customHeight="1" thickBot="1">
      <c r="A17" s="161"/>
      <c r="B17" s="53"/>
      <c r="C17" s="55"/>
      <c r="D17" s="55"/>
      <c r="E17" s="55"/>
      <c r="F17" s="55"/>
      <c r="G17" s="55"/>
      <c r="H17" s="55"/>
      <c r="I17" s="54"/>
      <c r="J17" s="54"/>
      <c r="K17" s="54"/>
      <c r="L17" s="54"/>
      <c r="M17" s="54"/>
    </row>
    <row r="18" spans="1:13" s="10" customFormat="1" ht="13.9" customHeight="1">
      <c r="A18" s="161"/>
      <c r="B18" s="56" t="s">
        <v>25</v>
      </c>
      <c r="C18" s="57">
        <f t="shared" ref="C18:H18" si="11">COUNTIF(C9:C15,"=Met")</f>
        <v>0</v>
      </c>
      <c r="D18" s="58">
        <f t="shared" si="11"/>
        <v>0</v>
      </c>
      <c r="E18" s="58">
        <f t="shared" si="11"/>
        <v>0</v>
      </c>
      <c r="F18" s="58">
        <f t="shared" si="11"/>
        <v>0</v>
      </c>
      <c r="G18" s="58">
        <f t="shared" si="11"/>
        <v>0</v>
      </c>
      <c r="H18" s="150">
        <f t="shared" si="11"/>
        <v>0</v>
      </c>
      <c r="I18" s="59"/>
      <c r="J18" s="60"/>
      <c r="K18" s="60"/>
      <c r="L18" s="60"/>
      <c r="M18" s="60"/>
    </row>
    <row r="19" spans="1:13" s="10" customFormat="1" ht="13.9" customHeight="1">
      <c r="A19" s="161"/>
      <c r="B19" s="56" t="s">
        <v>26</v>
      </c>
      <c r="C19" s="61">
        <f t="shared" ref="C19:H19" si="12">IF(SUM(C18,C20)=0,0,C18/SUM(C18,C20))</f>
        <v>0</v>
      </c>
      <c r="D19" s="62">
        <f t="shared" si="12"/>
        <v>0</v>
      </c>
      <c r="E19" s="62">
        <f t="shared" si="12"/>
        <v>0</v>
      </c>
      <c r="F19" s="62">
        <f t="shared" si="12"/>
        <v>0</v>
      </c>
      <c r="G19" s="62">
        <f t="shared" si="12"/>
        <v>0</v>
      </c>
      <c r="H19" s="151">
        <f t="shared" si="12"/>
        <v>0</v>
      </c>
      <c r="I19" s="59"/>
      <c r="J19" s="60"/>
      <c r="K19" s="60"/>
      <c r="L19" s="60"/>
      <c r="M19" s="60"/>
    </row>
    <row r="20" spans="1:13" s="10" customFormat="1" ht="13.9" customHeight="1">
      <c r="A20" s="161"/>
      <c r="B20" s="56" t="s">
        <v>27</v>
      </c>
      <c r="C20" s="63">
        <f t="shared" ref="C20:H20" si="13">COUNTIF(C9:C15,"=Not Met")</f>
        <v>0</v>
      </c>
      <c r="D20" s="64">
        <f t="shared" si="13"/>
        <v>0</v>
      </c>
      <c r="E20" s="64">
        <f t="shared" si="13"/>
        <v>0</v>
      </c>
      <c r="F20" s="64">
        <f t="shared" si="13"/>
        <v>0</v>
      </c>
      <c r="G20" s="64">
        <f t="shared" si="13"/>
        <v>0</v>
      </c>
      <c r="H20" s="152">
        <f t="shared" si="13"/>
        <v>0</v>
      </c>
      <c r="I20" s="59"/>
      <c r="J20" s="60"/>
      <c r="K20" s="60"/>
      <c r="L20" s="60"/>
      <c r="M20" s="60"/>
    </row>
    <row r="21" spans="1:13" s="10" customFormat="1" ht="13.9" customHeight="1">
      <c r="A21" s="161"/>
      <c r="B21" s="56" t="s">
        <v>28</v>
      </c>
      <c r="C21" s="61">
        <f t="shared" ref="C21:H21" si="14">IF(SUM(C18,C20)=0,0,C20/SUM(C18,C20))</f>
        <v>0</v>
      </c>
      <c r="D21" s="62">
        <f t="shared" si="14"/>
        <v>0</v>
      </c>
      <c r="E21" s="62">
        <f t="shared" si="14"/>
        <v>0</v>
      </c>
      <c r="F21" s="62">
        <f t="shared" si="14"/>
        <v>0</v>
      </c>
      <c r="G21" s="62">
        <f t="shared" si="14"/>
        <v>0</v>
      </c>
      <c r="H21" s="151">
        <f t="shared" si="14"/>
        <v>0</v>
      </c>
      <c r="I21" s="59"/>
      <c r="J21" s="60"/>
      <c r="K21" s="60"/>
      <c r="L21" s="60"/>
      <c r="M21" s="60"/>
    </row>
    <row r="22" spans="1:13" s="10" customFormat="1" ht="13.9" customHeight="1" thickBot="1">
      <c r="A22" s="161"/>
      <c r="B22" s="56" t="s">
        <v>29</v>
      </c>
      <c r="C22" s="65">
        <f t="shared" ref="C22:H22" si="15">COUNTIF(C9:C15,"=N/A")</f>
        <v>0</v>
      </c>
      <c r="D22" s="66">
        <f t="shared" si="15"/>
        <v>0</v>
      </c>
      <c r="E22" s="66">
        <f t="shared" si="15"/>
        <v>0</v>
      </c>
      <c r="F22" s="66">
        <f t="shared" si="15"/>
        <v>0</v>
      </c>
      <c r="G22" s="66">
        <f t="shared" si="15"/>
        <v>0</v>
      </c>
      <c r="H22" s="153">
        <f t="shared" si="15"/>
        <v>0</v>
      </c>
      <c r="I22" s="67"/>
      <c r="J22" s="68"/>
      <c r="K22" s="68"/>
      <c r="L22" s="68"/>
      <c r="M22" s="68"/>
    </row>
    <row r="23" spans="1:13" s="10" customFormat="1" ht="13.9" customHeight="1">
      <c r="A23" s="545"/>
      <c r="B23" s="545"/>
      <c r="C23" s="545"/>
      <c r="D23" s="545"/>
      <c r="E23" s="545"/>
      <c r="F23" s="545"/>
      <c r="G23" s="545"/>
      <c r="H23" s="545"/>
      <c r="I23" s="545"/>
      <c r="J23" s="545"/>
      <c r="K23" s="545"/>
      <c r="L23" s="545"/>
      <c r="M23" s="545"/>
    </row>
    <row r="24" spans="1:13" s="10" customFormat="1" ht="25.15" customHeight="1">
      <c r="A24" s="211"/>
      <c r="B24" s="212" t="s">
        <v>152</v>
      </c>
      <c r="C24" s="215" t="s">
        <v>18</v>
      </c>
      <c r="D24" s="546"/>
      <c r="E24" s="547"/>
      <c r="F24" s="547"/>
      <c r="G24" s="547"/>
      <c r="H24" s="547"/>
      <c r="I24" s="547"/>
      <c r="J24" s="547"/>
      <c r="K24" s="547"/>
      <c r="L24" s="547"/>
      <c r="M24" s="548"/>
    </row>
    <row r="25" spans="1:13" s="10" customFormat="1" ht="25.15" customHeight="1">
      <c r="A25" s="211"/>
      <c r="B25" s="213"/>
      <c r="C25" s="216" t="s">
        <v>19</v>
      </c>
      <c r="D25" s="539"/>
      <c r="E25" s="540"/>
      <c r="F25" s="540"/>
      <c r="G25" s="540"/>
      <c r="H25" s="540"/>
      <c r="I25" s="540"/>
      <c r="J25" s="540"/>
      <c r="K25" s="540"/>
      <c r="L25" s="540"/>
      <c r="M25" s="541"/>
    </row>
    <row r="26" spans="1:13" s="10" customFormat="1" ht="25.15" customHeight="1">
      <c r="A26" s="211"/>
      <c r="B26" s="213"/>
      <c r="C26" s="216" t="s">
        <v>20</v>
      </c>
      <c r="D26" s="539"/>
      <c r="E26" s="540"/>
      <c r="F26" s="540"/>
      <c r="G26" s="540"/>
      <c r="H26" s="540"/>
      <c r="I26" s="540"/>
      <c r="J26" s="540"/>
      <c r="K26" s="540"/>
      <c r="L26" s="540"/>
      <c r="M26" s="541"/>
    </row>
    <row r="27" spans="1:13" s="10" customFormat="1" ht="25.15" customHeight="1">
      <c r="A27" s="211"/>
      <c r="B27" s="213"/>
      <c r="C27" s="216" t="s">
        <v>21</v>
      </c>
      <c r="D27" s="539"/>
      <c r="E27" s="540"/>
      <c r="F27" s="540"/>
      <c r="G27" s="540"/>
      <c r="H27" s="540"/>
      <c r="I27" s="540"/>
      <c r="J27" s="540"/>
      <c r="K27" s="540"/>
      <c r="L27" s="540"/>
      <c r="M27" s="541"/>
    </row>
    <row r="28" spans="1:13" s="10" customFormat="1" ht="25.15" customHeight="1">
      <c r="A28" s="211"/>
      <c r="B28" s="213"/>
      <c r="C28" s="216" t="s">
        <v>22</v>
      </c>
      <c r="D28" s="539"/>
      <c r="E28" s="540"/>
      <c r="F28" s="540"/>
      <c r="G28" s="540"/>
      <c r="H28" s="540"/>
      <c r="I28" s="540"/>
      <c r="J28" s="540"/>
      <c r="K28" s="540"/>
      <c r="L28" s="540"/>
      <c r="M28" s="541"/>
    </row>
    <row r="29" spans="1:13" s="10" customFormat="1" ht="25.15" customHeight="1">
      <c r="A29" s="211"/>
      <c r="B29" s="213"/>
      <c r="C29" s="217" t="s">
        <v>23</v>
      </c>
      <c r="D29" s="542"/>
      <c r="E29" s="543"/>
      <c r="F29" s="543"/>
      <c r="G29" s="543"/>
      <c r="H29" s="543"/>
      <c r="I29" s="543"/>
      <c r="J29" s="543"/>
      <c r="K29" s="543"/>
      <c r="L29" s="543"/>
      <c r="M29" s="544"/>
    </row>
  </sheetData>
  <sheetProtection sheet="1" objects="1" scenarios="1"/>
  <customSheetViews>
    <customSheetView guid="{2A3E70A9-51A3-4722-9775-16DBEA0F14B3}">
      <pane xSplit="2" ySplit="8" topLeftCell="C21" activePane="bottomRight" state="frozen"/>
      <selection pane="bottomRight" activeCell="E14" sqref="E14"/>
      <pageMargins left="0.2" right="0.2" top="0.3" bottom="0.25" header="0.25" footer="0"/>
      <printOptions horizontalCentered="1"/>
      <pageSetup paperSize="5" scale="94" orientation="landscape" r:id="rId1"/>
      <headerFooter alignWithMargins="0">
        <oddFooter>&amp;L&amp;8&amp;K000000IDD Group Living - Low Continuation&amp;R&amp;8&amp;K000000&amp;P</oddFooter>
      </headerFooter>
    </customSheetView>
    <customSheetView guid="{A13B25D0-B104-46DD-B5CC-B628EEB53163}">
      <pane xSplit="2" ySplit="8" topLeftCell="C21" activePane="bottomRight" state="frozen"/>
      <selection pane="bottomRight" activeCell="E14" sqref="E14"/>
      <pageMargins left="0.2" right="0.2" top="0.3" bottom="0.25" header="0.25" footer="0"/>
      <printOptions horizontalCentered="1"/>
      <pageSetup paperSize="5" scale="94" orientation="landscape" r:id="rId2"/>
      <headerFooter alignWithMargins="0">
        <oddFooter>&amp;L&amp;8&amp;K000000IDD Group Living - Low Continuation&amp;R&amp;8&amp;K000000&amp;P</oddFooter>
      </headerFooter>
    </customSheetView>
  </customSheetViews>
  <mergeCells count="7">
    <mergeCell ref="A23:M23"/>
    <mergeCell ref="D28:M28"/>
    <mergeCell ref="D29:M29"/>
    <mergeCell ref="D26:M26"/>
    <mergeCell ref="D27:M27"/>
    <mergeCell ref="D24:M24"/>
    <mergeCell ref="D25:M25"/>
  </mergeCells>
  <conditionalFormatting sqref="C10:H10 C12:H15">
    <cfRule type="expression" dxfId="280" priority="11" stopIfTrue="1">
      <formula>AND(C$9&lt;&gt;"",C10="")</formula>
    </cfRule>
    <cfRule type="cellIs" dxfId="279" priority="13" stopIfTrue="1" operator="equal">
      <formula>"N/A"</formula>
    </cfRule>
  </conditionalFormatting>
  <conditionalFormatting sqref="C12:H15">
    <cfRule type="cellIs" dxfId="278" priority="12" stopIfTrue="1" operator="equal">
      <formula>"Not Met"</formula>
    </cfRule>
  </conditionalFormatting>
  <conditionalFormatting sqref="C9:H10">
    <cfRule type="expression" dxfId="277" priority="7" stopIfTrue="1">
      <formula>OR(C9="",C9="N/A")</formula>
    </cfRule>
  </conditionalFormatting>
  <conditionalFormatting sqref="C9:H10">
    <cfRule type="cellIs" dxfId="276" priority="10" stopIfTrue="1" operator="equal">
      <formula>"Not Met"</formula>
    </cfRule>
  </conditionalFormatting>
  <conditionalFormatting sqref="C11:H11">
    <cfRule type="expression" dxfId="275" priority="1" stopIfTrue="1">
      <formula>AND(C$9&lt;&gt;"",C11="")</formula>
    </cfRule>
    <cfRule type="cellIs" dxfId="274" priority="3" stopIfTrue="1" operator="equal">
      <formula>"N/A"</formula>
    </cfRule>
  </conditionalFormatting>
  <conditionalFormatting sqref="C11:H11">
    <cfRule type="cellIs" dxfId="273" priority="2" stopIfTrue="1" operator="equal">
      <formula>"Not Met"</formula>
    </cfRule>
  </conditionalFormatting>
  <dataValidations count="2">
    <dataValidation type="list" allowBlank="1" showInputMessage="1" showErrorMessage="1" sqref="C14:H15" xr:uid="{00000000-0002-0000-0A00-000001000000}">
      <formula1>"YES,NO,N/A"</formula1>
    </dataValidation>
    <dataValidation type="list" allowBlank="1" showInputMessage="1" showErrorMessage="1" sqref="C12:H12" xr:uid="{1B349148-674F-4D8B-89DE-7AB889312EDE}">
      <formula1>"YES,NO"</formula1>
    </dataValidation>
  </dataValidations>
  <printOptions horizontalCentered="1"/>
  <pageMargins left="0.2" right="0.2" top="0.3" bottom="0.25" header="0.25" footer="0"/>
  <pageSetup paperSize="5" scale="94" orientation="landscape" r:id="rId3"/>
  <headerFooter alignWithMargins="0">
    <oddFooter>&amp;L&amp;8&amp;K000000IDD Group Living - Low Continuation&amp;R&amp;8&amp;K000000&amp;P</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B836-501F-40E3-A7B3-3F6916864DD8}">
  <sheetPr>
    <tabColor theme="8" tint="0.59999389629810485"/>
  </sheetPr>
  <dimension ref="A1:H19"/>
  <sheetViews>
    <sheetView showGridLines="0" zoomScale="110" zoomScaleNormal="110" workbookViewId="0">
      <pane xSplit="2" ySplit="11" topLeftCell="C17" activePane="bottomRight" state="frozen"/>
      <selection activeCell="C6" sqref="C6"/>
      <selection pane="topRight" activeCell="C6" sqref="C6"/>
      <selection pane="bottomLeft" activeCell="C6" sqref="C6"/>
      <selection pane="bottomRight" activeCell="E18" sqref="E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246</v>
      </c>
      <c r="D1" s="535"/>
      <c r="E1" s="535"/>
      <c r="F1" s="535"/>
      <c r="G1" s="535"/>
      <c r="H1" s="535"/>
    </row>
    <row r="2" spans="1:8" ht="18" customHeight="1">
      <c r="A2" s="158"/>
      <c r="B2" s="159"/>
      <c r="C2" s="158" t="s">
        <v>379</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3"/>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mergeCells count="2">
    <mergeCell ref="C1:H1"/>
    <mergeCell ref="C4:H4"/>
  </mergeCells>
  <conditionalFormatting sqref="C12:H12">
    <cfRule type="cellIs" dxfId="272" priority="1" operator="equal">
      <formula>"NOT MET"</formula>
    </cfRule>
    <cfRule type="cellIs" dxfId="271" priority="2" operator="equal">
      <formula>"MET"</formula>
    </cfRule>
  </conditionalFormatting>
  <dataValidations count="2">
    <dataValidation type="list" allowBlank="1" showInputMessage="1" showErrorMessage="1" sqref="C13:H17" xr:uid="{C3043496-70A7-4DCB-A678-7957F451D3EE}">
      <formula1>"YES, NO"</formula1>
    </dataValidation>
    <dataValidation type="list" allowBlank="1" showInputMessage="1" showErrorMessage="1" sqref="C7:H7" xr:uid="{76D9AEFE-B734-49B8-A245-A22F88F1F9D5}">
      <formula1>"ADSN, CDSN"</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4BA5-B064-4250-98DF-564E01532026}">
  <sheetPr>
    <tabColor theme="8" tint="-0.249977111117893"/>
  </sheetPr>
  <dimension ref="A1:M31"/>
  <sheetViews>
    <sheetView zoomScale="120" zoomScaleNormal="120" zoomScaleSheetLayoutView="50" workbookViewId="0">
      <pane xSplit="2" ySplit="8" topLeftCell="C9" activePane="bottomRight" state="frozen"/>
      <selection activeCell="C6" sqref="C6"/>
      <selection pane="topRight" activeCell="C6" sqref="C6"/>
      <selection pane="bottomLeft" activeCell="C6" sqref="C6"/>
      <selection pane="bottomRight" activeCell="M9" sqref="M9"/>
    </sheetView>
  </sheetViews>
  <sheetFormatPr defaultColWidth="8.85546875" defaultRowHeight="12.75"/>
  <cols>
    <col min="1" max="1" width="3.28515625" style="491"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380</v>
      </c>
      <c r="D1" s="340"/>
      <c r="E1" s="340"/>
      <c r="F1" s="340"/>
      <c r="G1" s="340"/>
      <c r="H1" s="340"/>
      <c r="I1" s="340"/>
      <c r="J1" s="340"/>
      <c r="K1" s="340"/>
      <c r="L1" s="340"/>
      <c r="M1" s="341"/>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43"/>
      <c r="J3" s="343"/>
      <c r="K3" s="343"/>
      <c r="L3" s="343"/>
      <c r="M3" s="34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5"/>
      <c r="J4" s="135"/>
      <c r="K4" s="135"/>
      <c r="L4" s="135"/>
      <c r="M4" s="137"/>
    </row>
    <row r="5" spans="1:13" s="8" customFormat="1" ht="14.85" customHeight="1">
      <c r="A5" s="18"/>
      <c r="B5" s="148" t="s">
        <v>189</v>
      </c>
      <c r="C5" s="19" t="str">
        <f>IF('Support Employ Initial Eligibil'!C6="","",'Support Employ Initial Eligibil'!C6)</f>
        <v/>
      </c>
      <c r="D5" s="241" t="str">
        <f>IF('Support Employ Initial Eligibil'!D6="","",'Support Employ Initial Eligibil'!D6)</f>
        <v/>
      </c>
      <c r="E5" s="242" t="str">
        <f>IF('Support Employ Initial Eligibil'!E6="","",'Support Employ Initial Eligibil'!E6)</f>
        <v/>
      </c>
      <c r="F5" s="242" t="str">
        <f>IF('Support Employ Initial Eligibil'!F6="","",'Support Employ Initial Eligibil'!F6)</f>
        <v/>
      </c>
      <c r="G5" s="242" t="str">
        <f>IF('Support Employ Initial Eligibil'!G6="","",'Support Employ Initial Eligibil'!G6)</f>
        <v/>
      </c>
      <c r="H5" s="77" t="str">
        <f>IF('Support Employ Initial Eligibil'!H6="","",'Support Employ Initial Eligibil'!H6)</f>
        <v/>
      </c>
      <c r="I5" s="15"/>
      <c r="J5" s="16"/>
      <c r="K5" s="16"/>
      <c r="L5" s="16"/>
      <c r="M5" s="17"/>
    </row>
    <row r="6" spans="1:13" s="8" customFormat="1" ht="14.85" customHeight="1">
      <c r="A6" s="18"/>
      <c r="B6" s="148" t="s">
        <v>190</v>
      </c>
      <c r="C6" s="19" t="str">
        <f>IF('Support Employ Initial Eligibil'!C7="","",'Support Employ Initial Eligibil'!C7)</f>
        <v/>
      </c>
      <c r="D6" s="244" t="str">
        <f>IF('Support Employ Initial Eligibil'!D7="","",'Support Employ Initial Eligibil'!D7)</f>
        <v/>
      </c>
      <c r="E6" s="244" t="str">
        <f>IF('Support Employ Initial Eligibil'!E7="","",'Support Employ Initial Eligibil'!E7)</f>
        <v/>
      </c>
      <c r="F6" s="244" t="str">
        <f>IF('Support Employ Initial Eligibil'!F7="","",'Support Employ Initial Eligibil'!F7)</f>
        <v/>
      </c>
      <c r="G6" s="244" t="str">
        <f>IF('Support Employ Initial Eligibil'!G7="","",'Support Employ Initial Eligibil'!G7)</f>
        <v/>
      </c>
      <c r="H6" s="20" t="str">
        <f>IF('Support Employ Initial Eligibil'!H7="","",'Support Employ Initial Eligibil'!H7)</f>
        <v/>
      </c>
      <c r="I6" s="15"/>
      <c r="J6" s="16"/>
      <c r="K6" s="16"/>
      <c r="L6" s="16"/>
      <c r="M6" s="17"/>
    </row>
    <row r="7" spans="1:13" s="8" customFormat="1" ht="14.85" customHeight="1" thickBot="1">
      <c r="A7" s="18"/>
      <c r="B7" s="148" t="s">
        <v>188</v>
      </c>
      <c r="C7" s="196" t="str">
        <f>IF('Support Employ Initial Eligibil'!C9="","",'Support Employ Initial Eligibil'!C9)</f>
        <v/>
      </c>
      <c r="D7" s="243" t="str">
        <f>IF('Support Employ Initial Eligibil'!D9="","",'Support Employ Initial Eligibil'!D9)</f>
        <v/>
      </c>
      <c r="E7" s="243" t="str">
        <f>IF('Support Employ Initial Eligibil'!E9="","",'Support Employ Initial Eligibil'!E9)</f>
        <v/>
      </c>
      <c r="F7" s="243" t="str">
        <f>IF('Support Employ Initial Eligibil'!F9="","",'Support Employ Initial Eligibil'!F9)</f>
        <v/>
      </c>
      <c r="G7" s="243" t="str">
        <f>IF('Support Employ Initial Eligibil'!G9="","",'Support Employ Initial Eligibil'!G9)</f>
        <v/>
      </c>
      <c r="H7" s="197" t="str">
        <f>IF('Support Employ Initial Eligibil'!H9="","",'Support Employ Initial Eligibil'!H9)</f>
        <v/>
      </c>
      <c r="I7" s="22" t="s">
        <v>10</v>
      </c>
      <c r="J7" s="16"/>
      <c r="K7" s="16"/>
      <c r="L7" s="16"/>
      <c r="M7" s="17"/>
    </row>
    <row r="8" spans="1:13"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13" s="37" customFormat="1" ht="25.5">
      <c r="A9" s="45" t="s">
        <v>18</v>
      </c>
      <c r="B9" s="157" t="s">
        <v>242</v>
      </c>
      <c r="C9" s="174" t="str">
        <f>IF('LTVS Initial Elig'!C12=0,"",'LTVS Initial Elig'!C12)</f>
        <v/>
      </c>
      <c r="D9" s="174" t="str">
        <f>IF('LTVS Initial Elig'!D12=0,"",'LTVS Initial Elig'!D12)</f>
        <v/>
      </c>
      <c r="E9" s="174" t="str">
        <f>IF('LTVS Initial Elig'!E12=0,"",'LTVS Initial Elig'!E12)</f>
        <v/>
      </c>
      <c r="F9" s="174" t="str">
        <f>IF('LTVS Initial Elig'!F12=0,"",'LTVS Initial Elig'!F12)</f>
        <v/>
      </c>
      <c r="G9" s="174" t="str">
        <f>IF('LTVS Initial Elig'!G12=0,"",'LTVS Initial Elig'!G12)</f>
        <v/>
      </c>
      <c r="H9" s="174" t="str">
        <f>IF('LTVS Initial Elig'!H12=0,"",'LTVS Initial Elig'!H12)</f>
        <v/>
      </c>
      <c r="I9" s="47">
        <f>COUNTIF(C9:H9,"=Met")</f>
        <v>0</v>
      </c>
      <c r="J9" s="48">
        <f>IF(SUM(I9,K9)=0,0,I9/SUM(I9,K9))</f>
        <v>0</v>
      </c>
      <c r="K9" s="41">
        <f>COUNTIF(C9:H9,"=Not Met")</f>
        <v>0</v>
      </c>
      <c r="L9" s="48">
        <f t="shared" ref="L9" si="0">IF(SUM(I9,K9)=0,0,K9/SUM(I9,K9))</f>
        <v>0</v>
      </c>
      <c r="M9" s="49">
        <f>COUNTIF(C9:H9,"=N/A")</f>
        <v>0</v>
      </c>
    </row>
    <row r="10" spans="1:13" s="10" customFormat="1" ht="26.25" thickBot="1">
      <c r="A10" s="156" t="s">
        <v>19</v>
      </c>
      <c r="B10" s="309" t="s">
        <v>207</v>
      </c>
      <c r="C10" s="179" t="str">
        <f>IF(COUNTIF(C11:C14,"NO")=1,"NOT MET",IF(COUNTIF(C11:C14,"YES")=4,"MET",""))</f>
        <v/>
      </c>
      <c r="D10" s="179" t="str">
        <f t="shared" ref="D10:H10" si="1">IF(COUNTIF(D11:D14,"NO")=1,"NOT MET",IF(COUNTIF(D11:D14,"YES")=4,"MET",""))</f>
        <v/>
      </c>
      <c r="E10" s="179" t="str">
        <f t="shared" si="1"/>
        <v/>
      </c>
      <c r="F10" s="179" t="str">
        <f t="shared" si="1"/>
        <v/>
      </c>
      <c r="G10" s="179" t="str">
        <f t="shared" si="1"/>
        <v/>
      </c>
      <c r="H10" s="179" t="str">
        <f t="shared" si="1"/>
        <v/>
      </c>
      <c r="I10" s="527"/>
      <c r="J10" s="528"/>
      <c r="K10" s="529"/>
      <c r="L10" s="528"/>
      <c r="M10" s="530"/>
    </row>
    <row r="11" spans="1:13" s="10" customFormat="1" ht="25.5">
      <c r="A11" s="156" t="s">
        <v>366</v>
      </c>
      <c r="B11" s="36" t="s">
        <v>204</v>
      </c>
      <c r="C11" s="388" t="str">
        <f>IF(C9="MET","YES",IF(C9="NOT MET","NO",IF(C9="","")))</f>
        <v/>
      </c>
      <c r="D11" s="388" t="str">
        <f t="shared" ref="D11:H11" si="2">IF(D9="MET","YES",IF(D9="NOT MET","NO",IF(D9="","")))</f>
        <v/>
      </c>
      <c r="E11" s="388" t="str">
        <f t="shared" si="2"/>
        <v/>
      </c>
      <c r="F11" s="388" t="str">
        <f t="shared" si="2"/>
        <v/>
      </c>
      <c r="G11" s="388" t="str">
        <f t="shared" si="2"/>
        <v/>
      </c>
      <c r="H11" s="388" t="str">
        <f t="shared" si="2"/>
        <v/>
      </c>
      <c r="I11" s="444"/>
      <c r="J11" s="445"/>
      <c r="K11" s="446"/>
      <c r="L11" s="445"/>
      <c r="M11" s="447"/>
    </row>
    <row r="12" spans="1:13" s="10" customFormat="1">
      <c r="A12" s="156" t="s">
        <v>367</v>
      </c>
      <c r="B12" s="36" t="s">
        <v>250</v>
      </c>
      <c r="C12" s="35"/>
      <c r="D12" s="50"/>
      <c r="E12" s="50"/>
      <c r="F12" s="50"/>
      <c r="G12" s="50"/>
      <c r="H12" s="144"/>
      <c r="I12" s="42">
        <f>COUNTIF(C12:H12,"=YES")</f>
        <v>0</v>
      </c>
      <c r="J12" s="40">
        <f t="shared" ref="J12" si="3">IF(SUM(I12,K12)=0,0,I12/SUM(I12,K12))</f>
        <v>0</v>
      </c>
      <c r="K12" s="42">
        <f>COUNTIF(C12:H12,"=No")</f>
        <v>0</v>
      </c>
      <c r="L12" s="40">
        <f t="shared" ref="L12" si="4">IF(SUM(I12,K12)=0,0,K12/SUM(I12,K12))</f>
        <v>0</v>
      </c>
      <c r="M12" s="42">
        <f t="shared" ref="M12" si="5">COUNTIF(C12:H12,"=N/A")</f>
        <v>0</v>
      </c>
    </row>
    <row r="13" spans="1:13" s="10" customFormat="1">
      <c r="A13" s="385" t="s">
        <v>368</v>
      </c>
      <c r="B13" s="386" t="s">
        <v>381</v>
      </c>
      <c r="C13" s="384"/>
      <c r="D13" s="384"/>
      <c r="E13" s="384"/>
      <c r="F13" s="384"/>
      <c r="G13" s="384"/>
      <c r="H13" s="384"/>
      <c r="I13" s="42">
        <f t="shared" ref="I13:I14" si="6">COUNTIF(C13:H13,"=YES")</f>
        <v>0</v>
      </c>
      <c r="J13" s="40">
        <f t="shared" ref="J13:J14" si="7">IF(SUM(I13,K13)=0,0,I13/SUM(I13,K13))</f>
        <v>0</v>
      </c>
      <c r="K13" s="42">
        <f t="shared" ref="K13:K14" si="8">COUNTIF(C13:H13,"=No")</f>
        <v>0</v>
      </c>
      <c r="L13" s="40">
        <f t="shared" ref="L13:L14" si="9">IF(SUM(I13,K13)=0,0,K13/SUM(I13,K13))</f>
        <v>0</v>
      </c>
      <c r="M13" s="42">
        <f t="shared" ref="M13:M14" si="10">COUNTIF(C13:H13,"=N/A")</f>
        <v>0</v>
      </c>
    </row>
    <row r="14" spans="1:13" s="10" customFormat="1" ht="26.25" thickBot="1">
      <c r="A14" s="385" t="s">
        <v>369</v>
      </c>
      <c r="B14" s="387" t="s">
        <v>382</v>
      </c>
      <c r="C14" s="384"/>
      <c r="D14" s="384"/>
      <c r="E14" s="384"/>
      <c r="F14" s="384"/>
      <c r="G14" s="384"/>
      <c r="H14" s="384"/>
      <c r="I14" s="42">
        <f t="shared" si="6"/>
        <v>0</v>
      </c>
      <c r="J14" s="40">
        <f t="shared" si="7"/>
        <v>0</v>
      </c>
      <c r="K14" s="42">
        <f t="shared" si="8"/>
        <v>0</v>
      </c>
      <c r="L14" s="40">
        <f t="shared" si="9"/>
        <v>0</v>
      </c>
      <c r="M14" s="42">
        <f t="shared" si="10"/>
        <v>0</v>
      </c>
    </row>
    <row r="15" spans="1:13" s="10" customFormat="1" ht="13.9" customHeight="1" thickBot="1">
      <c r="A15" s="491"/>
      <c r="B15" s="53" t="s">
        <v>24</v>
      </c>
      <c r="C15" s="122"/>
      <c r="D15" s="123"/>
      <c r="E15" s="123"/>
      <c r="F15" s="123"/>
      <c r="G15" s="123"/>
      <c r="H15" s="143"/>
      <c r="I15" s="248"/>
      <c r="J15" s="248"/>
      <c r="K15" s="248"/>
      <c r="L15" s="248"/>
      <c r="M15" s="249"/>
    </row>
    <row r="16" spans="1:13" s="10" customFormat="1" ht="13.9" customHeight="1" thickBot="1">
      <c r="A16" s="491"/>
      <c r="B16" s="53"/>
      <c r="C16" s="55"/>
      <c r="D16" s="55"/>
      <c r="E16" s="55"/>
      <c r="F16" s="55"/>
      <c r="G16" s="55"/>
      <c r="H16" s="55"/>
      <c r="I16" s="54"/>
      <c r="J16" s="54"/>
      <c r="K16" s="54"/>
      <c r="L16" s="54"/>
      <c r="M16" s="54"/>
    </row>
    <row r="17" spans="1:13" s="10" customFormat="1" ht="13.9" customHeight="1">
      <c r="A17" s="491"/>
      <c r="B17" s="56" t="s">
        <v>25</v>
      </c>
      <c r="C17" s="57">
        <f t="shared" ref="C17:H17" si="11">COUNTIF(C9:C14,"=Met")</f>
        <v>0</v>
      </c>
      <c r="D17" s="58">
        <f t="shared" si="11"/>
        <v>0</v>
      </c>
      <c r="E17" s="58">
        <f t="shared" si="11"/>
        <v>0</v>
      </c>
      <c r="F17" s="58">
        <f t="shared" si="11"/>
        <v>0</v>
      </c>
      <c r="G17" s="58">
        <f t="shared" si="11"/>
        <v>0</v>
      </c>
      <c r="H17" s="150">
        <f t="shared" si="11"/>
        <v>0</v>
      </c>
      <c r="I17" s="59"/>
      <c r="J17" s="60"/>
      <c r="K17" s="60"/>
      <c r="L17" s="60"/>
      <c r="M17" s="60"/>
    </row>
    <row r="18" spans="1:13" s="10" customFormat="1" ht="13.9" customHeight="1">
      <c r="A18" s="491"/>
      <c r="B18" s="56" t="s">
        <v>26</v>
      </c>
      <c r="C18" s="61">
        <f t="shared" ref="C18:H18" si="12">IF(SUM(C17,C19)=0,0,C17/SUM(C17,C19))</f>
        <v>0</v>
      </c>
      <c r="D18" s="62">
        <f t="shared" si="12"/>
        <v>0</v>
      </c>
      <c r="E18" s="62">
        <f t="shared" si="12"/>
        <v>0</v>
      </c>
      <c r="F18" s="62">
        <f t="shared" si="12"/>
        <v>0</v>
      </c>
      <c r="G18" s="62">
        <f t="shared" si="12"/>
        <v>0</v>
      </c>
      <c r="H18" s="151">
        <f t="shared" si="12"/>
        <v>0</v>
      </c>
      <c r="I18" s="59"/>
      <c r="J18" s="60"/>
      <c r="K18" s="60"/>
      <c r="L18" s="60"/>
      <c r="M18" s="60"/>
    </row>
    <row r="19" spans="1:13" s="10" customFormat="1" ht="13.9" customHeight="1">
      <c r="A19" s="491"/>
      <c r="B19" s="56" t="s">
        <v>27</v>
      </c>
      <c r="C19" s="63">
        <f t="shared" ref="C19:H19" si="13">COUNTIF(C9:C14,"=Not Met")</f>
        <v>0</v>
      </c>
      <c r="D19" s="64">
        <f t="shared" si="13"/>
        <v>0</v>
      </c>
      <c r="E19" s="64">
        <f t="shared" si="13"/>
        <v>0</v>
      </c>
      <c r="F19" s="64">
        <f t="shared" si="13"/>
        <v>0</v>
      </c>
      <c r="G19" s="64">
        <f t="shared" si="13"/>
        <v>0</v>
      </c>
      <c r="H19" s="152">
        <f t="shared" si="13"/>
        <v>0</v>
      </c>
      <c r="I19" s="59"/>
      <c r="J19" s="60"/>
      <c r="K19" s="60"/>
      <c r="L19" s="60"/>
      <c r="M19" s="60"/>
    </row>
    <row r="20" spans="1:13" s="10" customFormat="1" ht="13.9" customHeight="1">
      <c r="A20" s="491"/>
      <c r="B20" s="56" t="s">
        <v>28</v>
      </c>
      <c r="C20" s="61">
        <f t="shared" ref="C20:H20" si="14">IF(SUM(C17,C19)=0,0,C19/SUM(C17,C19))</f>
        <v>0</v>
      </c>
      <c r="D20" s="62">
        <f t="shared" si="14"/>
        <v>0</v>
      </c>
      <c r="E20" s="62">
        <f t="shared" si="14"/>
        <v>0</v>
      </c>
      <c r="F20" s="62">
        <f t="shared" si="14"/>
        <v>0</v>
      </c>
      <c r="G20" s="62">
        <f t="shared" si="14"/>
        <v>0</v>
      </c>
      <c r="H20" s="151">
        <f t="shared" si="14"/>
        <v>0</v>
      </c>
      <c r="I20" s="59"/>
      <c r="J20" s="60"/>
      <c r="K20" s="60"/>
      <c r="L20" s="60"/>
      <c r="M20" s="60"/>
    </row>
    <row r="21" spans="1:13" s="10" customFormat="1" ht="13.9" customHeight="1" thickBot="1">
      <c r="A21" s="491"/>
      <c r="B21" s="56" t="s">
        <v>29</v>
      </c>
      <c r="C21" s="65">
        <f t="shared" ref="C21:H21" si="15">COUNTIF(C9:C14,"=N/A")</f>
        <v>0</v>
      </c>
      <c r="D21" s="66">
        <f t="shared" si="15"/>
        <v>0</v>
      </c>
      <c r="E21" s="66">
        <f t="shared" si="15"/>
        <v>0</v>
      </c>
      <c r="F21" s="66">
        <f t="shared" si="15"/>
        <v>0</v>
      </c>
      <c r="G21" s="66">
        <f t="shared" si="15"/>
        <v>0</v>
      </c>
      <c r="H21" s="153">
        <f t="shared" si="15"/>
        <v>0</v>
      </c>
      <c r="I21" s="67"/>
      <c r="J21" s="68"/>
      <c r="K21" s="68"/>
      <c r="L21" s="68"/>
      <c r="M21" s="68"/>
    </row>
    <row r="22" spans="1:13" s="10" customFormat="1" ht="13.9" customHeight="1">
      <c r="A22" s="545"/>
      <c r="B22" s="545"/>
      <c r="C22" s="545"/>
      <c r="D22" s="545"/>
      <c r="E22" s="545"/>
      <c r="F22" s="545"/>
      <c r="G22" s="545"/>
      <c r="H22" s="545"/>
      <c r="I22" s="545"/>
      <c r="J22" s="545"/>
      <c r="K22" s="545"/>
      <c r="L22" s="545"/>
      <c r="M22" s="545"/>
    </row>
    <row r="23" spans="1:13" s="10" customFormat="1" ht="25.15" customHeight="1">
      <c r="A23" s="211"/>
      <c r="B23" s="212" t="s">
        <v>152</v>
      </c>
      <c r="C23" s="215" t="s">
        <v>18</v>
      </c>
      <c r="D23" s="546"/>
      <c r="E23" s="547"/>
      <c r="F23" s="547"/>
      <c r="G23" s="547"/>
      <c r="H23" s="547"/>
      <c r="I23" s="547"/>
      <c r="J23" s="547"/>
      <c r="K23" s="547"/>
      <c r="L23" s="547"/>
      <c r="M23" s="548"/>
    </row>
    <row r="24" spans="1:13" s="10" customFormat="1" ht="25.15" customHeight="1">
      <c r="A24" s="211"/>
      <c r="B24" s="213"/>
      <c r="C24" s="216" t="s">
        <v>19</v>
      </c>
      <c r="D24" s="539"/>
      <c r="E24" s="540"/>
      <c r="F24" s="540"/>
      <c r="G24" s="540"/>
      <c r="H24" s="540"/>
      <c r="I24" s="540"/>
      <c r="J24" s="540"/>
      <c r="K24" s="540"/>
      <c r="L24" s="540"/>
      <c r="M24" s="541"/>
    </row>
    <row r="25" spans="1:13" s="10" customFormat="1" ht="25.15" customHeight="1">
      <c r="A25" s="211"/>
      <c r="B25" s="213"/>
      <c r="C25" s="216" t="s">
        <v>20</v>
      </c>
      <c r="D25" s="539"/>
      <c r="E25" s="540"/>
      <c r="F25" s="540"/>
      <c r="G25" s="540"/>
      <c r="H25" s="540"/>
      <c r="I25" s="540"/>
      <c r="J25" s="540"/>
      <c r="K25" s="540"/>
      <c r="L25" s="540"/>
      <c r="M25" s="541"/>
    </row>
    <row r="26" spans="1:13" s="10" customFormat="1" ht="25.15" customHeight="1">
      <c r="A26" s="211"/>
      <c r="B26" s="213"/>
      <c r="C26" s="216" t="s">
        <v>21</v>
      </c>
      <c r="D26" s="539"/>
      <c r="E26" s="540"/>
      <c r="F26" s="540"/>
      <c r="G26" s="540"/>
      <c r="H26" s="540"/>
      <c r="I26" s="540"/>
      <c r="J26" s="540"/>
      <c r="K26" s="540"/>
      <c r="L26" s="540"/>
      <c r="M26" s="541"/>
    </row>
    <row r="27" spans="1:13" s="10" customFormat="1" ht="25.15" customHeight="1">
      <c r="A27" s="211"/>
      <c r="B27" s="213"/>
      <c r="C27" s="216" t="s">
        <v>22</v>
      </c>
      <c r="D27" s="539"/>
      <c r="E27" s="540"/>
      <c r="F27" s="540"/>
      <c r="G27" s="540"/>
      <c r="H27" s="540"/>
      <c r="I27" s="540"/>
      <c r="J27" s="540"/>
      <c r="K27" s="540"/>
      <c r="L27" s="540"/>
      <c r="M27" s="541"/>
    </row>
    <row r="28" spans="1:13" ht="25.15" customHeight="1">
      <c r="A28" s="211"/>
      <c r="B28" s="214"/>
      <c r="C28" s="217" t="s">
        <v>23</v>
      </c>
      <c r="D28" s="542"/>
      <c r="E28" s="543"/>
      <c r="F28" s="543"/>
      <c r="G28" s="543"/>
      <c r="H28" s="543"/>
      <c r="I28" s="543"/>
      <c r="J28" s="543"/>
      <c r="K28" s="543"/>
      <c r="L28" s="543"/>
      <c r="M28" s="544"/>
    </row>
    <row r="29" spans="1:13">
      <c r="B29" s="163"/>
    </row>
    <row r="30" spans="1:13">
      <c r="B30" s="163"/>
    </row>
    <row r="31" spans="1:13">
      <c r="B31" s="163"/>
    </row>
  </sheetData>
  <sheetProtection sheet="1" objects="1" scenarios="1"/>
  <mergeCells count="7">
    <mergeCell ref="D28:M28"/>
    <mergeCell ref="A22:M22"/>
    <mergeCell ref="D23:M23"/>
    <mergeCell ref="D24:M24"/>
    <mergeCell ref="D25:M25"/>
    <mergeCell ref="D26:M26"/>
    <mergeCell ref="D27:M27"/>
  </mergeCells>
  <conditionalFormatting sqref="C12:H14">
    <cfRule type="expression" dxfId="270" priority="6" stopIfTrue="1">
      <formula>AND(C$9&lt;&gt;"",C12="")</formula>
    </cfRule>
    <cfRule type="cellIs" dxfId="269" priority="8" stopIfTrue="1" operator="equal">
      <formula>"N/A"</formula>
    </cfRule>
  </conditionalFormatting>
  <conditionalFormatting sqref="C12:H14 C9:H9">
    <cfRule type="cellIs" dxfId="268" priority="7" stopIfTrue="1" operator="equal">
      <formula>"Not Met"</formula>
    </cfRule>
  </conditionalFormatting>
  <conditionalFormatting sqref="C9:H9">
    <cfRule type="expression" dxfId="267" priority="5" stopIfTrue="1">
      <formula>OR(C9="",C9="N/A")</formula>
    </cfRule>
  </conditionalFormatting>
  <conditionalFormatting sqref="C10:H10">
    <cfRule type="cellIs" dxfId="266" priority="4" stopIfTrue="1" operator="equal">
      <formula>"Not Met"</formula>
    </cfRule>
  </conditionalFormatting>
  <conditionalFormatting sqref="C10:H10">
    <cfRule type="expression" dxfId="265" priority="3" stopIfTrue="1">
      <formula>OR(C10="",C10="N/A")</formula>
    </cfRule>
  </conditionalFormatting>
  <dataValidations count="1">
    <dataValidation type="list" allowBlank="1" showInputMessage="1" showErrorMessage="1" sqref="C12:H14" xr:uid="{E88D885F-EE56-48AD-8078-154BFB5CC706}">
      <formula1>"YES,NO"</formula1>
    </dataValidation>
  </dataValidations>
  <printOptions horizontalCentered="1"/>
  <pageMargins left="0.2" right="0.2" top="0.3" bottom="0.35" header="0.25" footer="0"/>
  <pageSetup paperSize="5" scale="94" orientation="landscape" r:id="rId1"/>
  <headerFooter alignWithMargins="0">
    <oddFooter>&amp;L&amp;8&amp;K000000IDD Group Living - Services Initial Authorization&amp;R&amp;8&amp;K000000&amp;P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4A6B-9761-4BA8-A220-B8FCACA612F9}">
  <sheetPr>
    <tabColor theme="8" tint="0.59999389629810485"/>
  </sheetPr>
  <dimension ref="A1:H19"/>
  <sheetViews>
    <sheetView showGridLines="0" zoomScale="110" zoomScaleNormal="110" workbookViewId="0">
      <pane xSplit="2" ySplit="11" topLeftCell="C12" activePane="bottomRight" state="frozen"/>
      <selection activeCell="C6" sqref="C6"/>
      <selection pane="topRight" activeCell="C6" sqref="C6"/>
      <selection pane="bottomLeft" activeCell="C6" sqref="C6"/>
      <selection pane="bottomRight" activeCell="D17" sqref="D17"/>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246</v>
      </c>
      <c r="D1" s="535"/>
      <c r="E1" s="535"/>
      <c r="F1" s="535"/>
      <c r="G1" s="535"/>
      <c r="H1" s="535"/>
    </row>
    <row r="2" spans="1:8" ht="18" customHeight="1">
      <c r="A2" s="158"/>
      <c r="B2" s="159"/>
      <c r="C2" s="158" t="s">
        <v>379</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3"/>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mergeCells count="2">
    <mergeCell ref="C1:H1"/>
    <mergeCell ref="C4:H4"/>
  </mergeCells>
  <conditionalFormatting sqref="C12:H12">
    <cfRule type="cellIs" dxfId="264" priority="1" operator="equal">
      <formula>"NOT MET"</formula>
    </cfRule>
    <cfRule type="cellIs" dxfId="263" priority="2" operator="equal">
      <formula>"MET"</formula>
    </cfRule>
  </conditionalFormatting>
  <dataValidations count="2">
    <dataValidation type="list" allowBlank="1" showInputMessage="1" showErrorMessage="1" sqref="C7:H7" xr:uid="{110A8513-F29B-4BF0-A004-AEFB604A89C3}">
      <formula1>"ADSN, CDSN"</formula1>
    </dataValidation>
    <dataValidation type="list" allowBlank="1" showInputMessage="1" showErrorMessage="1" sqref="C13:H17" xr:uid="{E834F48F-BFEC-4593-98BF-05D634F5D1C2}">
      <formula1>"YES, NO"</formula1>
    </dataValidation>
  </dataValidations>
  <printOptions horizontalCentered="1"/>
  <pageMargins left="0.2" right="0.2" top="0.3" bottom="0.35" header="0" footer="0"/>
  <pageSetup scale="90" fitToWidth="2" orientation="landscape" r:id="rId1"/>
  <headerFooter alignWithMargins="0">
    <oddFooter>&amp;C&amp;P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3395-0575-4548-8F09-F41D7CE0ECC2}">
  <sheetPr>
    <tabColor theme="8" tint="-0.249977111117893"/>
  </sheetPr>
  <dimension ref="A1:BF29"/>
  <sheetViews>
    <sheetView zoomScaleNormal="100" zoomScaleSheetLayoutView="50" workbookViewId="0">
      <pane xSplit="2" ySplit="8" topLeftCell="C9" activePane="bottomRight" state="frozen"/>
      <selection activeCell="C9" sqref="C9"/>
      <selection pane="topRight" activeCell="C9" sqref="C9"/>
      <selection pane="bottomLeft" activeCell="C9" sqref="C9"/>
      <selection pane="bottomRight" activeCell="B15" sqref="B15"/>
    </sheetView>
  </sheetViews>
  <sheetFormatPr defaultColWidth="8.85546875" defaultRowHeight="12.75"/>
  <cols>
    <col min="1" max="1" width="3.28515625" style="491" customWidth="1"/>
    <col min="2" max="2" width="75.7109375" style="69" customWidth="1"/>
    <col min="3" max="3" width="10" style="70" customWidth="1"/>
    <col min="4" max="4" width="10.28515625" style="70" customWidth="1"/>
    <col min="5" max="5" width="9.5703125" style="70" customWidth="1"/>
    <col min="6" max="6" width="10" style="70" customWidth="1"/>
    <col min="7" max="7" width="9.7109375" style="70" customWidth="1"/>
    <col min="8" max="8" width="11.7109375" style="70" customWidth="1"/>
    <col min="9" max="13" width="7.7109375" style="71" customWidth="1"/>
    <col min="14" max="16384" width="8.85546875" style="3"/>
  </cols>
  <sheetData>
    <row r="1" spans="1:58" ht="18" customHeight="1">
      <c r="A1" s="130"/>
      <c r="B1" s="131"/>
      <c r="C1" s="342" t="s">
        <v>386</v>
      </c>
      <c r="D1" s="340"/>
      <c r="E1" s="340"/>
      <c r="F1" s="340"/>
      <c r="G1" s="340"/>
      <c r="H1" s="340"/>
      <c r="I1" s="131"/>
      <c r="J1" s="131"/>
      <c r="K1" s="131"/>
      <c r="L1" s="131"/>
      <c r="M1" s="246"/>
    </row>
    <row r="2" spans="1:58" ht="18" customHeight="1">
      <c r="A2" s="132"/>
      <c r="B2" s="146" t="s">
        <v>165</v>
      </c>
      <c r="C2" s="145" t="str">
        <f>IF('Workbook Set-up'!$B$4="","[Name of LME-MCO]",'Workbook Set-up'!$B$4)</f>
        <v>Trillium Health Resources</v>
      </c>
      <c r="D2" s="133"/>
      <c r="E2" s="133"/>
      <c r="F2" s="133"/>
      <c r="G2" s="133"/>
      <c r="H2" s="133"/>
      <c r="I2" s="133"/>
      <c r="J2" s="133"/>
      <c r="K2" s="133"/>
      <c r="L2" s="133"/>
      <c r="M2" s="140"/>
    </row>
    <row r="3" spans="1:58" ht="18" customHeight="1" thickBo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58" ht="17.649999999999999" customHeight="1" thickBot="1">
      <c r="A4" s="134"/>
      <c r="B4" s="147" t="s">
        <v>9</v>
      </c>
      <c r="C4" s="427" t="str">
        <f>IF(AND('Workbook Set-up'!$B$13="",'Workbook Set-up'!$B$14=""),"",IF('Workbook Set-up'!$B$13='Workbook Set-up'!$B$14,TEXT('Workbook Set-up'!$B$13,"m/d/yyyy"),IF('Workbook Set-up'!$B$13&lt;&gt;'Workbook Set-up'!$B$14,TEXT('Workbook Set-up'!$B$13,"m/d/yyyy")&amp;" to "&amp;TEXT('Workbook Set-up'!$B$14,"m/d/yyyy"),"")))</f>
        <v>7/15/2019</v>
      </c>
      <c r="D4" s="428"/>
      <c r="E4" s="428"/>
      <c r="F4" s="428"/>
      <c r="G4" s="428"/>
      <c r="H4" s="429"/>
      <c r="I4" s="136"/>
      <c r="J4" s="141"/>
      <c r="K4" s="141"/>
      <c r="L4" s="141"/>
      <c r="M4" s="142"/>
    </row>
    <row r="5" spans="1:58" s="8" customFormat="1" ht="14.85" customHeight="1">
      <c r="A5" s="18"/>
      <c r="B5" s="393" t="s">
        <v>189</v>
      </c>
      <c r="C5" s="355" t="str">
        <f>IF('Support Employ Cont Eligibilit'!C6="","",'Support Employ Cont Eligibilit'!C6)</f>
        <v/>
      </c>
      <c r="D5" s="356" t="str">
        <f>IF('Support Employ Cont Eligibilit'!D6="","",'Support Employ Cont Eligibilit'!D6)</f>
        <v/>
      </c>
      <c r="E5" s="356" t="str">
        <f>IF('Support Employ Cont Eligibilit'!E6="","",'Support Employ Cont Eligibilit'!E6)</f>
        <v/>
      </c>
      <c r="F5" s="356" t="str">
        <f>IF('Support Employ Cont Eligibilit'!F6="","",'Support Employ Cont Eligibilit'!F6)</f>
        <v/>
      </c>
      <c r="G5" s="356" t="str">
        <f>IF('Support Employ Cont Eligibilit'!G6="","",'Support Employ Cont Eligibilit'!G6)</f>
        <v/>
      </c>
      <c r="H5" s="357" t="str">
        <f>IF('Support Employ Cont Eligibilit'!H6="","",'Support Employ Cont Eligibilit'!H6)</f>
        <v/>
      </c>
      <c r="I5" s="16"/>
      <c r="J5" s="16"/>
      <c r="K5" s="16"/>
      <c r="L5" s="16"/>
      <c r="M5" s="17"/>
    </row>
    <row r="6" spans="1:58" s="8" customFormat="1" ht="14.85" customHeight="1">
      <c r="A6" s="18"/>
      <c r="B6" s="393" t="s">
        <v>190</v>
      </c>
      <c r="C6" s="358" t="str">
        <f>IF('Support Employ Cont Eligibilit'!C7="","",'Support Employ Cont Eligibilit'!C7)</f>
        <v/>
      </c>
      <c r="D6" s="242" t="str">
        <f>IF('Support Employ Cont Eligibilit'!D7="","",'Support Employ Cont Eligibilit'!D7)</f>
        <v/>
      </c>
      <c r="E6" s="242" t="str">
        <f>IF('Support Employ Cont Eligibilit'!E7="","",'Support Employ Cont Eligibilit'!E7)</f>
        <v/>
      </c>
      <c r="F6" s="242" t="str">
        <f>IF('Support Employ Cont Eligibilit'!F7="","",'Support Employ Cont Eligibilit'!F7)</f>
        <v/>
      </c>
      <c r="G6" s="242" t="str">
        <f>IF('Support Employ Cont Eligibilit'!G7="","",'Support Employ Cont Eligibilit'!G7)</f>
        <v/>
      </c>
      <c r="H6" s="308" t="str">
        <f>IF('Support Employ Cont Eligibilit'!H7="","",'Support Employ Cont Eligibilit'!H7)</f>
        <v/>
      </c>
      <c r="I6" s="16"/>
      <c r="J6" s="16"/>
      <c r="K6" s="16"/>
      <c r="L6" s="16"/>
      <c r="M6" s="17"/>
    </row>
    <row r="7" spans="1:58" s="8" customFormat="1" ht="14.85" customHeight="1" thickBot="1">
      <c r="A7" s="18"/>
      <c r="B7" s="393" t="s">
        <v>188</v>
      </c>
      <c r="C7" s="359" t="str">
        <f>IF('Support Employ Cont Eligibilit'!C9="","",'Support Employ Cont Eligibilit'!C9)</f>
        <v/>
      </c>
      <c r="D7" s="360" t="str">
        <f>IF('Support Employ Cont Eligibilit'!D9="","",'Support Employ Cont Eligibilit'!D9)</f>
        <v/>
      </c>
      <c r="E7" s="360" t="str">
        <f>IF('Support Employ Cont Eligibilit'!E9="","",'Support Employ Cont Eligibilit'!E9)</f>
        <v/>
      </c>
      <c r="F7" s="360" t="str">
        <f>IF('Support Employ Cont Eligibilit'!F9="","",'Support Employ Cont Eligibilit'!F9)</f>
        <v/>
      </c>
      <c r="G7" s="360" t="str">
        <f>IF('Support Employ Cont Eligibilit'!G9="","",'Support Employ Cont Eligibilit'!G9)</f>
        <v/>
      </c>
      <c r="H7" s="361" t="str">
        <f>IF('Support Employ Cont Eligibilit'!H9="","",'Support Employ Cont Eligibilit'!H9)</f>
        <v/>
      </c>
      <c r="I7" s="16" t="s">
        <v>10</v>
      </c>
      <c r="J7" s="16"/>
      <c r="K7" s="16"/>
      <c r="L7" s="16"/>
      <c r="M7" s="17"/>
    </row>
    <row r="8" spans="1:58" s="10" customFormat="1" ht="32.1" customHeight="1" thickBot="1">
      <c r="A8" s="25" t="s">
        <v>11</v>
      </c>
      <c r="B8" s="26" t="s">
        <v>12</v>
      </c>
      <c r="C8" s="462">
        <v>1</v>
      </c>
      <c r="D8" s="463">
        <v>2</v>
      </c>
      <c r="E8" s="463">
        <v>3</v>
      </c>
      <c r="F8" s="463">
        <v>4</v>
      </c>
      <c r="G8" s="463">
        <v>5</v>
      </c>
      <c r="H8" s="464">
        <v>6</v>
      </c>
      <c r="I8" s="31" t="s">
        <v>13</v>
      </c>
      <c r="J8" s="31" t="s">
        <v>14</v>
      </c>
      <c r="K8" s="32" t="s">
        <v>15</v>
      </c>
      <c r="L8" s="33" t="s">
        <v>16</v>
      </c>
      <c r="M8" s="34" t="s">
        <v>17</v>
      </c>
    </row>
    <row r="9" spans="1:58" s="37" customFormat="1" ht="25.5">
      <c r="A9" s="45" t="s">
        <v>18</v>
      </c>
      <c r="B9" s="157" t="s">
        <v>242</v>
      </c>
      <c r="C9" s="174" t="str">
        <f>IF('LTVS Continuation Elig'!C12=0,"",'LTVS Continuation Elig'!C12)</f>
        <v/>
      </c>
      <c r="D9" s="174" t="str">
        <f>IF('LTVS Continuation Elig'!D12=0,"",'LTVS Continuation Elig'!D12)</f>
        <v/>
      </c>
      <c r="E9" s="174" t="str">
        <f>IF('LTVS Continuation Elig'!E12=0,"",'LTVS Continuation Elig'!E12)</f>
        <v/>
      </c>
      <c r="F9" s="174" t="str">
        <f>IF('LTVS Continuation Elig'!F12=0,"",'LTVS Continuation Elig'!F12)</f>
        <v/>
      </c>
      <c r="G9" s="174" t="str">
        <f>IF('LTVS Continuation Elig'!G12=0,"",'LTVS Continuation Elig'!G12)</f>
        <v/>
      </c>
      <c r="H9" s="174" t="str">
        <f>IF('LTVS Continuation Elig'!H12=0,"",'LTVS Continuation Elig'!H12)</f>
        <v/>
      </c>
      <c r="I9" s="47">
        <f>COUNTIF(C9:H9,"=Met")</f>
        <v>0</v>
      </c>
      <c r="J9" s="48">
        <f>IF(SUM(I9,K9)=0,0,I9/SUM(I9,K9))</f>
        <v>0</v>
      </c>
      <c r="K9" s="41">
        <f>COUNTIF(C9:H9,"=Not Met")</f>
        <v>0</v>
      </c>
      <c r="L9" s="48">
        <f t="shared" ref="L9" si="0">IF(SUM(I9,K9)=0,0,K9/SUM(I9,K9))</f>
        <v>0</v>
      </c>
      <c r="M9" s="49">
        <f>COUNTIF(C9:H9,"=N/A")</f>
        <v>0</v>
      </c>
    </row>
    <row r="10" spans="1:58" s="10" customFormat="1" ht="26.25" thickBot="1">
      <c r="A10" s="156" t="s">
        <v>19</v>
      </c>
      <c r="B10" s="309" t="s">
        <v>207</v>
      </c>
      <c r="C10" s="179" t="str">
        <f>IF(COUNTIF(C11:C15,"NO")=1,"NOT MET",IF(COUNTIF(C11:C15,"YES")=5,"MET",""))</f>
        <v/>
      </c>
      <c r="D10" s="179" t="str">
        <f t="shared" ref="D10:H10" si="1">IF(COUNTIF(D11:D15,"NO")=1,"NOT MET",IF(COUNTIF(D11:D15,"YES")=5,"MET",""))</f>
        <v/>
      </c>
      <c r="E10" s="179" t="str">
        <f t="shared" si="1"/>
        <v/>
      </c>
      <c r="F10" s="179" t="str">
        <f t="shared" si="1"/>
        <v/>
      </c>
      <c r="G10" s="179" t="str">
        <f t="shared" si="1"/>
        <v/>
      </c>
      <c r="H10" s="179" t="str">
        <f t="shared" si="1"/>
        <v/>
      </c>
      <c r="I10" s="527"/>
      <c r="J10" s="528"/>
      <c r="K10" s="529"/>
      <c r="L10" s="528"/>
      <c r="M10" s="530"/>
    </row>
    <row r="11" spans="1:58" s="10" customFormat="1" ht="25.5">
      <c r="A11" s="156" t="s">
        <v>366</v>
      </c>
      <c r="B11" s="36" t="s">
        <v>204</v>
      </c>
      <c r="C11" s="388" t="str">
        <f>IF(C9="MET","YES",IF(C9="NOT MET","NO",IF(C9="","")))</f>
        <v/>
      </c>
      <c r="D11" s="388" t="str">
        <f t="shared" ref="D11:H11" si="2">IF(D9="MET","YES",IF(D9="NOT MET","NO",IF(D9="","")))</f>
        <v/>
      </c>
      <c r="E11" s="388" t="str">
        <f t="shared" si="2"/>
        <v/>
      </c>
      <c r="F11" s="388" t="str">
        <f t="shared" si="2"/>
        <v/>
      </c>
      <c r="G11" s="388" t="str">
        <f t="shared" si="2"/>
        <v/>
      </c>
      <c r="H11" s="388" t="str">
        <f t="shared" si="2"/>
        <v/>
      </c>
      <c r="I11" s="444"/>
      <c r="J11" s="445"/>
      <c r="K11" s="446"/>
      <c r="L11" s="445"/>
      <c r="M11" s="447"/>
    </row>
    <row r="12" spans="1:58" s="10" customFormat="1">
      <c r="A12" s="156" t="s">
        <v>367</v>
      </c>
      <c r="B12" s="36" t="s">
        <v>250</v>
      </c>
      <c r="C12" s="35"/>
      <c r="D12" s="50"/>
      <c r="E12" s="50"/>
      <c r="F12" s="50"/>
      <c r="G12" s="50"/>
      <c r="H12" s="144"/>
      <c r="I12" s="42">
        <f>COUNTIF(C12:H12,"=YES")</f>
        <v>0</v>
      </c>
      <c r="J12" s="40">
        <f t="shared" ref="J12:J14" si="3">IF(SUM(I12,K12)=0,0,I12/SUM(I12,K12))</f>
        <v>0</v>
      </c>
      <c r="K12" s="42">
        <f>COUNTIF(C12:H12,"=No")</f>
        <v>0</v>
      </c>
      <c r="L12" s="40">
        <f t="shared" ref="L12:L14" si="4">IF(SUM(I12,K12)=0,0,K12/SUM(I12,K12))</f>
        <v>0</v>
      </c>
      <c r="M12" s="42">
        <f t="shared" ref="M12:M14" si="5">COUNTIF(C12:H12,"=N/A")</f>
        <v>0</v>
      </c>
    </row>
    <row r="13" spans="1:58" s="10" customFormat="1">
      <c r="A13" s="385" t="s">
        <v>368</v>
      </c>
      <c r="B13" s="386" t="s">
        <v>381</v>
      </c>
      <c r="C13" s="384"/>
      <c r="D13" s="384"/>
      <c r="E13" s="384"/>
      <c r="F13" s="384"/>
      <c r="G13" s="384"/>
      <c r="H13" s="384"/>
      <c r="I13" s="42">
        <f t="shared" ref="I13:I14" si="6">COUNTIF(C13:H13,"=YES")</f>
        <v>0</v>
      </c>
      <c r="J13" s="40">
        <f t="shared" si="3"/>
        <v>0</v>
      </c>
      <c r="K13" s="42">
        <f t="shared" ref="K13:K14" si="7">COUNTIF(C13:H13,"=No")</f>
        <v>0</v>
      </c>
      <c r="L13" s="40">
        <f t="shared" si="4"/>
        <v>0</v>
      </c>
      <c r="M13" s="42">
        <f t="shared" si="5"/>
        <v>0</v>
      </c>
    </row>
    <row r="14" spans="1:58" s="10" customFormat="1" ht="25.5">
      <c r="A14" s="385" t="s">
        <v>369</v>
      </c>
      <c r="B14" s="387" t="s">
        <v>382</v>
      </c>
      <c r="C14" s="384"/>
      <c r="D14" s="384"/>
      <c r="E14" s="384"/>
      <c r="F14" s="384"/>
      <c r="G14" s="384"/>
      <c r="H14" s="384"/>
      <c r="I14" s="42">
        <f t="shared" si="6"/>
        <v>0</v>
      </c>
      <c r="J14" s="40">
        <f t="shared" si="3"/>
        <v>0</v>
      </c>
      <c r="K14" s="42">
        <f t="shared" si="7"/>
        <v>0</v>
      </c>
      <c r="L14" s="40">
        <f t="shared" si="4"/>
        <v>0</v>
      </c>
      <c r="M14" s="42">
        <f t="shared" si="5"/>
        <v>0</v>
      </c>
    </row>
    <row r="15" spans="1:58" s="43" customFormat="1" ht="26.25" thickBot="1">
      <c r="A15" s="385" t="s">
        <v>387</v>
      </c>
      <c r="B15" s="397" t="s">
        <v>385</v>
      </c>
      <c r="C15" s="177"/>
      <c r="D15" s="177"/>
      <c r="E15" s="177"/>
      <c r="F15" s="177"/>
      <c r="G15" s="177"/>
      <c r="H15" s="177"/>
      <c r="I15" s="42">
        <f t="shared" ref="I15" si="8">COUNTIF(C15:H15,"=YES")</f>
        <v>0</v>
      </c>
      <c r="J15" s="40">
        <f t="shared" ref="J15" si="9">IF(SUM(I15,K15)=0,0,I15/SUM(I15,K15))</f>
        <v>0</v>
      </c>
      <c r="K15" s="42">
        <f t="shared" ref="K15" si="10">COUNTIF(C15:H15,"=No")</f>
        <v>0</v>
      </c>
      <c r="L15" s="40">
        <f t="shared" ref="L15" si="11">IF(SUM(I15,K15)=0,0,K15/SUM(I15,K15))</f>
        <v>0</v>
      </c>
      <c r="M15" s="42">
        <f t="shared" ref="M15" si="12">COUNTIF(C15:H15,"=N/A")</f>
        <v>0</v>
      </c>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10" customFormat="1" ht="13.9" customHeight="1" thickBot="1">
      <c r="A16" s="491"/>
      <c r="B16" s="53" t="s">
        <v>24</v>
      </c>
      <c r="C16" s="378"/>
      <c r="D16" s="379"/>
      <c r="E16" s="379"/>
      <c r="F16" s="379"/>
      <c r="G16" s="379"/>
      <c r="H16" s="380"/>
      <c r="I16" s="54"/>
      <c r="J16" s="54"/>
      <c r="K16" s="54"/>
      <c r="L16" s="54"/>
      <c r="M16" s="54"/>
    </row>
    <row r="17" spans="1:13" s="10" customFormat="1" ht="13.9" customHeight="1" thickBot="1">
      <c r="A17" s="491"/>
      <c r="B17" s="53"/>
      <c r="C17" s="55"/>
      <c r="D17" s="55"/>
      <c r="E17" s="55"/>
      <c r="F17" s="55"/>
      <c r="G17" s="55"/>
      <c r="H17" s="55"/>
      <c r="I17" s="54"/>
      <c r="J17" s="54"/>
      <c r="K17" s="54"/>
      <c r="L17" s="54"/>
      <c r="M17" s="54"/>
    </row>
    <row r="18" spans="1:13" s="10" customFormat="1" ht="13.9" customHeight="1">
      <c r="A18" s="491"/>
      <c r="B18" s="56" t="s">
        <v>25</v>
      </c>
      <c r="C18" s="57">
        <f t="shared" ref="C18:H18" si="13">COUNTIF(C9:C15,"=Met")</f>
        <v>0</v>
      </c>
      <c r="D18" s="58">
        <f t="shared" si="13"/>
        <v>0</v>
      </c>
      <c r="E18" s="58">
        <f t="shared" si="13"/>
        <v>0</v>
      </c>
      <c r="F18" s="58">
        <f t="shared" si="13"/>
        <v>0</v>
      </c>
      <c r="G18" s="58">
        <f t="shared" si="13"/>
        <v>0</v>
      </c>
      <c r="H18" s="150">
        <f t="shared" si="13"/>
        <v>0</v>
      </c>
      <c r="I18" s="59"/>
      <c r="J18" s="60"/>
      <c r="K18" s="60"/>
      <c r="L18" s="60"/>
      <c r="M18" s="60"/>
    </row>
    <row r="19" spans="1:13" s="10" customFormat="1" ht="13.9" customHeight="1">
      <c r="A19" s="491"/>
      <c r="B19" s="56" t="s">
        <v>26</v>
      </c>
      <c r="C19" s="61">
        <f t="shared" ref="C19:H19" si="14">IF(SUM(C18,C20)=0,0,C18/SUM(C18,C20))</f>
        <v>0</v>
      </c>
      <c r="D19" s="62">
        <f t="shared" si="14"/>
        <v>0</v>
      </c>
      <c r="E19" s="62">
        <f t="shared" si="14"/>
        <v>0</v>
      </c>
      <c r="F19" s="62">
        <f t="shared" si="14"/>
        <v>0</v>
      </c>
      <c r="G19" s="62">
        <f t="shared" si="14"/>
        <v>0</v>
      </c>
      <c r="H19" s="151">
        <f t="shared" si="14"/>
        <v>0</v>
      </c>
      <c r="I19" s="59"/>
      <c r="J19" s="60"/>
      <c r="K19" s="60"/>
      <c r="L19" s="60"/>
      <c r="M19" s="60"/>
    </row>
    <row r="20" spans="1:13" s="10" customFormat="1" ht="13.9" customHeight="1">
      <c r="A20" s="491"/>
      <c r="B20" s="56" t="s">
        <v>27</v>
      </c>
      <c r="C20" s="63">
        <f t="shared" ref="C20:H20" si="15">COUNTIF(C9:C15,"=Not Met")</f>
        <v>0</v>
      </c>
      <c r="D20" s="64">
        <f t="shared" si="15"/>
        <v>0</v>
      </c>
      <c r="E20" s="64">
        <f t="shared" si="15"/>
        <v>0</v>
      </c>
      <c r="F20" s="64">
        <f t="shared" si="15"/>
        <v>0</v>
      </c>
      <c r="G20" s="64">
        <f t="shared" si="15"/>
        <v>0</v>
      </c>
      <c r="H20" s="152">
        <f t="shared" si="15"/>
        <v>0</v>
      </c>
      <c r="I20" s="59"/>
      <c r="J20" s="60"/>
      <c r="K20" s="60"/>
      <c r="L20" s="60"/>
      <c r="M20" s="60"/>
    </row>
    <row r="21" spans="1:13" s="10" customFormat="1" ht="13.9" customHeight="1">
      <c r="A21" s="491"/>
      <c r="B21" s="56" t="s">
        <v>28</v>
      </c>
      <c r="C21" s="61">
        <f t="shared" ref="C21:H21" si="16">IF(SUM(C18,C20)=0,0,C20/SUM(C18,C20))</f>
        <v>0</v>
      </c>
      <c r="D21" s="62">
        <f t="shared" si="16"/>
        <v>0</v>
      </c>
      <c r="E21" s="62">
        <f t="shared" si="16"/>
        <v>0</v>
      </c>
      <c r="F21" s="62">
        <f t="shared" si="16"/>
        <v>0</v>
      </c>
      <c r="G21" s="62">
        <f t="shared" si="16"/>
        <v>0</v>
      </c>
      <c r="H21" s="151">
        <f t="shared" si="16"/>
        <v>0</v>
      </c>
      <c r="I21" s="59"/>
      <c r="J21" s="60"/>
      <c r="K21" s="60"/>
      <c r="L21" s="60"/>
      <c r="M21" s="60"/>
    </row>
    <row r="22" spans="1:13" s="10" customFormat="1" ht="13.9" customHeight="1" thickBot="1">
      <c r="A22" s="491"/>
      <c r="B22" s="56" t="s">
        <v>29</v>
      </c>
      <c r="C22" s="65">
        <f t="shared" ref="C22:H22" si="17">COUNTIF(C9:C15,"=N/A")</f>
        <v>0</v>
      </c>
      <c r="D22" s="66">
        <f t="shared" si="17"/>
        <v>0</v>
      </c>
      <c r="E22" s="66">
        <f t="shared" si="17"/>
        <v>0</v>
      </c>
      <c r="F22" s="66">
        <f t="shared" si="17"/>
        <v>0</v>
      </c>
      <c r="G22" s="66">
        <f t="shared" si="17"/>
        <v>0</v>
      </c>
      <c r="H22" s="153">
        <f t="shared" si="17"/>
        <v>0</v>
      </c>
      <c r="I22" s="67"/>
      <c r="J22" s="68"/>
      <c r="K22" s="68"/>
      <c r="L22" s="68"/>
      <c r="M22" s="68"/>
    </row>
    <row r="23" spans="1:13" s="10" customFormat="1" ht="13.9" customHeight="1">
      <c r="A23" s="545"/>
      <c r="B23" s="545"/>
      <c r="C23" s="545"/>
      <c r="D23" s="545"/>
      <c r="E23" s="545"/>
      <c r="F23" s="545"/>
      <c r="G23" s="545"/>
      <c r="H23" s="545"/>
      <c r="I23" s="545"/>
      <c r="J23" s="545"/>
      <c r="K23" s="545"/>
      <c r="L23" s="545"/>
      <c r="M23" s="545"/>
    </row>
    <row r="24" spans="1:13" s="10" customFormat="1" ht="25.15" customHeight="1">
      <c r="A24" s="211"/>
      <c r="B24" s="212" t="s">
        <v>152</v>
      </c>
      <c r="C24" s="215" t="s">
        <v>18</v>
      </c>
      <c r="D24" s="546"/>
      <c r="E24" s="547"/>
      <c r="F24" s="547"/>
      <c r="G24" s="547"/>
      <c r="H24" s="547"/>
      <c r="I24" s="547"/>
      <c r="J24" s="547"/>
      <c r="K24" s="547"/>
      <c r="L24" s="547"/>
      <c r="M24" s="548"/>
    </row>
    <row r="25" spans="1:13" s="10" customFormat="1" ht="25.15" customHeight="1">
      <c r="A25" s="211"/>
      <c r="B25" s="213"/>
      <c r="C25" s="216" t="s">
        <v>19</v>
      </c>
      <c r="D25" s="539"/>
      <c r="E25" s="540"/>
      <c r="F25" s="540"/>
      <c r="G25" s="540"/>
      <c r="H25" s="540"/>
      <c r="I25" s="540"/>
      <c r="J25" s="540"/>
      <c r="K25" s="540"/>
      <c r="L25" s="540"/>
      <c r="M25" s="541"/>
    </row>
    <row r="26" spans="1:13" s="10" customFormat="1" ht="25.15" customHeight="1">
      <c r="A26" s="211"/>
      <c r="B26" s="213"/>
      <c r="C26" s="216" t="s">
        <v>20</v>
      </c>
      <c r="D26" s="539"/>
      <c r="E26" s="540"/>
      <c r="F26" s="540"/>
      <c r="G26" s="540"/>
      <c r="H26" s="540"/>
      <c r="I26" s="540"/>
      <c r="J26" s="540"/>
      <c r="K26" s="540"/>
      <c r="L26" s="540"/>
      <c r="M26" s="541"/>
    </row>
    <row r="27" spans="1:13" s="10" customFormat="1" ht="25.15" customHeight="1">
      <c r="A27" s="211"/>
      <c r="B27" s="213"/>
      <c r="C27" s="216" t="s">
        <v>21</v>
      </c>
      <c r="D27" s="539"/>
      <c r="E27" s="540"/>
      <c r="F27" s="540"/>
      <c r="G27" s="540"/>
      <c r="H27" s="540"/>
      <c r="I27" s="540"/>
      <c r="J27" s="540"/>
      <c r="K27" s="540"/>
      <c r="L27" s="540"/>
      <c r="M27" s="541"/>
    </row>
    <row r="28" spans="1:13" s="10" customFormat="1" ht="25.15" customHeight="1">
      <c r="A28" s="211"/>
      <c r="B28" s="213"/>
      <c r="C28" s="216" t="s">
        <v>22</v>
      </c>
      <c r="D28" s="539"/>
      <c r="E28" s="540"/>
      <c r="F28" s="540"/>
      <c r="G28" s="540"/>
      <c r="H28" s="540"/>
      <c r="I28" s="540"/>
      <c r="J28" s="540"/>
      <c r="K28" s="540"/>
      <c r="L28" s="540"/>
      <c r="M28" s="541"/>
    </row>
    <row r="29" spans="1:13" s="10" customFormat="1" ht="25.15" customHeight="1">
      <c r="A29" s="211"/>
      <c r="B29" s="213"/>
      <c r="C29" s="217" t="s">
        <v>23</v>
      </c>
      <c r="D29" s="542"/>
      <c r="E29" s="543"/>
      <c r="F29" s="543"/>
      <c r="G29" s="543"/>
      <c r="H29" s="543"/>
      <c r="I29" s="543"/>
      <c r="J29" s="543"/>
      <c r="K29" s="543"/>
      <c r="L29" s="543"/>
      <c r="M29" s="544"/>
    </row>
  </sheetData>
  <sheetProtection sheet="1" objects="1" scenarios="1"/>
  <mergeCells count="7">
    <mergeCell ref="D29:M29"/>
    <mergeCell ref="A23:M23"/>
    <mergeCell ref="D24:M24"/>
    <mergeCell ref="D25:M25"/>
    <mergeCell ref="D26:M26"/>
    <mergeCell ref="D27:M27"/>
    <mergeCell ref="D28:M28"/>
  </mergeCells>
  <conditionalFormatting sqref="C15:H15">
    <cfRule type="expression" dxfId="262" priority="12" stopIfTrue="1">
      <formula>AND(C$9&lt;&gt;"",C15="")</formula>
    </cfRule>
    <cfRule type="cellIs" dxfId="261" priority="14" stopIfTrue="1" operator="equal">
      <formula>"N/A"</formula>
    </cfRule>
  </conditionalFormatting>
  <conditionalFormatting sqref="C15:H15">
    <cfRule type="cellIs" dxfId="260" priority="13" stopIfTrue="1" operator="equal">
      <formula>"Not Met"</formula>
    </cfRule>
  </conditionalFormatting>
  <conditionalFormatting sqref="C12:H14 C9:H9">
    <cfRule type="cellIs" dxfId="259" priority="5" stopIfTrue="1" operator="equal">
      <formula>"Not Met"</formula>
    </cfRule>
  </conditionalFormatting>
  <conditionalFormatting sqref="C10:H10">
    <cfRule type="cellIs" dxfId="258" priority="2" stopIfTrue="1" operator="equal">
      <formula>"Not Met"</formula>
    </cfRule>
  </conditionalFormatting>
  <conditionalFormatting sqref="C12:H14">
    <cfRule type="expression" dxfId="257" priority="4" stopIfTrue="1">
      <formula>AND(C$9&lt;&gt;"",C12="")</formula>
    </cfRule>
    <cfRule type="cellIs" dxfId="256" priority="6" stopIfTrue="1" operator="equal">
      <formula>"N/A"</formula>
    </cfRule>
  </conditionalFormatting>
  <conditionalFormatting sqref="C9:H9">
    <cfRule type="expression" dxfId="255" priority="3" stopIfTrue="1">
      <formula>OR(C9="",C9="N/A")</formula>
    </cfRule>
  </conditionalFormatting>
  <conditionalFormatting sqref="C10:H10">
    <cfRule type="expression" dxfId="254" priority="1" stopIfTrue="1">
      <formula>OR(C10="",C10="N/A")</formula>
    </cfRule>
  </conditionalFormatting>
  <dataValidations count="1">
    <dataValidation type="list" allowBlank="1" showInputMessage="1" showErrorMessage="1" sqref="C12:H15" xr:uid="{9930FF7A-8B0D-43E9-A21A-4C4E9563C48F}">
      <formula1>"YES,NO"</formula1>
    </dataValidation>
  </dataValidations>
  <printOptions horizontalCentered="1"/>
  <pageMargins left="0.2" right="0.2" top="0.3" bottom="0.25" header="0.25" footer="0"/>
  <pageSetup paperSize="5" scale="94" orientation="landscape" r:id="rId1"/>
  <headerFooter alignWithMargins="0">
    <oddFooter>&amp;L&amp;8&amp;K000000IDD Group Living - Low Continuation&amp;R&amp;8&amp;K000000&amp;P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H19"/>
  <sheetViews>
    <sheetView showGridLines="0" zoomScale="80" zoomScaleNormal="80" workbookViewId="0">
      <pane xSplit="2" ySplit="11" topLeftCell="C12" activePane="bottomRight" state="frozen"/>
      <selection activeCell="C6" sqref="C6"/>
      <selection pane="topRight" activeCell="C6" sqref="C6"/>
      <selection pane="bottomLeft" activeCell="C6" sqref="C6"/>
      <selection pane="bottomRight" activeCell="D13" sqref="D13"/>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247</v>
      </c>
      <c r="D1" s="535"/>
      <c r="E1" s="535"/>
      <c r="F1" s="535"/>
      <c r="G1" s="535"/>
      <c r="H1" s="535"/>
    </row>
    <row r="2" spans="1:8" ht="18" customHeight="1">
      <c r="A2" s="158"/>
      <c r="B2" s="159"/>
      <c r="C2" s="158" t="s">
        <v>248</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3"/>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4" activePane="bottomRight" state="frozen"/>
      <selection pane="bottomRight" activeCell="C13" sqref="C13:C17"/>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4" activePane="bottomRight" state="frozen"/>
      <selection pane="bottomRight" activeCell="C13" sqref="C13:C17"/>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53" priority="1" operator="equal">
      <formula>"NOT MET"</formula>
    </cfRule>
    <cfRule type="cellIs" dxfId="252" priority="2" operator="equal">
      <formula>"MET"</formula>
    </cfRule>
  </conditionalFormatting>
  <dataValidations count="2">
    <dataValidation type="list" allowBlank="1" showInputMessage="1" showErrorMessage="1" sqref="C13:H17" xr:uid="{00000000-0002-0000-0B00-000000000000}">
      <formula1>"YES, NO"</formula1>
    </dataValidation>
    <dataValidation type="list" allowBlank="1" showInputMessage="1" showErrorMessage="1" sqref="C7:H7" xr:uid="{00000000-0002-0000-0B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249977111117893"/>
  </sheetPr>
  <dimension ref="A1:M33"/>
  <sheetViews>
    <sheetView zoomScaleNormal="100" zoomScaleSheetLayoutView="50" workbookViewId="0">
      <pane xSplit="2" ySplit="8" topLeftCell="C9" activePane="bottomRight" state="frozen"/>
      <selection activeCell="C6" sqref="C6"/>
      <selection pane="topRight" activeCell="C6" sqref="C6"/>
      <selection pane="bottomLeft" activeCell="C6" sqref="C6"/>
      <selection pane="bottomRight" activeCell="I13" sqref="I13"/>
    </sheetView>
  </sheetViews>
  <sheetFormatPr defaultColWidth="8.85546875" defaultRowHeight="12.75"/>
  <cols>
    <col min="1" max="1" width="3.28515625" style="376" customWidth="1"/>
    <col min="2" max="2" width="75.7109375" style="69" customWidth="1"/>
    <col min="3" max="8" width="9.5703125" style="70" bestFit="1" customWidth="1"/>
    <col min="9" max="13" width="7.7109375" style="71" customWidth="1"/>
    <col min="14" max="16384" width="8.85546875" style="3"/>
  </cols>
  <sheetData>
    <row r="1" spans="1:13" ht="18" customHeight="1">
      <c r="A1" s="130"/>
      <c r="B1" s="131"/>
      <c r="C1" s="342" t="s">
        <v>259</v>
      </c>
      <c r="D1" s="340"/>
      <c r="E1" s="340"/>
      <c r="F1" s="340"/>
      <c r="G1" s="340"/>
      <c r="H1" s="340"/>
      <c r="I1" s="340"/>
      <c r="J1" s="340"/>
      <c r="K1" s="340"/>
      <c r="L1" s="340"/>
      <c r="M1" s="341"/>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43"/>
      <c r="J3" s="343"/>
      <c r="K3" s="343"/>
      <c r="L3" s="343"/>
      <c r="M3" s="34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5"/>
      <c r="J4" s="135"/>
      <c r="K4" s="135"/>
      <c r="L4" s="135"/>
      <c r="M4" s="137"/>
    </row>
    <row r="5" spans="1:13" s="8" customFormat="1" ht="14.85" customHeight="1">
      <c r="A5" s="18"/>
      <c r="B5" s="393" t="s">
        <v>189</v>
      </c>
      <c r="C5" s="399" t="str">
        <f>IF('Dev Day Initial Eligibil'!C6="","",'Dev Day Initial Eligibil'!C6)</f>
        <v/>
      </c>
      <c r="D5" s="400" t="str">
        <f>IF('Dev Day Initial Eligibil'!D6="","",'Dev Day Initial Eligibil'!D6)</f>
        <v/>
      </c>
      <c r="E5" s="356" t="str">
        <f>IF('Dev Day Initial Eligibil'!E6="","",'Dev Day Initial Eligibil'!E6)</f>
        <v/>
      </c>
      <c r="F5" s="356" t="str">
        <f>IF('Dev Day Initial Eligibil'!F6="","",'Dev Day Initial Eligibil'!F6)</f>
        <v/>
      </c>
      <c r="G5" s="356" t="str">
        <f>IF('Dev Day Initial Eligibil'!G6="","",'Dev Day Initial Eligibil'!G6)</f>
        <v/>
      </c>
      <c r="H5" s="401" t="str">
        <f>IF('Dev Day Initial Eligibil'!H6="","",'Dev Day Initial Eligibil'!H6)</f>
        <v/>
      </c>
      <c r="I5" s="16"/>
      <c r="J5" s="16"/>
      <c r="K5" s="16"/>
      <c r="L5" s="16"/>
      <c r="M5" s="17"/>
    </row>
    <row r="6" spans="1:13" s="8" customFormat="1" ht="14.85" customHeight="1">
      <c r="A6" s="18"/>
      <c r="B6" s="393" t="s">
        <v>190</v>
      </c>
      <c r="C6" s="19" t="str">
        <f>IF('Dev Day Initial Eligibil'!C7="","",'Dev Day Initial Eligibil'!C7)</f>
        <v/>
      </c>
      <c r="D6" s="244" t="str">
        <f>IF('Dev Day Initial Eligibil'!D7="","",'Dev Day Initial Eligibil'!D7)</f>
        <v/>
      </c>
      <c r="E6" s="244" t="str">
        <f>IF('Dev Day Initial Eligibil'!E7="","",'Dev Day Initial Eligibil'!E7)</f>
        <v/>
      </c>
      <c r="F6" s="244" t="str">
        <f>IF('Dev Day Initial Eligibil'!F7="","",'Dev Day Initial Eligibil'!F7)</f>
        <v/>
      </c>
      <c r="G6" s="244" t="str">
        <f>IF('Dev Day Initial Eligibil'!G7="","",'Dev Day Initial Eligibil'!G7)</f>
        <v/>
      </c>
      <c r="H6" s="402" t="str">
        <f>IF('Dev Day Initial Eligibil'!H7="","",'Dev Day Initial Eligibil'!H7)</f>
        <v/>
      </c>
      <c r="I6" s="16"/>
      <c r="J6" s="16"/>
      <c r="K6" s="16"/>
      <c r="L6" s="16"/>
      <c r="M6" s="17"/>
    </row>
    <row r="7" spans="1:13" s="8" customFormat="1" ht="14.85" customHeight="1" thickBot="1">
      <c r="A7" s="18"/>
      <c r="B7" s="393" t="s">
        <v>188</v>
      </c>
      <c r="C7" s="196" t="str">
        <f>IF('Dev Day Initial Eligibil'!C9="","",'Dev Day Initial Eligibil'!C9)</f>
        <v/>
      </c>
      <c r="D7" s="243" t="str">
        <f>IF('Dev Day Initial Eligibil'!D9="","",'Dev Day Initial Eligibil'!D9)</f>
        <v/>
      </c>
      <c r="E7" s="243" t="str">
        <f>IF('Dev Day Initial Eligibil'!E9="","",'Dev Day Initial Eligibil'!E9)</f>
        <v/>
      </c>
      <c r="F7" s="243" t="str">
        <f>IF('Dev Day Initial Eligibil'!F9="","",'Dev Day Initial Eligibil'!F9)</f>
        <v/>
      </c>
      <c r="G7" s="243" t="str">
        <f>IF('Dev Day Initial Eligibil'!G9="","",'Dev Day Initial Eligibil'!G9)</f>
        <v/>
      </c>
      <c r="H7" s="403" t="str">
        <f>IF('Dev Day Initial Eligibil'!H9="","",'Dev Day Initial Eligibil'!H9)</f>
        <v/>
      </c>
      <c r="I7" s="23" t="s">
        <v>10</v>
      </c>
      <c r="J7" s="16"/>
      <c r="K7" s="16"/>
      <c r="L7" s="16"/>
      <c r="M7" s="17"/>
    </row>
    <row r="8" spans="1:13" s="10" customFormat="1" ht="32.1" customHeight="1" thickBot="1">
      <c r="A8" s="25" t="s">
        <v>11</v>
      </c>
      <c r="B8" s="26" t="s">
        <v>12</v>
      </c>
      <c r="C8" s="27">
        <v>1</v>
      </c>
      <c r="D8" s="28">
        <v>2</v>
      </c>
      <c r="E8" s="28">
        <v>3</v>
      </c>
      <c r="F8" s="28">
        <v>4</v>
      </c>
      <c r="G8" s="28">
        <v>5</v>
      </c>
      <c r="H8" s="404">
        <v>6</v>
      </c>
      <c r="I8" s="31" t="s">
        <v>13</v>
      </c>
      <c r="J8" s="31" t="s">
        <v>14</v>
      </c>
      <c r="K8" s="32" t="s">
        <v>15</v>
      </c>
      <c r="L8" s="33" t="s">
        <v>16</v>
      </c>
      <c r="M8" s="34" t="s">
        <v>17</v>
      </c>
    </row>
    <row r="9" spans="1:13" s="37" customFormat="1" ht="25.5">
      <c r="A9" s="45" t="s">
        <v>18</v>
      </c>
      <c r="B9" s="394" t="s">
        <v>218</v>
      </c>
      <c r="C9" s="174" t="str">
        <f>IF('Dev Day Initial Eligibil'!C12=0,"",'Dev Day Initial Eligibil'!C12)</f>
        <v/>
      </c>
      <c r="D9" s="174" t="str">
        <f>IF('Dev Day Initial Eligibil'!D12=0,"",'Dev Day Initial Eligibil'!D12)</f>
        <v/>
      </c>
      <c r="E9" s="174" t="str">
        <f>IF('Dev Day Initial Eligibil'!E12=0,"",'Dev Day Initial Eligibil'!E12)</f>
        <v/>
      </c>
      <c r="F9" s="174" t="str">
        <f>IF('Dev Day Initial Eligibil'!F12=0,"",'Dev Day Initial Eligibil'!F12)</f>
        <v/>
      </c>
      <c r="G9" s="174" t="str">
        <f>IF('Dev Day Initial Eligibil'!G12=0,"",'Dev Day Initial Eligibil'!G12)</f>
        <v/>
      </c>
      <c r="H9" s="174" t="str">
        <f>IF('Dev Day Initial Eligibil'!H12=0,"",'Dev Day Initial Eligibil'!H12)</f>
        <v/>
      </c>
      <c r="I9" s="459">
        <f>COUNTIF(C9:H9,"=Met")</f>
        <v>0</v>
      </c>
      <c r="J9" s="438">
        <f>IF(SUM(I9,K9)=0,0,I9/SUM(I9,K9))</f>
        <v>0</v>
      </c>
      <c r="K9" s="439">
        <f>COUNTIF(C9:H9,"=Not Met")</f>
        <v>0</v>
      </c>
      <c r="L9" s="438">
        <f t="shared" ref="L9" si="0">IF(SUM(I9,K9)=0,0,K9/SUM(I9,K9))</f>
        <v>0</v>
      </c>
      <c r="M9" s="440">
        <f>COUNTIF(C9:H9,"=N/A")</f>
        <v>0</v>
      </c>
    </row>
    <row r="10" spans="1:13" s="10" customFormat="1" ht="25.5">
      <c r="A10" s="156" t="s">
        <v>19</v>
      </c>
      <c r="B10" s="395" t="s">
        <v>207</v>
      </c>
      <c r="C10" s="430" t="str">
        <f>IF(COUNTIF(C11:C13,"YES")=3,"MET",IF(COUNTIF(C11:C13,"NO")&gt;=1,"NOT MET",""))</f>
        <v/>
      </c>
      <c r="D10" s="430" t="str">
        <f t="shared" ref="D10:H10" si="1">IF(COUNTIF(D11:D13,"YES")=3,"MET",IF(COUNTIF(D11:D13,"NO")&gt;=1,"NOT MET",""))</f>
        <v/>
      </c>
      <c r="E10" s="430" t="str">
        <f t="shared" si="1"/>
        <v/>
      </c>
      <c r="F10" s="430" t="str">
        <f t="shared" si="1"/>
        <v/>
      </c>
      <c r="G10" s="430" t="str">
        <f t="shared" si="1"/>
        <v/>
      </c>
      <c r="H10" s="511" t="str">
        <f t="shared" si="1"/>
        <v/>
      </c>
      <c r="I10" s="512"/>
      <c r="J10" s="513"/>
      <c r="K10" s="514"/>
      <c r="L10" s="513"/>
      <c r="M10" s="515"/>
    </row>
    <row r="11" spans="1:13" s="10" customFormat="1" ht="51">
      <c r="A11" s="156" t="s">
        <v>192</v>
      </c>
      <c r="B11" s="36" t="s">
        <v>318</v>
      </c>
      <c r="C11" s="432" t="str">
        <f t="shared" ref="C11:H11" si="2">IF(C9="MET","YES",IF(C9="NOT MET","NO",IF(C9="","")))</f>
        <v/>
      </c>
      <c r="D11" s="432" t="str">
        <f t="shared" si="2"/>
        <v/>
      </c>
      <c r="E11" s="432" t="str">
        <f t="shared" si="2"/>
        <v/>
      </c>
      <c r="F11" s="432" t="str">
        <f t="shared" si="2"/>
        <v/>
      </c>
      <c r="G11" s="432" t="str">
        <f t="shared" si="2"/>
        <v/>
      </c>
      <c r="H11" s="510" t="str">
        <f t="shared" si="2"/>
        <v/>
      </c>
      <c r="I11" s="42">
        <f>COUNTIF(C11:H11,"=Yes")</f>
        <v>0</v>
      </c>
      <c r="J11" s="40">
        <f t="shared" ref="J11" si="3">IF(SUM(I11,K11)=0,0,I11/SUM(I11,K11))</f>
        <v>0</v>
      </c>
      <c r="K11" s="42">
        <f>COUNTIF(C11:H11,"=No")</f>
        <v>0</v>
      </c>
      <c r="L11" s="40">
        <f t="shared" ref="L11" si="4">IF(SUM(I11,K11)=0,0,K11/SUM(I11,K11))</f>
        <v>0</v>
      </c>
      <c r="M11" s="42">
        <f>COUNTIF(C11:H11,"=N/A")</f>
        <v>0</v>
      </c>
    </row>
    <row r="12" spans="1:13" s="10" customFormat="1" ht="51">
      <c r="A12" s="156" t="s">
        <v>195</v>
      </c>
      <c r="B12" s="36" t="s">
        <v>254</v>
      </c>
      <c r="C12" s="35"/>
      <c r="D12" s="35"/>
      <c r="E12" s="35"/>
      <c r="F12" s="35"/>
      <c r="G12" s="35"/>
      <c r="H12" s="468"/>
      <c r="I12" s="42">
        <f t="shared" ref="I12:I13" si="5">COUNTIF(C12:H12,"=Yes")</f>
        <v>0</v>
      </c>
      <c r="J12" s="40">
        <f t="shared" ref="J12:J13" si="6">IF(SUM(I12,K12)=0,0,I12/SUM(I12,K12))</f>
        <v>0</v>
      </c>
      <c r="K12" s="42">
        <f t="shared" ref="K12:K13" si="7">COUNTIF(C12:H12,"=No")</f>
        <v>0</v>
      </c>
      <c r="L12" s="40">
        <f t="shared" ref="L12:L13" si="8">IF(SUM(I12,K12)=0,0,K12/SUM(I12,K12))</f>
        <v>0</v>
      </c>
      <c r="M12" s="42">
        <f t="shared" ref="M12:M13" si="9">COUNTIF(C12:H12,"=N/A")</f>
        <v>0</v>
      </c>
    </row>
    <row r="13" spans="1:13" s="10" customFormat="1">
      <c r="A13" s="156" t="s">
        <v>251</v>
      </c>
      <c r="B13" s="390" t="s">
        <v>255</v>
      </c>
      <c r="C13" s="179" t="str">
        <f>IF(COUNTIF(C14:C16, "NO")=3,"NO",IF(COUNTIF(C14:C16, "YES")&gt;=1, "YES",IF(COUNTIF(C14:C16,"=N/A")=3,"N/A","")))</f>
        <v/>
      </c>
      <c r="D13" s="179" t="str">
        <f t="shared" ref="D13:H13" si="10">IF(COUNTIF(D14:D16, "NO")=3,"NO",IF(COUNTIF(D14:D16, "YES")&gt;=1, "YES",IF(COUNTIF(D14:D16,"=N/A")=3,"N/A","")))</f>
        <v/>
      </c>
      <c r="E13" s="179" t="str">
        <f t="shared" si="10"/>
        <v/>
      </c>
      <c r="F13" s="179" t="str">
        <f t="shared" si="10"/>
        <v/>
      </c>
      <c r="G13" s="179" t="str">
        <f t="shared" si="10"/>
        <v/>
      </c>
      <c r="H13" s="467" t="str">
        <f t="shared" si="10"/>
        <v/>
      </c>
      <c r="I13" s="42">
        <f t="shared" si="5"/>
        <v>0</v>
      </c>
      <c r="J13" s="40">
        <f t="shared" si="6"/>
        <v>0</v>
      </c>
      <c r="K13" s="42">
        <f t="shared" si="7"/>
        <v>0</v>
      </c>
      <c r="L13" s="40">
        <f t="shared" si="8"/>
        <v>0</v>
      </c>
      <c r="M13" s="42">
        <f t="shared" si="9"/>
        <v>0</v>
      </c>
    </row>
    <row r="14" spans="1:13" s="10" customFormat="1" ht="25.5">
      <c r="A14" s="303" t="s">
        <v>192</v>
      </c>
      <c r="B14" s="396" t="s">
        <v>319</v>
      </c>
      <c r="C14" s="35"/>
      <c r="D14" s="35"/>
      <c r="E14" s="35"/>
      <c r="F14" s="35"/>
      <c r="G14" s="35"/>
      <c r="H14" s="468"/>
      <c r="I14" s="448"/>
      <c r="J14" s="415"/>
      <c r="K14" s="414"/>
      <c r="L14" s="415"/>
      <c r="M14" s="449"/>
    </row>
    <row r="15" spans="1:13" s="10" customFormat="1" ht="25.5">
      <c r="A15" s="303" t="s">
        <v>195</v>
      </c>
      <c r="B15" s="397" t="s">
        <v>320</v>
      </c>
      <c r="C15" s="35"/>
      <c r="D15" s="35"/>
      <c r="E15" s="35"/>
      <c r="F15" s="35"/>
      <c r="G15" s="35"/>
      <c r="H15" s="468"/>
      <c r="I15" s="448"/>
      <c r="J15" s="415"/>
      <c r="K15" s="414"/>
      <c r="L15" s="415"/>
      <c r="M15" s="449"/>
    </row>
    <row r="16" spans="1:13" s="10" customFormat="1" ht="13.5" thickBot="1">
      <c r="A16" s="391" t="s">
        <v>196</v>
      </c>
      <c r="B16" s="397" t="s">
        <v>258</v>
      </c>
      <c r="C16" s="177"/>
      <c r="D16" s="177"/>
      <c r="E16" s="177"/>
      <c r="F16" s="177"/>
      <c r="G16" s="177"/>
      <c r="H16" s="469"/>
      <c r="I16" s="450"/>
      <c r="J16" s="451"/>
      <c r="K16" s="452"/>
      <c r="L16" s="451"/>
      <c r="M16" s="453"/>
    </row>
    <row r="17" spans="1:13" s="10" customFormat="1" ht="13.9" customHeight="1" thickBot="1">
      <c r="A17" s="376"/>
      <c r="B17" s="53" t="s">
        <v>24</v>
      </c>
      <c r="C17" s="378"/>
      <c r="D17" s="379"/>
      <c r="E17" s="379"/>
      <c r="F17" s="379"/>
      <c r="G17" s="379"/>
      <c r="H17" s="392"/>
      <c r="I17" s="248"/>
      <c r="J17" s="248"/>
      <c r="K17" s="248"/>
      <c r="L17" s="248"/>
      <c r="M17" s="249"/>
    </row>
    <row r="18" spans="1:13" s="10" customFormat="1" ht="13.9" customHeight="1" thickBot="1">
      <c r="A18" s="376"/>
      <c r="B18" s="53"/>
      <c r="C18" s="55"/>
      <c r="D18" s="55"/>
      <c r="E18" s="55"/>
      <c r="F18" s="55"/>
      <c r="G18" s="55"/>
      <c r="H18" s="55"/>
      <c r="I18" s="54"/>
      <c r="J18" s="54"/>
      <c r="K18" s="54"/>
      <c r="L18" s="54"/>
      <c r="M18" s="54"/>
    </row>
    <row r="19" spans="1:13" s="10" customFormat="1" ht="13.9" customHeight="1">
      <c r="A19" s="376"/>
      <c r="B19" s="56" t="s">
        <v>25</v>
      </c>
      <c r="C19" s="57">
        <f t="shared" ref="C19:H19" si="11">COUNTIF(C9:C16,"=Met")</f>
        <v>0</v>
      </c>
      <c r="D19" s="58">
        <f t="shared" si="11"/>
        <v>0</v>
      </c>
      <c r="E19" s="58">
        <f t="shared" si="11"/>
        <v>0</v>
      </c>
      <c r="F19" s="58">
        <f t="shared" si="11"/>
        <v>0</v>
      </c>
      <c r="G19" s="58">
        <f t="shared" si="11"/>
        <v>0</v>
      </c>
      <c r="H19" s="150">
        <f t="shared" si="11"/>
        <v>0</v>
      </c>
      <c r="I19" s="59"/>
      <c r="J19" s="60"/>
      <c r="K19" s="60"/>
      <c r="L19" s="60"/>
      <c r="M19" s="60"/>
    </row>
    <row r="20" spans="1:13" s="10" customFormat="1" ht="13.9" customHeight="1">
      <c r="A20" s="376"/>
      <c r="B20" s="56" t="s">
        <v>26</v>
      </c>
      <c r="C20" s="61">
        <f t="shared" ref="C20:H20" si="12">IF(SUM(C19,C21)=0,0,C19/SUM(C19,C21))</f>
        <v>0</v>
      </c>
      <c r="D20" s="62">
        <f t="shared" si="12"/>
        <v>0</v>
      </c>
      <c r="E20" s="62">
        <f t="shared" si="12"/>
        <v>0</v>
      </c>
      <c r="F20" s="62">
        <f t="shared" si="12"/>
        <v>0</v>
      </c>
      <c r="G20" s="62">
        <f t="shared" si="12"/>
        <v>0</v>
      </c>
      <c r="H20" s="151">
        <f t="shared" si="12"/>
        <v>0</v>
      </c>
      <c r="I20" s="59"/>
      <c r="J20" s="60"/>
      <c r="K20" s="60"/>
      <c r="L20" s="60"/>
      <c r="M20" s="60"/>
    </row>
    <row r="21" spans="1:13" s="10" customFormat="1" ht="13.9" customHeight="1">
      <c r="A21" s="376"/>
      <c r="B21" s="56" t="s">
        <v>27</v>
      </c>
      <c r="C21" s="63">
        <f t="shared" ref="C21:H21" si="13">COUNTIF(C9:C16,"=Not Met")</f>
        <v>0</v>
      </c>
      <c r="D21" s="64">
        <f t="shared" si="13"/>
        <v>0</v>
      </c>
      <c r="E21" s="64">
        <f t="shared" si="13"/>
        <v>0</v>
      </c>
      <c r="F21" s="64">
        <f t="shared" si="13"/>
        <v>0</v>
      </c>
      <c r="G21" s="64">
        <f t="shared" si="13"/>
        <v>0</v>
      </c>
      <c r="H21" s="152">
        <f t="shared" si="13"/>
        <v>0</v>
      </c>
      <c r="I21" s="59"/>
      <c r="J21" s="60"/>
      <c r="K21" s="60"/>
      <c r="L21" s="60"/>
      <c r="M21" s="60"/>
    </row>
    <row r="22" spans="1:13" s="10" customFormat="1" ht="13.9" customHeight="1">
      <c r="A22" s="376"/>
      <c r="B22" s="56" t="s">
        <v>28</v>
      </c>
      <c r="C22" s="61">
        <f t="shared" ref="C22:H22" si="14">IF(SUM(C19,C21)=0,0,C21/SUM(C19,C21))</f>
        <v>0</v>
      </c>
      <c r="D22" s="62">
        <f t="shared" si="14"/>
        <v>0</v>
      </c>
      <c r="E22" s="62">
        <f t="shared" si="14"/>
        <v>0</v>
      </c>
      <c r="F22" s="62">
        <f t="shared" si="14"/>
        <v>0</v>
      </c>
      <c r="G22" s="62">
        <f t="shared" si="14"/>
        <v>0</v>
      </c>
      <c r="H22" s="151">
        <f t="shared" si="14"/>
        <v>0</v>
      </c>
      <c r="I22" s="59"/>
      <c r="J22" s="60"/>
      <c r="K22" s="60"/>
      <c r="L22" s="60"/>
      <c r="M22" s="60"/>
    </row>
    <row r="23" spans="1:13" s="10" customFormat="1" ht="13.9" customHeight="1" thickBot="1">
      <c r="A23" s="376"/>
      <c r="B23" s="56" t="s">
        <v>29</v>
      </c>
      <c r="C23" s="65">
        <f t="shared" ref="C23:H23" si="15">COUNTIF(C9:C16,"=N/A")</f>
        <v>0</v>
      </c>
      <c r="D23" s="66">
        <f t="shared" si="15"/>
        <v>0</v>
      </c>
      <c r="E23" s="66">
        <f t="shared" si="15"/>
        <v>0</v>
      </c>
      <c r="F23" s="66">
        <f t="shared" si="15"/>
        <v>0</v>
      </c>
      <c r="G23" s="66">
        <f t="shared" si="15"/>
        <v>0</v>
      </c>
      <c r="H23" s="153">
        <f t="shared" si="15"/>
        <v>0</v>
      </c>
      <c r="I23" s="67"/>
      <c r="J23" s="68"/>
      <c r="K23" s="68"/>
      <c r="L23" s="68"/>
      <c r="M23" s="68"/>
    </row>
    <row r="24" spans="1:13" s="10" customFormat="1" ht="13.9" customHeight="1">
      <c r="A24" s="545"/>
      <c r="B24" s="545"/>
      <c r="C24" s="545"/>
      <c r="D24" s="545"/>
      <c r="E24" s="545"/>
      <c r="F24" s="545"/>
      <c r="G24" s="545"/>
      <c r="H24" s="545"/>
      <c r="I24" s="545"/>
      <c r="J24" s="545"/>
      <c r="K24" s="545"/>
      <c r="L24" s="545"/>
      <c r="M24" s="545"/>
    </row>
    <row r="25" spans="1:13" s="10" customFormat="1" ht="25.15" customHeight="1">
      <c r="A25" s="211"/>
      <c r="B25" s="212" t="s">
        <v>152</v>
      </c>
      <c r="C25" s="215" t="s">
        <v>18</v>
      </c>
      <c r="D25" s="546"/>
      <c r="E25" s="547"/>
      <c r="F25" s="547"/>
      <c r="G25" s="547"/>
      <c r="H25" s="547"/>
      <c r="I25" s="547"/>
      <c r="J25" s="547"/>
      <c r="K25" s="547"/>
      <c r="L25" s="547"/>
      <c r="M25" s="548"/>
    </row>
    <row r="26" spans="1:13" s="10" customFormat="1" ht="25.15" customHeight="1">
      <c r="A26" s="211"/>
      <c r="B26" s="213"/>
      <c r="C26" s="216" t="s">
        <v>19</v>
      </c>
      <c r="D26" s="539"/>
      <c r="E26" s="540"/>
      <c r="F26" s="540"/>
      <c r="G26" s="540"/>
      <c r="H26" s="540"/>
      <c r="I26" s="540"/>
      <c r="J26" s="540"/>
      <c r="K26" s="540"/>
      <c r="L26" s="540"/>
      <c r="M26" s="541"/>
    </row>
    <row r="27" spans="1:13" s="10" customFormat="1" ht="25.15" customHeight="1">
      <c r="A27" s="211"/>
      <c r="B27" s="213"/>
      <c r="C27" s="216" t="s">
        <v>20</v>
      </c>
      <c r="D27" s="539"/>
      <c r="E27" s="540"/>
      <c r="F27" s="540"/>
      <c r="G27" s="540"/>
      <c r="H27" s="540"/>
      <c r="I27" s="540"/>
      <c r="J27" s="540"/>
      <c r="K27" s="540"/>
      <c r="L27" s="540"/>
      <c r="M27" s="541"/>
    </row>
    <row r="28" spans="1:13" s="10" customFormat="1" ht="25.15" customHeight="1">
      <c r="A28" s="211"/>
      <c r="B28" s="213"/>
      <c r="C28" s="216" t="s">
        <v>21</v>
      </c>
      <c r="D28" s="539"/>
      <c r="E28" s="540"/>
      <c r="F28" s="540"/>
      <c r="G28" s="540"/>
      <c r="H28" s="540"/>
      <c r="I28" s="540"/>
      <c r="J28" s="540"/>
      <c r="K28" s="540"/>
      <c r="L28" s="540"/>
      <c r="M28" s="541"/>
    </row>
    <row r="29" spans="1:13" s="10" customFormat="1" ht="25.15" customHeight="1">
      <c r="A29" s="211"/>
      <c r="B29" s="213"/>
      <c r="C29" s="216" t="s">
        <v>22</v>
      </c>
      <c r="D29" s="539"/>
      <c r="E29" s="540"/>
      <c r="F29" s="540"/>
      <c r="G29" s="540"/>
      <c r="H29" s="540"/>
      <c r="I29" s="540"/>
      <c r="J29" s="540"/>
      <c r="K29" s="540"/>
      <c r="L29" s="540"/>
      <c r="M29" s="541"/>
    </row>
    <row r="30" spans="1:13" ht="25.15" customHeight="1">
      <c r="A30" s="211"/>
      <c r="B30" s="214"/>
      <c r="C30" s="217" t="s">
        <v>23</v>
      </c>
      <c r="D30" s="542"/>
      <c r="E30" s="543"/>
      <c r="F30" s="543"/>
      <c r="G30" s="543"/>
      <c r="H30" s="543"/>
      <c r="I30" s="543"/>
      <c r="J30" s="543"/>
      <c r="K30" s="543"/>
      <c r="L30" s="543"/>
      <c r="M30" s="544"/>
    </row>
    <row r="31" spans="1:13">
      <c r="B31" s="163"/>
    </row>
    <row r="32" spans="1:13">
      <c r="B32" s="163"/>
    </row>
    <row r="33" spans="2:2">
      <c r="B33" s="163"/>
    </row>
  </sheetData>
  <sheetProtection sheet="1" objects="1" scenarios="1"/>
  <customSheetViews>
    <customSheetView guid="{2A3E70A9-51A3-4722-9775-16DBEA0F14B3}">
      <pane xSplit="2" ySplit="8" topLeftCell="C9" activePane="bottomRight" state="frozen"/>
      <selection pane="bottomRight" activeCell="C14" sqref="C14"/>
      <pageMargins left="0.2" right="0.2" top="0.3" bottom="0.35" header="0.25" footer="0"/>
      <printOptions horizontalCentered="1"/>
      <pageSetup paperSize="5" scale="94" orientation="landscape" r:id="rId1"/>
      <headerFooter alignWithMargins="0">
        <oddFooter>&amp;L&amp;8&amp;K000000IDD Group Living - Sevices Initial Authorization&amp;R&amp;8&amp;K000000&amp;P</oddFooter>
      </headerFooter>
    </customSheetView>
    <customSheetView guid="{A13B25D0-B104-46DD-B5CC-B628EEB53163}">
      <pane xSplit="2" ySplit="8" topLeftCell="C9" activePane="bottomRight" state="frozen"/>
      <selection pane="bottomRight" activeCell="C14" sqref="C14"/>
      <pageMargins left="0.2" right="0.2" top="0.3" bottom="0.35" header="0.25" footer="0"/>
      <printOptions horizontalCentered="1"/>
      <pageSetup paperSize="5" scale="94" orientation="landscape" r:id="rId2"/>
      <headerFooter alignWithMargins="0">
        <oddFooter>&amp;L&amp;8&amp;K000000IDD Group Living - Sevices Initial Authorization&amp;R&amp;8&amp;K000000&amp;P</oddFooter>
      </headerFooter>
    </customSheetView>
  </customSheetViews>
  <mergeCells count="7">
    <mergeCell ref="D30:M30"/>
    <mergeCell ref="A24:M24"/>
    <mergeCell ref="D25:M25"/>
    <mergeCell ref="D26:M26"/>
    <mergeCell ref="D27:M27"/>
    <mergeCell ref="D28:M28"/>
    <mergeCell ref="D29:M29"/>
  </mergeCells>
  <conditionalFormatting sqref="C14:C16 C11:C12">
    <cfRule type="expression" dxfId="251" priority="51" stopIfTrue="1">
      <formula>AND(C$9&lt;&gt;"",C11="")</formula>
    </cfRule>
    <cfRule type="cellIs" dxfId="250" priority="53" stopIfTrue="1" operator="equal">
      <formula>"N/A"</formula>
    </cfRule>
  </conditionalFormatting>
  <conditionalFormatting sqref="C14:C16 C11:C12 C9:H9">
    <cfRule type="cellIs" dxfId="249" priority="52" stopIfTrue="1" operator="equal">
      <formula>"Not Met"</formula>
    </cfRule>
  </conditionalFormatting>
  <conditionalFormatting sqref="C9:H9">
    <cfRule type="expression" dxfId="248" priority="50" stopIfTrue="1">
      <formula>OR(C9="",C9="N/A")</formula>
    </cfRule>
  </conditionalFormatting>
  <conditionalFormatting sqref="C10:H10">
    <cfRule type="cellIs" dxfId="247" priority="49" stopIfTrue="1" operator="equal">
      <formula>"Not Met"</formula>
    </cfRule>
  </conditionalFormatting>
  <conditionalFormatting sqref="C10:H10">
    <cfRule type="expression" dxfId="246" priority="48" stopIfTrue="1">
      <formula>OR(C10="",C10="N/A")</formula>
    </cfRule>
  </conditionalFormatting>
  <conditionalFormatting sqref="C13:H13">
    <cfRule type="cellIs" dxfId="245" priority="45" stopIfTrue="1" operator="equal">
      <formula>"Not Met"</formula>
    </cfRule>
  </conditionalFormatting>
  <conditionalFormatting sqref="C13:H13">
    <cfRule type="expression" dxfId="244" priority="44" stopIfTrue="1">
      <formula>OR(C13="",C13="N/A")</formula>
    </cfRule>
  </conditionalFormatting>
  <conditionalFormatting sqref="D14:D16 D12">
    <cfRule type="expression" dxfId="243" priority="41" stopIfTrue="1">
      <formula>AND(D$9&lt;&gt;"",D12="")</formula>
    </cfRule>
    <cfRule type="cellIs" dxfId="242" priority="43" stopIfTrue="1" operator="equal">
      <formula>"N/A"</formula>
    </cfRule>
  </conditionalFormatting>
  <conditionalFormatting sqref="D14:D16 D12">
    <cfRule type="cellIs" dxfId="241" priority="42" stopIfTrue="1" operator="equal">
      <formula>"Not Met"</formula>
    </cfRule>
  </conditionalFormatting>
  <conditionalFormatting sqref="E14:E16 E12">
    <cfRule type="expression" dxfId="240" priority="33" stopIfTrue="1">
      <formula>AND(E$9&lt;&gt;"",E12="")</formula>
    </cfRule>
    <cfRule type="cellIs" dxfId="239" priority="35" stopIfTrue="1" operator="equal">
      <formula>"N/A"</formula>
    </cfRule>
  </conditionalFormatting>
  <conditionalFormatting sqref="E14:E16 E12">
    <cfRule type="cellIs" dxfId="238" priority="34" stopIfTrue="1" operator="equal">
      <formula>"Not Met"</formula>
    </cfRule>
  </conditionalFormatting>
  <conditionalFormatting sqref="F14:F16 F12">
    <cfRule type="expression" dxfId="237" priority="25" stopIfTrue="1">
      <formula>AND(F$9&lt;&gt;"",F12="")</formula>
    </cfRule>
    <cfRule type="cellIs" dxfId="236" priority="27" stopIfTrue="1" operator="equal">
      <formula>"N/A"</formula>
    </cfRule>
  </conditionalFormatting>
  <conditionalFormatting sqref="F14:F16 F12">
    <cfRule type="cellIs" dxfId="235" priority="26" stopIfTrue="1" operator="equal">
      <formula>"Not Met"</formula>
    </cfRule>
  </conditionalFormatting>
  <conditionalFormatting sqref="G14:G16 G12">
    <cfRule type="expression" dxfId="234" priority="17" stopIfTrue="1">
      <formula>AND(G$9&lt;&gt;"",G12="")</formula>
    </cfRule>
    <cfRule type="cellIs" dxfId="233" priority="19" stopIfTrue="1" operator="equal">
      <formula>"N/A"</formula>
    </cfRule>
  </conditionalFormatting>
  <conditionalFormatting sqref="G14:G16 G12">
    <cfRule type="cellIs" dxfId="232" priority="18" stopIfTrue="1" operator="equal">
      <formula>"Not Met"</formula>
    </cfRule>
  </conditionalFormatting>
  <conditionalFormatting sqref="H14:H16 H12">
    <cfRule type="expression" dxfId="231" priority="9" stopIfTrue="1">
      <formula>AND(H$9&lt;&gt;"",H12="")</formula>
    </cfRule>
    <cfRule type="cellIs" dxfId="230" priority="11" stopIfTrue="1" operator="equal">
      <formula>"N/A"</formula>
    </cfRule>
  </conditionalFormatting>
  <conditionalFormatting sqref="H14:H16 H12">
    <cfRule type="cellIs" dxfId="229" priority="10" stopIfTrue="1" operator="equal">
      <formula>"Not Met"</formula>
    </cfRule>
  </conditionalFormatting>
  <conditionalFormatting sqref="D11:H11">
    <cfRule type="expression" dxfId="228" priority="1" stopIfTrue="1">
      <formula>AND(D$9&lt;&gt;"",D11="")</formula>
    </cfRule>
    <cfRule type="cellIs" dxfId="227" priority="3" stopIfTrue="1" operator="equal">
      <formula>"N/A"</formula>
    </cfRule>
  </conditionalFormatting>
  <conditionalFormatting sqref="D11:H11">
    <cfRule type="cellIs" dxfId="226" priority="2" stopIfTrue="1" operator="equal">
      <formula>"Not Met"</formula>
    </cfRule>
  </conditionalFormatting>
  <dataValidations count="2">
    <dataValidation type="list" allowBlank="1" showInputMessage="1" showErrorMessage="1" sqref="C12:H12" xr:uid="{00000000-0002-0000-0C00-000001000000}">
      <formula1>"YES,NO"</formula1>
    </dataValidation>
    <dataValidation type="list" allowBlank="1" showInputMessage="1" showErrorMessage="1" sqref="C14:H16" xr:uid="{00000000-0002-0000-0C00-000002000000}">
      <formula1>"YES,NO,N/A"</formula1>
    </dataValidation>
  </dataValidations>
  <printOptions horizontalCentered="1"/>
  <pageMargins left="0.2" right="0.2" top="0.3" bottom="0.35" header="0.25" footer="0"/>
  <pageSetup paperSize="5" scale="94" orientation="landscape" r:id="rId3"/>
  <headerFooter alignWithMargins="0">
    <oddFooter>&amp;L&amp;8&amp;K000000IDD Group Living - Sevices Initial Authorization&amp;R&amp;8&amp;K000000&amp;P</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H19"/>
  <sheetViews>
    <sheetView showGridLines="0" zoomScaleNormal="100" workbookViewId="0">
      <pane xSplit="2" ySplit="11" topLeftCell="C12" activePane="bottomRight" state="frozen"/>
      <selection activeCell="C9" sqref="C9"/>
      <selection pane="topRight" activeCell="C9" sqref="C9"/>
      <selection pane="bottomLeft" activeCell="C9" sqref="C9"/>
      <selection pane="bottomRight" activeCell="B18" sqref="B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262</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25" priority="1" operator="equal">
      <formula>"NOT MET"</formula>
    </cfRule>
    <cfRule type="cellIs" dxfId="224" priority="2" operator="equal">
      <formula>"MET"</formula>
    </cfRule>
  </conditionalFormatting>
  <dataValidations count="2">
    <dataValidation type="list" allowBlank="1" showInputMessage="1" showErrorMessage="1" sqref="C7:H7" xr:uid="{00000000-0002-0000-0D00-000000000000}">
      <formula1>"ADSN, CDSN"</formula1>
    </dataValidation>
    <dataValidation type="list" allowBlank="1" showInputMessage="1" showErrorMessage="1" sqref="C13:H17" xr:uid="{00000000-0002-0000-0D00-000001000000}">
      <formula1>"YES, NO"</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513B4-5C7A-4F83-B0BC-44F8AC7C16EA}">
  <sheetPr>
    <tabColor theme="8" tint="-0.249977111117893"/>
  </sheetPr>
  <dimension ref="A1:M34"/>
  <sheetViews>
    <sheetView zoomScaleNormal="100" zoomScaleSheetLayoutView="50" workbookViewId="0">
      <pane xSplit="2" ySplit="8" topLeftCell="C9" activePane="bottomRight" state="frozen"/>
      <selection activeCell="C6" sqref="C6"/>
      <selection pane="topRight" activeCell="C6" sqref="C6"/>
      <selection pane="bottomLeft" activeCell="C6" sqref="C6"/>
      <selection pane="bottomRight" activeCell="B11" sqref="B11"/>
    </sheetView>
  </sheetViews>
  <sheetFormatPr defaultColWidth="8.85546875" defaultRowHeight="12.75"/>
  <cols>
    <col min="1" max="1" width="3.28515625" style="382"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365</v>
      </c>
      <c r="D1" s="340"/>
      <c r="E1" s="340"/>
      <c r="F1" s="340"/>
      <c r="G1" s="340"/>
      <c r="H1" s="340"/>
      <c r="I1" s="340"/>
      <c r="J1" s="340"/>
      <c r="K1" s="340"/>
      <c r="L1" s="340"/>
      <c r="M1" s="341"/>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43"/>
      <c r="J3" s="343"/>
      <c r="K3" s="343"/>
      <c r="L3" s="343"/>
      <c r="M3" s="34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5"/>
      <c r="J4" s="135"/>
      <c r="K4" s="135"/>
      <c r="L4" s="135"/>
      <c r="M4" s="137"/>
    </row>
    <row r="5" spans="1:13" s="8" customFormat="1" ht="14.85" customHeight="1">
      <c r="A5" s="18"/>
      <c r="B5" s="148" t="s">
        <v>189</v>
      </c>
      <c r="C5" s="19" t="str">
        <f>IF('Dev Day Initial Eligibil'!C6="","",'Dev Day Initial Eligibil'!C6)</f>
        <v/>
      </c>
      <c r="D5" s="241" t="str">
        <f>IF('Dev Day Initial Eligibil'!D6="","",'Dev Day Initial Eligibil'!D6)</f>
        <v/>
      </c>
      <c r="E5" s="242" t="str">
        <f>IF('Dev Day Initial Eligibil'!E6="","",'Dev Day Initial Eligibil'!E6)</f>
        <v/>
      </c>
      <c r="F5" s="242" t="str">
        <f>IF('Dev Day Initial Eligibil'!F6="","",'Dev Day Initial Eligibil'!F6)</f>
        <v/>
      </c>
      <c r="G5" s="242" t="str">
        <f>IF('Dev Day Initial Eligibil'!G6="","",'Dev Day Initial Eligibil'!G6)</f>
        <v/>
      </c>
      <c r="H5" s="77" t="str">
        <f>IF('Dev Day Initial Eligibil'!H6="","",'Dev Day Initial Eligibil'!H6)</f>
        <v/>
      </c>
      <c r="I5" s="15"/>
      <c r="J5" s="16"/>
      <c r="K5" s="16"/>
      <c r="L5" s="16"/>
      <c r="M5" s="17"/>
    </row>
    <row r="6" spans="1:13" s="8" customFormat="1" ht="14.85" customHeight="1">
      <c r="A6" s="18"/>
      <c r="B6" s="148" t="s">
        <v>190</v>
      </c>
      <c r="C6" s="19" t="str">
        <f>IF('Dev Day Initial Eligibil'!C7="","",'Dev Day Initial Eligibil'!C7)</f>
        <v/>
      </c>
      <c r="D6" s="244" t="str">
        <f>IF('Dev Day Initial Eligibil'!D7="","",'Dev Day Initial Eligibil'!D7)</f>
        <v/>
      </c>
      <c r="E6" s="244" t="str">
        <f>IF('Dev Day Initial Eligibil'!E7="","",'Dev Day Initial Eligibil'!E7)</f>
        <v/>
      </c>
      <c r="F6" s="244" t="str">
        <f>IF('Dev Day Initial Eligibil'!F7="","",'Dev Day Initial Eligibil'!F7)</f>
        <v/>
      </c>
      <c r="G6" s="244" t="str">
        <f>IF('Dev Day Initial Eligibil'!G7="","",'Dev Day Initial Eligibil'!G7)</f>
        <v/>
      </c>
      <c r="H6" s="20" t="str">
        <f>IF('Dev Day Initial Eligibil'!H7="","",'Dev Day Initial Eligibil'!H7)</f>
        <v/>
      </c>
      <c r="I6" s="15"/>
      <c r="J6" s="16"/>
      <c r="K6" s="16"/>
      <c r="L6" s="16"/>
      <c r="M6" s="17"/>
    </row>
    <row r="7" spans="1:13" s="8" customFormat="1" ht="14.85" customHeight="1" thickBot="1">
      <c r="A7" s="18"/>
      <c r="B7" s="148" t="s">
        <v>188</v>
      </c>
      <c r="C7" s="196" t="str">
        <f>IF('Dev Day Initial Eligibil'!C9="","",'Dev Day Initial Eligibil'!C9)</f>
        <v/>
      </c>
      <c r="D7" s="243" t="str">
        <f>IF('Dev Day Initial Eligibil'!D9="","",'Dev Day Initial Eligibil'!D9)</f>
        <v/>
      </c>
      <c r="E7" s="243" t="str">
        <f>IF('Dev Day Initial Eligibil'!E9="","",'Dev Day Initial Eligibil'!E9)</f>
        <v/>
      </c>
      <c r="F7" s="243" t="str">
        <f>IF('Dev Day Initial Eligibil'!F9="","",'Dev Day Initial Eligibil'!F9)</f>
        <v/>
      </c>
      <c r="G7" s="243" t="str">
        <f>IF('Dev Day Initial Eligibil'!G9="","",'Dev Day Initial Eligibil'!G9)</f>
        <v/>
      </c>
      <c r="H7" s="197" t="str">
        <f>IF('Dev Day Initial Eligibil'!H9="","",'Dev Day Initial Eligibil'!H9)</f>
        <v/>
      </c>
      <c r="I7" s="22" t="s">
        <v>10</v>
      </c>
      <c r="J7" s="16"/>
      <c r="K7" s="16"/>
      <c r="L7" s="16"/>
      <c r="M7" s="17"/>
    </row>
    <row r="8" spans="1:13"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13" s="37" customFormat="1" ht="25.5">
      <c r="A9" s="45" t="s">
        <v>18</v>
      </c>
      <c r="B9" s="157" t="s">
        <v>321</v>
      </c>
      <c r="C9" s="174" t="str">
        <f>IF('Dev Day Cont Eligibilit'!C12=0,"",'Dev Day Cont Eligibilit'!C12)</f>
        <v/>
      </c>
      <c r="D9" s="174" t="str">
        <f>IF('Dev Day Cont Eligibilit'!D12=0,"",'Dev Day Cont Eligibilit'!D12)</f>
        <v/>
      </c>
      <c r="E9" s="174" t="str">
        <f>IF('Dev Day Cont Eligibilit'!E12=0,"",'Dev Day Cont Eligibilit'!E12)</f>
        <v/>
      </c>
      <c r="F9" s="174" t="str">
        <f>IF('Dev Day Cont Eligibilit'!F12=0,"",'Dev Day Cont Eligibilit'!F12)</f>
        <v/>
      </c>
      <c r="G9" s="174" t="str">
        <f>IF('Dev Day Cont Eligibilit'!G12=0,"",'Dev Day Cont Eligibilit'!G12)</f>
        <v/>
      </c>
      <c r="H9" s="174" t="str">
        <f>IF('Dev Day Cont Eligibilit'!H12=0,"",'Dev Day Cont Eligibilit'!H12)</f>
        <v/>
      </c>
      <c r="I9" s="47">
        <f>COUNTIF(C9:H9,"=Met")</f>
        <v>0</v>
      </c>
      <c r="J9" s="48">
        <f>IF(SUM(I9,K9)=0,0,I9/SUM(I9,K9))</f>
        <v>0</v>
      </c>
      <c r="K9" s="41">
        <f>COUNTIF(C9:H9,"=Not Met")</f>
        <v>0</v>
      </c>
      <c r="L9" s="48">
        <f t="shared" ref="L9:L11" si="0">IF(SUM(I9,K9)=0,0,K9/SUM(I9,K9))</f>
        <v>0</v>
      </c>
      <c r="M9" s="49">
        <f>COUNTIF(C9:H9,"=N/A")</f>
        <v>0</v>
      </c>
    </row>
    <row r="10" spans="1:13" s="10" customFormat="1" ht="25.5">
      <c r="A10" s="156" t="s">
        <v>19</v>
      </c>
      <c r="B10" s="309" t="s">
        <v>207</v>
      </c>
      <c r="C10" s="179" t="str">
        <f>IF(AND(C16="YES",COUNTIF(C11:C13,"YES")=3),"MET",IF(COUNTA(C12,C14:C15,C16:C16)=1,"","NOT MET"))</f>
        <v/>
      </c>
      <c r="D10" s="179" t="str">
        <f t="shared" ref="D10:H10" si="1">IF(AND(D16="YES",COUNTIF(D11:D13,"YES")=3),"MET",IF(COUNTA(D12,D14:D15,D16:D16)=1,"","NOT MET"))</f>
        <v/>
      </c>
      <c r="E10" s="179" t="str">
        <f t="shared" si="1"/>
        <v/>
      </c>
      <c r="F10" s="179" t="str">
        <f t="shared" si="1"/>
        <v/>
      </c>
      <c r="G10" s="179" t="str">
        <f t="shared" si="1"/>
        <v/>
      </c>
      <c r="H10" s="179" t="str">
        <f t="shared" si="1"/>
        <v/>
      </c>
      <c r="I10" s="420">
        <f>COUNTIF(C10:H10,"=Met")</f>
        <v>0</v>
      </c>
      <c r="J10" s="421">
        <f t="shared" ref="J10:J11" si="2">IF(SUM(I10,K10)=0,0,I10/SUM(I10,K10))</f>
        <v>0</v>
      </c>
      <c r="K10" s="422">
        <f>COUNTIF(C10:H10,"=Not Met")</f>
        <v>0</v>
      </c>
      <c r="L10" s="421">
        <f t="shared" si="0"/>
        <v>0</v>
      </c>
      <c r="M10" s="423">
        <f>COUNTIF(C10:H10,"=N/A")</f>
        <v>0</v>
      </c>
    </row>
    <row r="11" spans="1:13" s="10" customFormat="1" ht="51">
      <c r="A11" s="156" t="s">
        <v>192</v>
      </c>
      <c r="B11" s="36" t="s">
        <v>253</v>
      </c>
      <c r="C11" s="179"/>
      <c r="D11" s="179"/>
      <c r="E11" s="179" t="str">
        <f t="shared" ref="E11:H11" si="3">IF(E9="MET","YES",IF(E9="NOT MET","NO",IF(E9="","")))</f>
        <v/>
      </c>
      <c r="F11" s="179" t="str">
        <f t="shared" si="3"/>
        <v/>
      </c>
      <c r="G11" s="179" t="str">
        <f t="shared" si="3"/>
        <v/>
      </c>
      <c r="H11" s="179" t="str">
        <f t="shared" si="3"/>
        <v/>
      </c>
      <c r="I11" s="420">
        <f>COUNTIF(C11:H11,"=Yes")</f>
        <v>0</v>
      </c>
      <c r="J11" s="421">
        <f t="shared" si="2"/>
        <v>0</v>
      </c>
      <c r="K11" s="422">
        <f>COUNTIF(C11:H11,"=No")</f>
        <v>0</v>
      </c>
      <c r="L11" s="421">
        <f t="shared" si="0"/>
        <v>0</v>
      </c>
      <c r="M11" s="423">
        <f>COUNTIF(C11:H11,"=N/A")</f>
        <v>0</v>
      </c>
    </row>
    <row r="12" spans="1:13" s="10" customFormat="1" ht="51">
      <c r="A12" s="156" t="s">
        <v>195</v>
      </c>
      <c r="B12" s="36" t="s">
        <v>254</v>
      </c>
      <c r="C12" s="35"/>
      <c r="D12" s="35"/>
      <c r="E12" s="35"/>
      <c r="F12" s="35"/>
      <c r="G12" s="35"/>
      <c r="H12" s="35"/>
      <c r="I12" s="420">
        <f>COUNTIF(C12:H12,"=Yes")</f>
        <v>0</v>
      </c>
      <c r="J12" s="421">
        <f t="shared" ref="J12" si="4">IF(SUM(I12,K12)=0,0,I12/SUM(I12,K12))</f>
        <v>0</v>
      </c>
      <c r="K12" s="422">
        <f>COUNTIF(C12:H12,"=No")</f>
        <v>0</v>
      </c>
      <c r="L12" s="421">
        <f t="shared" ref="L12" si="5">IF(SUM(I12,K12)=0,0,K12/SUM(I12,K12))</f>
        <v>0</v>
      </c>
      <c r="M12" s="423">
        <f>COUNTIF(C12:H12,"=N/A")</f>
        <v>0</v>
      </c>
    </row>
    <row r="13" spans="1:13" s="10" customFormat="1">
      <c r="A13" s="156" t="s">
        <v>251</v>
      </c>
      <c r="B13" s="390" t="s">
        <v>255</v>
      </c>
      <c r="C13" s="179" t="str">
        <f>IF(COUNTIF(C14:C15, "NO")=2,"NO",IF(COUNTIF(C14:C15, "YES")&gt;=1, "YES",IF(COUNTIF(C14:C15,"=N/A")=3,"N/A","")))</f>
        <v/>
      </c>
      <c r="D13" s="179" t="str">
        <f t="shared" ref="D13:H13" si="6">IF(COUNTIF(D14:D15, "NO")=2,"NO",IF(COUNTIF(D14:D15, "YES")&gt;=1, "YES",IF(COUNTIF(D14:D15,"=N/A")=3,"N/A","")))</f>
        <v/>
      </c>
      <c r="E13" s="179" t="str">
        <f t="shared" si="6"/>
        <v/>
      </c>
      <c r="F13" s="179" t="str">
        <f t="shared" si="6"/>
        <v/>
      </c>
      <c r="G13" s="179" t="str">
        <f t="shared" si="6"/>
        <v/>
      </c>
      <c r="H13" s="179" t="str">
        <f t="shared" si="6"/>
        <v/>
      </c>
      <c r="I13" s="420">
        <f>COUNTIF(C13:H13,"=Yes")</f>
        <v>0</v>
      </c>
      <c r="J13" s="421">
        <f t="shared" ref="J13" si="7">IF(SUM(I13,K13)=0,0,I13/SUM(I13,K13))</f>
        <v>0</v>
      </c>
      <c r="K13" s="422">
        <f>COUNTIF(C13:H13,"=No")</f>
        <v>0</v>
      </c>
      <c r="L13" s="421">
        <f t="shared" ref="L13" si="8">IF(SUM(I13,K13)=0,0,K13/SUM(I13,K13))</f>
        <v>0</v>
      </c>
      <c r="M13" s="423">
        <f>COUNTIF(C13:H13,"=N/A")</f>
        <v>0</v>
      </c>
    </row>
    <row r="14" spans="1:13" s="10" customFormat="1" ht="25.5">
      <c r="A14" s="303" t="s">
        <v>192</v>
      </c>
      <c r="B14" s="305" t="s">
        <v>256</v>
      </c>
      <c r="C14" s="35"/>
      <c r="D14" s="35"/>
      <c r="E14" s="35"/>
      <c r="F14" s="35"/>
      <c r="G14" s="35"/>
      <c r="H14" s="35"/>
      <c r="I14" s="448"/>
      <c r="J14" s="415"/>
      <c r="K14" s="414"/>
      <c r="L14" s="415"/>
      <c r="M14" s="449"/>
    </row>
    <row r="15" spans="1:13" s="10" customFormat="1" ht="25.5">
      <c r="A15" s="303" t="s">
        <v>195</v>
      </c>
      <c r="B15" s="305" t="s">
        <v>257</v>
      </c>
      <c r="C15" s="35"/>
      <c r="D15" s="35"/>
      <c r="E15" s="35"/>
      <c r="F15" s="35"/>
      <c r="G15" s="35"/>
      <c r="H15" s="35"/>
      <c r="I15" s="448"/>
      <c r="J15" s="415"/>
      <c r="K15" s="414"/>
      <c r="L15" s="415"/>
      <c r="M15" s="449"/>
    </row>
    <row r="16" spans="1:13" s="10" customFormat="1">
      <c r="A16" s="303" t="s">
        <v>193</v>
      </c>
      <c r="B16" s="389" t="s">
        <v>260</v>
      </c>
      <c r="C16" s="179" t="str">
        <f>IF(COUNTIF(C17:C17, "NO")=1,"NO",IF(COUNTIF(C17:C17, "YES")&gt;=1, "YES",IF(COUNTIF(C17:C17,"=N/A")=9,"N/A","")))</f>
        <v/>
      </c>
      <c r="D16" s="179" t="str">
        <f t="shared" ref="D16:H16" si="9">IF(COUNTIF(D17:D17, "NO")=1,"NO",IF(COUNTIF(D17:D17, "YES")&gt;=1, "YES",IF(COUNTIF(D17:D17,"=N/A")=9,"N/A","")))</f>
        <v/>
      </c>
      <c r="E16" s="179" t="str">
        <f t="shared" si="9"/>
        <v/>
      </c>
      <c r="F16" s="179" t="str">
        <f t="shared" si="9"/>
        <v/>
      </c>
      <c r="G16" s="179" t="str">
        <f t="shared" si="9"/>
        <v/>
      </c>
      <c r="H16" s="179" t="str">
        <f t="shared" si="9"/>
        <v/>
      </c>
      <c r="I16" s="420">
        <f>COUNTIF(C16:H16,"=Yes")</f>
        <v>0</v>
      </c>
      <c r="J16" s="421">
        <f t="shared" ref="J16" si="10">IF(SUM(I16,K16)=0,0,I16/SUM(I16,K16))</f>
        <v>0</v>
      </c>
      <c r="K16" s="422">
        <f>COUNTIF(C16:H16,"=No")</f>
        <v>0</v>
      </c>
      <c r="L16" s="421">
        <f t="shared" ref="L16" si="11">IF(SUM(I16,K16)=0,0,K16/SUM(I16,K16))</f>
        <v>0</v>
      </c>
      <c r="M16" s="423">
        <f>COUNTIF(C16:H16,"=N/A")</f>
        <v>0</v>
      </c>
    </row>
    <row r="17" spans="1:13" s="10" customFormat="1" ht="39" thickBot="1">
      <c r="A17" s="303" t="s">
        <v>279</v>
      </c>
      <c r="B17" s="305" t="s">
        <v>261</v>
      </c>
      <c r="C17" s="35"/>
      <c r="D17" s="35"/>
      <c r="E17" s="35"/>
      <c r="F17" s="35"/>
      <c r="G17" s="35"/>
      <c r="H17" s="35"/>
      <c r="I17" s="450"/>
      <c r="J17" s="451"/>
      <c r="K17" s="452"/>
      <c r="L17" s="451"/>
      <c r="M17" s="453"/>
    </row>
    <row r="18" spans="1:13" s="10" customFormat="1" ht="13.9" customHeight="1" thickBot="1">
      <c r="A18" s="382"/>
      <c r="B18" s="53" t="s">
        <v>24</v>
      </c>
      <c r="C18" s="122"/>
      <c r="D18" s="123"/>
      <c r="E18" s="123"/>
      <c r="F18" s="123"/>
      <c r="G18" s="123"/>
      <c r="H18" s="143"/>
      <c r="I18" s="248"/>
      <c r="J18" s="248"/>
      <c r="K18" s="248"/>
      <c r="L18" s="248"/>
      <c r="M18" s="249"/>
    </row>
    <row r="19" spans="1:13" s="10" customFormat="1" ht="13.9" customHeight="1" thickBot="1">
      <c r="A19" s="382"/>
      <c r="B19" s="53"/>
      <c r="C19" s="55"/>
      <c r="D19" s="55"/>
      <c r="E19" s="55"/>
      <c r="F19" s="55"/>
      <c r="G19" s="55"/>
      <c r="H19" s="55"/>
      <c r="I19" s="54"/>
      <c r="J19" s="54"/>
      <c r="K19" s="54"/>
      <c r="L19" s="54"/>
      <c r="M19" s="54"/>
    </row>
    <row r="20" spans="1:13" s="10" customFormat="1" ht="13.9" customHeight="1">
      <c r="A20" s="382"/>
      <c r="B20" s="56" t="s">
        <v>25</v>
      </c>
      <c r="C20" s="57">
        <f t="shared" ref="C20:H20" si="12">COUNTIF(C9:C17,"=Met")</f>
        <v>0</v>
      </c>
      <c r="D20" s="58">
        <f t="shared" si="12"/>
        <v>0</v>
      </c>
      <c r="E20" s="58">
        <f t="shared" si="12"/>
        <v>0</v>
      </c>
      <c r="F20" s="58">
        <f t="shared" si="12"/>
        <v>0</v>
      </c>
      <c r="G20" s="58">
        <f t="shared" si="12"/>
        <v>0</v>
      </c>
      <c r="H20" s="150">
        <f t="shared" si="12"/>
        <v>0</v>
      </c>
      <c r="I20" s="59"/>
      <c r="J20" s="60"/>
      <c r="K20" s="60"/>
      <c r="L20" s="60"/>
      <c r="M20" s="60"/>
    </row>
    <row r="21" spans="1:13" s="10" customFormat="1" ht="13.9" customHeight="1">
      <c r="A21" s="382"/>
      <c r="B21" s="56" t="s">
        <v>26</v>
      </c>
      <c r="C21" s="61">
        <f t="shared" ref="C21:H21" si="13">IF(SUM(C20,C22)=0,0,C20/SUM(C20,C22))</f>
        <v>0</v>
      </c>
      <c r="D21" s="62">
        <f t="shared" si="13"/>
        <v>0</v>
      </c>
      <c r="E21" s="62">
        <f t="shared" si="13"/>
        <v>0</v>
      </c>
      <c r="F21" s="62">
        <f t="shared" si="13"/>
        <v>0</v>
      </c>
      <c r="G21" s="62">
        <f t="shared" si="13"/>
        <v>0</v>
      </c>
      <c r="H21" s="151">
        <f t="shared" si="13"/>
        <v>0</v>
      </c>
      <c r="I21" s="59"/>
      <c r="J21" s="60"/>
      <c r="K21" s="60"/>
      <c r="L21" s="60"/>
      <c r="M21" s="60"/>
    </row>
    <row r="22" spans="1:13" s="10" customFormat="1" ht="13.9" customHeight="1">
      <c r="A22" s="382"/>
      <c r="B22" s="56" t="s">
        <v>27</v>
      </c>
      <c r="C22" s="63">
        <f t="shared" ref="C22:H22" si="14">COUNTIF(C9:C17,"=Not Met")</f>
        <v>0</v>
      </c>
      <c r="D22" s="64">
        <f t="shared" si="14"/>
        <v>0</v>
      </c>
      <c r="E22" s="64">
        <f t="shared" si="14"/>
        <v>0</v>
      </c>
      <c r="F22" s="64">
        <f t="shared" si="14"/>
        <v>0</v>
      </c>
      <c r="G22" s="64">
        <f t="shared" si="14"/>
        <v>0</v>
      </c>
      <c r="H22" s="152">
        <f t="shared" si="14"/>
        <v>0</v>
      </c>
      <c r="I22" s="59"/>
      <c r="J22" s="60"/>
      <c r="K22" s="60"/>
      <c r="L22" s="60"/>
      <c r="M22" s="60"/>
    </row>
    <row r="23" spans="1:13" s="10" customFormat="1" ht="13.9" customHeight="1">
      <c r="A23" s="382"/>
      <c r="B23" s="56" t="s">
        <v>28</v>
      </c>
      <c r="C23" s="61">
        <f t="shared" ref="C23:H23" si="15">IF(SUM(C20,C22)=0,0,C22/SUM(C20,C22))</f>
        <v>0</v>
      </c>
      <c r="D23" s="62">
        <f t="shared" si="15"/>
        <v>0</v>
      </c>
      <c r="E23" s="62">
        <f t="shared" si="15"/>
        <v>0</v>
      </c>
      <c r="F23" s="62">
        <f t="shared" si="15"/>
        <v>0</v>
      </c>
      <c r="G23" s="62">
        <f t="shared" si="15"/>
        <v>0</v>
      </c>
      <c r="H23" s="151">
        <f t="shared" si="15"/>
        <v>0</v>
      </c>
      <c r="I23" s="59"/>
      <c r="J23" s="60"/>
      <c r="K23" s="60"/>
      <c r="L23" s="60"/>
      <c r="M23" s="60"/>
    </row>
    <row r="24" spans="1:13" s="10" customFormat="1" ht="13.9" customHeight="1" thickBot="1">
      <c r="A24" s="382"/>
      <c r="B24" s="56" t="s">
        <v>29</v>
      </c>
      <c r="C24" s="65">
        <f t="shared" ref="C24:H24" si="16">COUNTIF(C9:C17,"=N/A")</f>
        <v>0</v>
      </c>
      <c r="D24" s="66">
        <f t="shared" si="16"/>
        <v>0</v>
      </c>
      <c r="E24" s="66">
        <f t="shared" si="16"/>
        <v>0</v>
      </c>
      <c r="F24" s="66">
        <f t="shared" si="16"/>
        <v>0</v>
      </c>
      <c r="G24" s="66">
        <f t="shared" si="16"/>
        <v>0</v>
      </c>
      <c r="H24" s="153">
        <f t="shared" si="16"/>
        <v>0</v>
      </c>
      <c r="I24" s="67"/>
      <c r="J24" s="68"/>
      <c r="K24" s="68"/>
      <c r="L24" s="68"/>
      <c r="M24" s="68"/>
    </row>
    <row r="25" spans="1:13" s="10" customFormat="1" ht="13.9" customHeight="1">
      <c r="A25" s="545"/>
      <c r="B25" s="545"/>
      <c r="C25" s="545"/>
      <c r="D25" s="545"/>
      <c r="E25" s="545"/>
      <c r="F25" s="545"/>
      <c r="G25" s="545"/>
      <c r="H25" s="545"/>
      <c r="I25" s="545"/>
      <c r="J25" s="545"/>
      <c r="K25" s="545"/>
      <c r="L25" s="545"/>
      <c r="M25" s="545"/>
    </row>
    <row r="26" spans="1:13" s="10" customFormat="1" ht="25.15" customHeight="1">
      <c r="A26" s="211"/>
      <c r="B26" s="212" t="s">
        <v>152</v>
      </c>
      <c r="C26" s="215" t="s">
        <v>18</v>
      </c>
      <c r="D26" s="546"/>
      <c r="E26" s="547"/>
      <c r="F26" s="547"/>
      <c r="G26" s="547"/>
      <c r="H26" s="547"/>
      <c r="I26" s="547"/>
      <c r="J26" s="547"/>
      <c r="K26" s="547"/>
      <c r="L26" s="547"/>
      <c r="M26" s="548"/>
    </row>
    <row r="27" spans="1:13" s="10" customFormat="1" ht="25.15" customHeight="1">
      <c r="A27" s="211"/>
      <c r="B27" s="213"/>
      <c r="C27" s="216" t="s">
        <v>19</v>
      </c>
      <c r="D27" s="539"/>
      <c r="E27" s="540"/>
      <c r="F27" s="540"/>
      <c r="G27" s="540"/>
      <c r="H27" s="540"/>
      <c r="I27" s="540"/>
      <c r="J27" s="540"/>
      <c r="K27" s="540"/>
      <c r="L27" s="540"/>
      <c r="M27" s="541"/>
    </row>
    <row r="28" spans="1:13" s="10" customFormat="1" ht="25.15" customHeight="1">
      <c r="A28" s="211"/>
      <c r="B28" s="213"/>
      <c r="C28" s="216" t="s">
        <v>20</v>
      </c>
      <c r="D28" s="539"/>
      <c r="E28" s="540"/>
      <c r="F28" s="540"/>
      <c r="G28" s="540"/>
      <c r="H28" s="540"/>
      <c r="I28" s="540"/>
      <c r="J28" s="540"/>
      <c r="K28" s="540"/>
      <c r="L28" s="540"/>
      <c r="M28" s="541"/>
    </row>
    <row r="29" spans="1:13" s="10" customFormat="1" ht="25.15" customHeight="1">
      <c r="A29" s="211"/>
      <c r="B29" s="213"/>
      <c r="C29" s="216" t="s">
        <v>21</v>
      </c>
      <c r="D29" s="539"/>
      <c r="E29" s="540"/>
      <c r="F29" s="540"/>
      <c r="G29" s="540"/>
      <c r="H29" s="540"/>
      <c r="I29" s="540"/>
      <c r="J29" s="540"/>
      <c r="K29" s="540"/>
      <c r="L29" s="540"/>
      <c r="M29" s="541"/>
    </row>
    <row r="30" spans="1:13" s="10" customFormat="1" ht="25.15" customHeight="1">
      <c r="A30" s="211"/>
      <c r="B30" s="213"/>
      <c r="C30" s="216" t="s">
        <v>22</v>
      </c>
      <c r="D30" s="539"/>
      <c r="E30" s="540"/>
      <c r="F30" s="540"/>
      <c r="G30" s="540"/>
      <c r="H30" s="540"/>
      <c r="I30" s="540"/>
      <c r="J30" s="540"/>
      <c r="K30" s="540"/>
      <c r="L30" s="540"/>
      <c r="M30" s="541"/>
    </row>
    <row r="31" spans="1:13" ht="25.15" customHeight="1">
      <c r="A31" s="211"/>
      <c r="B31" s="214"/>
      <c r="C31" s="217" t="s">
        <v>23</v>
      </c>
      <c r="D31" s="542"/>
      <c r="E31" s="543"/>
      <c r="F31" s="543"/>
      <c r="G31" s="543"/>
      <c r="H31" s="543"/>
      <c r="I31" s="543"/>
      <c r="J31" s="543"/>
      <c r="K31" s="543"/>
      <c r="L31" s="543"/>
      <c r="M31" s="544"/>
    </row>
    <row r="32" spans="1:13">
      <c r="B32" s="163"/>
    </row>
    <row r="33" spans="2:2">
      <c r="B33" s="163"/>
    </row>
    <row r="34" spans="2:2">
      <c r="B34" s="163"/>
    </row>
  </sheetData>
  <sheetProtection sheet="1" objects="1" scenarios="1"/>
  <mergeCells count="7">
    <mergeCell ref="D31:M31"/>
    <mergeCell ref="A25:M25"/>
    <mergeCell ref="D26:M26"/>
    <mergeCell ref="D27:M27"/>
    <mergeCell ref="D28:M28"/>
    <mergeCell ref="D29:M29"/>
    <mergeCell ref="D30:M30"/>
  </mergeCells>
  <conditionalFormatting sqref="C11:H12 C14:H15 C17:H17">
    <cfRule type="expression" dxfId="223" priority="8" stopIfTrue="1">
      <formula>AND(C$9&lt;&gt;"",C11="")</formula>
    </cfRule>
    <cfRule type="cellIs" dxfId="222" priority="10" stopIfTrue="1" operator="equal">
      <formula>"N/A"</formula>
    </cfRule>
  </conditionalFormatting>
  <conditionalFormatting sqref="C9:H9 C11:H12 C14:H15 C17:H17">
    <cfRule type="cellIs" dxfId="221" priority="9" stopIfTrue="1" operator="equal">
      <formula>"Not Met"</formula>
    </cfRule>
  </conditionalFormatting>
  <conditionalFormatting sqref="C9:H9">
    <cfRule type="expression" dxfId="220" priority="7" stopIfTrue="1">
      <formula>OR(C9="",C9="N/A")</formula>
    </cfRule>
  </conditionalFormatting>
  <conditionalFormatting sqref="C16:H16">
    <cfRule type="cellIs" dxfId="219" priority="4" stopIfTrue="1" operator="equal">
      <formula>"Not Met"</formula>
    </cfRule>
  </conditionalFormatting>
  <conditionalFormatting sqref="C16:H16">
    <cfRule type="expression" dxfId="218" priority="3" stopIfTrue="1">
      <formula>OR(C16="",C16="N/A")</formula>
    </cfRule>
  </conditionalFormatting>
  <conditionalFormatting sqref="C10:H10">
    <cfRule type="cellIs" dxfId="217" priority="6" stopIfTrue="1" operator="equal">
      <formula>"Not Met"</formula>
    </cfRule>
  </conditionalFormatting>
  <conditionalFormatting sqref="C10:H10">
    <cfRule type="expression" dxfId="216" priority="5" stopIfTrue="1">
      <formula>OR(C10="",C10="N/A")</formula>
    </cfRule>
  </conditionalFormatting>
  <conditionalFormatting sqref="C13:H13">
    <cfRule type="cellIs" dxfId="215" priority="2" stopIfTrue="1" operator="equal">
      <formula>"Not Met"</formula>
    </cfRule>
  </conditionalFormatting>
  <conditionalFormatting sqref="C13:H13">
    <cfRule type="expression" dxfId="214" priority="1" stopIfTrue="1">
      <formula>OR(C13="",C13="N/A")</formula>
    </cfRule>
  </conditionalFormatting>
  <dataValidations count="3">
    <dataValidation type="list" allowBlank="1" showInputMessage="1" showErrorMessage="1" sqref="C14:H15 C17:H17" xr:uid="{34EC3771-F8E0-4259-BDEE-73F4458DDB2E}">
      <formula1>"YES,NO,N/A"</formula1>
    </dataValidation>
    <dataValidation type="list" allowBlank="1" showInputMessage="1" showErrorMessage="1" sqref="C12:H12" xr:uid="{79A398F0-BB8F-4A2A-8CA2-2ADCF1CCBAC6}">
      <formula1>"YES,NO"</formula1>
    </dataValidation>
    <dataValidation type="list" allowBlank="1" showInputMessage="1" showErrorMessage="1" sqref="C11:D11" xr:uid="{024511A9-1DFA-4698-BA9A-B85E6B82FD15}">
      <formula1>"YES, NO"</formula1>
    </dataValidation>
  </dataValidations>
  <printOptions horizontalCentered="1"/>
  <pageMargins left="0.2" right="0.2" top="0.3" bottom="0.35" header="0.25" footer="0"/>
  <pageSetup paperSize="5" scale="94" orientation="landscape" r:id="rId1"/>
  <headerFooter alignWithMargins="0">
    <oddFooter>&amp;L&amp;8&amp;K000000IDD Group Living - Sevices Initial Authorization&amp;R&amp;8&amp;K000000&amp;P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H19"/>
  <sheetViews>
    <sheetView showGridLines="0" zoomScaleNormal="100" workbookViewId="0">
      <pane xSplit="2" ySplit="11" topLeftCell="C12" activePane="bottomRight" state="frozen"/>
      <selection activeCell="C6" sqref="C6"/>
      <selection pane="topRight" activeCell="C6" sqref="C6"/>
      <selection pane="bottomLeft" activeCell="C6" sqref="C6"/>
      <selection pane="bottomRight" activeCell="D14" sqref="D14"/>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275</v>
      </c>
      <c r="D1" s="535"/>
      <c r="E1" s="535"/>
      <c r="F1" s="535"/>
      <c r="G1" s="535"/>
      <c r="H1" s="535"/>
    </row>
    <row r="2" spans="1:8" ht="18" customHeight="1">
      <c r="A2" s="158"/>
      <c r="B2" s="159"/>
      <c r="C2" s="158" t="s">
        <v>274</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3"/>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13" priority="1" operator="equal">
      <formula>"NOT MET"</formula>
    </cfRule>
    <cfRule type="cellIs" dxfId="212" priority="2" operator="equal">
      <formula>"MET"</formula>
    </cfRule>
  </conditionalFormatting>
  <dataValidations count="2">
    <dataValidation type="list" allowBlank="1" showInputMessage="1" showErrorMessage="1" sqref="C13:H17" xr:uid="{00000000-0002-0000-0F00-000000000000}">
      <formula1>"YES, NO"</formula1>
    </dataValidation>
    <dataValidation type="list" allowBlank="1" showInputMessage="1" showErrorMessage="1" sqref="C7:H7" xr:uid="{00000000-0002-0000-0F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11"/>
  <sheetViews>
    <sheetView workbookViewId="0">
      <selection activeCell="A11" sqref="A11"/>
    </sheetView>
  </sheetViews>
  <sheetFormatPr defaultColWidth="9.140625" defaultRowHeight="12.75"/>
  <cols>
    <col min="1" max="1" width="29.7109375" style="111" bestFit="1" customWidth="1"/>
    <col min="2" max="16384" width="9.140625" style="112"/>
  </cols>
  <sheetData>
    <row r="1" spans="1:1">
      <c r="A1" s="115" t="s">
        <v>40</v>
      </c>
    </row>
    <row r="2" spans="1:1">
      <c r="A2" s="113" t="s">
        <v>41</v>
      </c>
    </row>
    <row r="4" spans="1:1">
      <c r="A4" s="111" t="s">
        <v>42</v>
      </c>
    </row>
    <row r="5" spans="1:1">
      <c r="A5" s="114" t="s">
        <v>338</v>
      </c>
    </row>
    <row r="6" spans="1:1">
      <c r="A6" s="114" t="s">
        <v>43</v>
      </c>
    </row>
    <row r="7" spans="1:1">
      <c r="A7" s="114" t="s">
        <v>44</v>
      </c>
    </row>
    <row r="8" spans="1:1">
      <c r="A8" s="114" t="s">
        <v>45</v>
      </c>
    </row>
    <row r="9" spans="1:1">
      <c r="A9" s="114" t="s">
        <v>46</v>
      </c>
    </row>
    <row r="10" spans="1:1">
      <c r="A10" s="114" t="s">
        <v>185</v>
      </c>
    </row>
    <row r="11" spans="1:1">
      <c r="A11" s="114" t="s">
        <v>228</v>
      </c>
    </row>
  </sheetData>
  <sortState ref="A5:A12">
    <sortCondition ref="A5"/>
  </sortState>
  <customSheetViews>
    <customSheetView guid="{2A3E70A9-51A3-4722-9775-16DBEA0F14B3}" state="hidden">
      <selection activeCell="A11" sqref="A11"/>
      <pageMargins left="0.75" right="0.75" top="1" bottom="1" header="0.5" footer="0.5"/>
      <pageSetup orientation="portrait" r:id="rId1"/>
      <headerFooter alignWithMargins="0"/>
    </customSheetView>
    <customSheetView guid="{A13B25D0-B104-46DD-B5CC-B628EEB53163}" state="hidden">
      <selection activeCell="A11" sqref="A11"/>
      <pageMargins left="0.75" right="0.75" top="1" bottom="1" header="0.5" footer="0.5"/>
      <pageSetup orientation="portrait" r:id="rId2"/>
      <headerFooter alignWithMargins="0"/>
    </customSheetView>
  </customSheetViews>
  <pageMargins left="0.75" right="0.75" top="1" bottom="1" header="0.5" footer="0.5"/>
  <pageSetup orientation="portrait"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249977111117893"/>
  </sheetPr>
  <dimension ref="A1:M38"/>
  <sheetViews>
    <sheetView zoomScale="110" zoomScaleNormal="110" zoomScaleSheetLayoutView="50" workbookViewId="0">
      <pane xSplit="2" ySplit="8" topLeftCell="C9" activePane="bottomRight" state="frozen"/>
      <selection activeCell="C6" sqref="C6"/>
      <selection pane="topRight" activeCell="C6" sqref="C6"/>
      <selection pane="bottomLeft" activeCell="C6" sqref="C6"/>
      <selection pane="bottomRight" activeCell="E21" sqref="E21"/>
    </sheetView>
  </sheetViews>
  <sheetFormatPr defaultColWidth="8.85546875" defaultRowHeight="12.75"/>
  <cols>
    <col min="1" max="1" width="3.28515625" style="376"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278</v>
      </c>
      <c r="D1" s="340"/>
      <c r="E1" s="340"/>
      <c r="F1" s="340"/>
      <c r="G1" s="340"/>
      <c r="H1" s="340"/>
      <c r="I1" s="340"/>
      <c r="J1" s="340"/>
      <c r="K1" s="340"/>
      <c r="L1" s="340"/>
      <c r="M1" s="341"/>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43"/>
      <c r="J3" s="343"/>
      <c r="K3" s="343"/>
      <c r="L3" s="343"/>
      <c r="M3" s="34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5"/>
      <c r="J4" s="135"/>
      <c r="K4" s="135"/>
      <c r="L4" s="135"/>
      <c r="M4" s="137"/>
    </row>
    <row r="5" spans="1:13" s="8" customFormat="1" ht="14.85" customHeight="1">
      <c r="A5" s="18"/>
      <c r="B5" s="148" t="s">
        <v>189</v>
      </c>
      <c r="C5" s="19" t="str">
        <f>IF('Day Activity Initial Eligibi'!C6="","",'Day Activity Initial Eligibi'!C6)</f>
        <v/>
      </c>
      <c r="D5" s="241" t="str">
        <f>IF('Day Activity Initial Eligibi'!D6="","",'Day Activity Initial Eligibi'!D6)</f>
        <v/>
      </c>
      <c r="E5" s="242" t="str">
        <f>IF('Day Activity Initial Eligibi'!E6="","",'Day Activity Initial Eligibi'!E6)</f>
        <v/>
      </c>
      <c r="F5" s="242" t="str">
        <f>IF('Day Activity Initial Eligibi'!F6="","",'Day Activity Initial Eligibi'!F6)</f>
        <v/>
      </c>
      <c r="G5" s="242" t="str">
        <f>IF('Day Activity Initial Eligibi'!G6="","",'Day Activity Initial Eligibi'!G6)</f>
        <v/>
      </c>
      <c r="H5" s="77" t="str">
        <f>IF('Day Activity Initial Eligibi'!H6="","",'Day Activity Initial Eligibi'!H6)</f>
        <v/>
      </c>
      <c r="I5" s="15"/>
      <c r="J5" s="16"/>
      <c r="K5" s="16"/>
      <c r="L5" s="16"/>
      <c r="M5" s="17"/>
    </row>
    <row r="6" spans="1:13" s="8" customFormat="1" ht="14.85" customHeight="1">
      <c r="A6" s="18"/>
      <c r="B6" s="148" t="s">
        <v>190</v>
      </c>
      <c r="C6" s="19" t="str">
        <f>IF('Day Activity Initial Eligibi'!C7="","",'Day Activity Initial Eligibi'!C7)</f>
        <v/>
      </c>
      <c r="D6" s="244" t="str">
        <f>IF('Day Activity Initial Eligibi'!D7="","",'Day Activity Initial Eligibi'!D7)</f>
        <v/>
      </c>
      <c r="E6" s="244" t="str">
        <f>IF('Day Activity Initial Eligibi'!E7="","",'Day Activity Initial Eligibi'!E7)</f>
        <v/>
      </c>
      <c r="F6" s="244" t="str">
        <f>IF('Day Activity Initial Eligibi'!F7="","",'Day Activity Initial Eligibi'!F7)</f>
        <v/>
      </c>
      <c r="G6" s="244" t="str">
        <f>IF('Day Activity Initial Eligibi'!G7="","",'Day Activity Initial Eligibi'!G7)</f>
        <v/>
      </c>
      <c r="H6" s="20" t="str">
        <f>IF('Day Activity Initial Eligibi'!H7="","",'Day Activity Initial Eligibi'!H7)</f>
        <v/>
      </c>
      <c r="I6" s="15"/>
      <c r="J6" s="16"/>
      <c r="K6" s="16"/>
      <c r="L6" s="16"/>
      <c r="M6" s="17"/>
    </row>
    <row r="7" spans="1:13" s="8" customFormat="1" ht="14.85" customHeight="1" thickBot="1">
      <c r="A7" s="18"/>
      <c r="B7" s="148" t="s">
        <v>188</v>
      </c>
      <c r="C7" s="196" t="str">
        <f>IF('Day Activity Initial Eligibi'!C9="","",'Day Activity Initial Eligibi'!C9)</f>
        <v/>
      </c>
      <c r="D7" s="243" t="str">
        <f>IF('Day Activity Initial Eligibi'!D9="","",'Day Activity Initial Eligibi'!D9)</f>
        <v/>
      </c>
      <c r="E7" s="243" t="str">
        <f>IF('Day Activity Initial Eligibi'!E9="","",'Day Activity Initial Eligibi'!E9)</f>
        <v/>
      </c>
      <c r="F7" s="243" t="str">
        <f>IF('Day Activity Initial Eligibi'!F9="","",'Day Activity Initial Eligibi'!F9)</f>
        <v/>
      </c>
      <c r="G7" s="243" t="str">
        <f>IF('Day Activity Initial Eligibi'!G9="","",'Day Activity Initial Eligibi'!G9)</f>
        <v/>
      </c>
      <c r="H7" s="197" t="str">
        <f>IF('Day Activity Initial Eligibi'!H9="","",'Day Activity Initial Eligibi'!H9)</f>
        <v/>
      </c>
      <c r="I7" s="22" t="s">
        <v>10</v>
      </c>
      <c r="J7" s="16"/>
      <c r="K7" s="16"/>
      <c r="L7" s="16"/>
      <c r="M7" s="17"/>
    </row>
    <row r="8" spans="1:13" s="10" customFormat="1" ht="32.1" customHeight="1" thickBot="1">
      <c r="A8" s="25" t="s">
        <v>11</v>
      </c>
      <c r="B8" s="472" t="s">
        <v>12</v>
      </c>
      <c r="C8" s="462">
        <v>1</v>
      </c>
      <c r="D8" s="463">
        <v>2</v>
      </c>
      <c r="E8" s="463">
        <v>3</v>
      </c>
      <c r="F8" s="463">
        <v>4</v>
      </c>
      <c r="G8" s="463">
        <v>5</v>
      </c>
      <c r="H8" s="470">
        <v>6</v>
      </c>
      <c r="I8" s="30" t="s">
        <v>13</v>
      </c>
      <c r="J8" s="31" t="s">
        <v>14</v>
      </c>
      <c r="K8" s="32" t="s">
        <v>15</v>
      </c>
      <c r="L8" s="33" t="s">
        <v>16</v>
      </c>
      <c r="M8" s="34" t="s">
        <v>17</v>
      </c>
    </row>
    <row r="9" spans="1:13" s="37" customFormat="1" ht="25.5">
      <c r="A9" s="362" t="s">
        <v>18</v>
      </c>
      <c r="B9" s="473" t="s">
        <v>277</v>
      </c>
      <c r="C9" s="180" t="str">
        <f>IF('Day Activity Initial Eligibi'!C12=0,"",'Day Activity Initial Eligibi'!C12)</f>
        <v/>
      </c>
      <c r="D9" s="180" t="str">
        <f>IF('Day Activity Initial Eligibi'!D12=0,"",'Day Activity Initial Eligibi'!D12)</f>
        <v/>
      </c>
      <c r="E9" s="180" t="str">
        <f>IF('Day Activity Initial Eligibi'!E12=0,"",'Day Activity Initial Eligibi'!E12)</f>
        <v/>
      </c>
      <c r="F9" s="180" t="str">
        <f>IF('Day Activity Initial Eligibi'!F12=0,"",'Day Activity Initial Eligibi'!F12)</f>
        <v/>
      </c>
      <c r="G9" s="180" t="str">
        <f>IF('Day Activity Initial Eligibi'!G12=0,"",'Day Activity Initial Eligibi'!G12)</f>
        <v/>
      </c>
      <c r="H9" s="180" t="str">
        <f>IF('Day Activity Initial Eligibi'!H12=0,"",'Day Activity Initial Eligibi'!H12)</f>
        <v/>
      </c>
      <c r="I9" s="459">
        <f>COUNTIF(C9:H9,"=Met")</f>
        <v>0</v>
      </c>
      <c r="J9" s="438">
        <f>IF(SUM(I9,K9)=0,0,I9/SUM(I9,K9))</f>
        <v>0</v>
      </c>
      <c r="K9" s="439">
        <f>COUNTIF(C9:H9,"=Not Met")</f>
        <v>0</v>
      </c>
      <c r="L9" s="438">
        <f t="shared" ref="L9" si="0">IF(SUM(I9,K9)=0,0,K9/SUM(I9,K9))</f>
        <v>0</v>
      </c>
      <c r="M9" s="440">
        <f>COUNTIF(C9:H9,"=N/A")</f>
        <v>0</v>
      </c>
    </row>
    <row r="10" spans="1:13" s="10" customFormat="1" ht="25.5">
      <c r="A10" s="156" t="s">
        <v>19</v>
      </c>
      <c r="B10" s="416" t="s">
        <v>207</v>
      </c>
      <c r="C10" s="180" t="str">
        <f>IF(AND(C17,C21="YES",COUNTIF(C11:C13,"YES")=3),"MET",IF(COUNTA(C12,C14:C16,C18:C20)=0,"","NOT MET"))</f>
        <v/>
      </c>
      <c r="D10" s="180" t="str">
        <f t="shared" ref="D10:H10" si="1">IF(AND(D17,D21="YES",COUNTIF(D11:D13,"YES")=3),"MET",IF(COUNTA(D12,D14:D16,D18:D20)=0,"","NOT MET"))</f>
        <v/>
      </c>
      <c r="E10" s="180" t="str">
        <f t="shared" si="1"/>
        <v/>
      </c>
      <c r="F10" s="180" t="str">
        <f t="shared" si="1"/>
        <v/>
      </c>
      <c r="G10" s="180" t="str">
        <f t="shared" si="1"/>
        <v/>
      </c>
      <c r="H10" s="436" t="str">
        <f t="shared" si="1"/>
        <v/>
      </c>
      <c r="I10" s="512"/>
      <c r="J10" s="513"/>
      <c r="K10" s="514"/>
      <c r="L10" s="513"/>
      <c r="M10" s="515"/>
    </row>
    <row r="11" spans="1:13" s="10" customFormat="1" ht="25.5">
      <c r="A11" s="156" t="s">
        <v>366</v>
      </c>
      <c r="B11" s="387" t="s">
        <v>204</v>
      </c>
      <c r="C11" s="388" t="str">
        <f>IF(C9="MET","YES",IF(C9="NOT MET","NO",IF(C9="","")))</f>
        <v/>
      </c>
      <c r="D11" s="388" t="str">
        <f t="shared" ref="D11:H11" si="2">IF(D9="MET","YES",IF(D9="NOT MET","NO",IF(D9="","")))</f>
        <v/>
      </c>
      <c r="E11" s="388" t="str">
        <f t="shared" si="2"/>
        <v/>
      </c>
      <c r="F11" s="388" t="str">
        <f t="shared" si="2"/>
        <v/>
      </c>
      <c r="G11" s="388" t="str">
        <f t="shared" si="2"/>
        <v/>
      </c>
      <c r="H11" s="388" t="str">
        <f t="shared" si="2"/>
        <v/>
      </c>
      <c r="I11" s="459">
        <f>COUNTIF(C11:H11,"=YES")</f>
        <v>0</v>
      </c>
      <c r="J11" s="438">
        <f t="shared" ref="J11" si="3">IF(SUM(I11,K11)=0,0,I11/SUM(I11,K11))</f>
        <v>0</v>
      </c>
      <c r="K11" s="439">
        <f>COUNTIF(C11:H11,"=Not")</f>
        <v>0</v>
      </c>
      <c r="L11" s="438">
        <f t="shared" ref="L11" si="4">IF(SUM(I11,K11)=0,0,K11/SUM(I11,K11))</f>
        <v>0</v>
      </c>
      <c r="M11" s="440">
        <f>COUNTIF(C11:H11,"=N/A")</f>
        <v>0</v>
      </c>
    </row>
    <row r="12" spans="1:13" s="10" customFormat="1">
      <c r="A12" s="156" t="s">
        <v>367</v>
      </c>
      <c r="B12" s="387" t="s">
        <v>205</v>
      </c>
      <c r="C12" s="50"/>
      <c r="D12" s="50"/>
      <c r="E12" s="50"/>
      <c r="F12" s="50"/>
      <c r="G12" s="50"/>
      <c r="H12" s="50"/>
      <c r="I12" s="459">
        <f>COUNTIF(C12:H12,"=YES")</f>
        <v>0</v>
      </c>
      <c r="J12" s="438">
        <f t="shared" ref="J12:J13" si="5">IF(SUM(I12,K12)=0,0,I12/SUM(I12,K12))</f>
        <v>0</v>
      </c>
      <c r="K12" s="439">
        <f>COUNTIF(C12:H12,"=Not")</f>
        <v>0</v>
      </c>
      <c r="L12" s="438">
        <f t="shared" ref="L12:L13" si="6">IF(SUM(I12,K12)=0,0,K12/SUM(I12,K12))</f>
        <v>0</v>
      </c>
      <c r="M12" s="440">
        <f>COUNTIF(C12:H12,"=N/A")</f>
        <v>0</v>
      </c>
    </row>
    <row r="13" spans="1:13" s="10" customFormat="1">
      <c r="A13" s="156" t="s">
        <v>368</v>
      </c>
      <c r="B13" s="387" t="s">
        <v>206</v>
      </c>
      <c r="C13" s="180" t="str">
        <f>IF(COUNTIF(C14:C16, "NO")=3,"NO",IF(COUNTIF(C14:C16, "YES")&gt;=1, "YES",IF(COUNTIF(C14:C16,"=N/A")=3,"N/A","")))</f>
        <v/>
      </c>
      <c r="D13" s="180" t="str">
        <f t="shared" ref="D13:H13" si="7">IF(COUNTIF(D14:D16, "NO")=3,"NO",IF(COUNTIF(D14:D16, "YES")&gt;=1, "YES",IF(COUNTIF(D14:D16,"=N/A")=3,"N/A","")))</f>
        <v/>
      </c>
      <c r="E13" s="180" t="str">
        <f t="shared" si="7"/>
        <v/>
      </c>
      <c r="F13" s="180" t="str">
        <f t="shared" si="7"/>
        <v/>
      </c>
      <c r="G13" s="180" t="str">
        <f t="shared" si="7"/>
        <v/>
      </c>
      <c r="H13" s="180" t="str">
        <f t="shared" si="7"/>
        <v/>
      </c>
      <c r="I13" s="459">
        <f>COUNTIF(C13:H13,"=YES")</f>
        <v>0</v>
      </c>
      <c r="J13" s="438">
        <f t="shared" si="5"/>
        <v>0</v>
      </c>
      <c r="K13" s="439">
        <f>COUNTIF(C13:H13,"=Not")</f>
        <v>0</v>
      </c>
      <c r="L13" s="438">
        <f t="shared" si="6"/>
        <v>0</v>
      </c>
      <c r="M13" s="440">
        <f>COUNTIF(C13:H13,"=N/A")</f>
        <v>0</v>
      </c>
    </row>
    <row r="14" spans="1:13" s="10" customFormat="1">
      <c r="A14" s="303" t="s">
        <v>324</v>
      </c>
      <c r="B14" s="387" t="s">
        <v>325</v>
      </c>
      <c r="C14" s="50"/>
      <c r="D14" s="50"/>
      <c r="E14" s="50"/>
      <c r="F14" s="50"/>
      <c r="G14" s="50"/>
      <c r="H14" s="50"/>
      <c r="I14" s="448"/>
      <c r="J14" s="415"/>
      <c r="K14" s="414"/>
      <c r="L14" s="415"/>
      <c r="M14" s="449"/>
    </row>
    <row r="15" spans="1:13" s="10" customFormat="1">
      <c r="A15" s="303" t="s">
        <v>322</v>
      </c>
      <c r="B15" s="387" t="s">
        <v>326</v>
      </c>
      <c r="C15" s="50"/>
      <c r="D15" s="50"/>
      <c r="E15" s="50"/>
      <c r="F15" s="50"/>
      <c r="G15" s="50"/>
      <c r="H15" s="50"/>
      <c r="I15" s="448"/>
      <c r="J15" s="415"/>
      <c r="K15" s="414"/>
      <c r="L15" s="415"/>
      <c r="M15" s="449"/>
    </row>
    <row r="16" spans="1:13" s="10" customFormat="1">
      <c r="A16" s="303" t="s">
        <v>323</v>
      </c>
      <c r="B16" s="387" t="s">
        <v>210</v>
      </c>
      <c r="C16" s="50"/>
      <c r="D16" s="50"/>
      <c r="E16" s="50"/>
      <c r="F16" s="50"/>
      <c r="G16" s="50"/>
      <c r="H16" s="50"/>
      <c r="I16" s="448"/>
      <c r="J16" s="415"/>
      <c r="K16" s="414"/>
      <c r="L16" s="415"/>
      <c r="M16" s="449"/>
    </row>
    <row r="17" spans="1:13" s="10" customFormat="1" ht="25.5">
      <c r="A17" s="303" t="s">
        <v>369</v>
      </c>
      <c r="B17" s="387" t="s">
        <v>211</v>
      </c>
      <c r="C17" s="180" t="str">
        <f>IF(COUNTIF(C18:C20, "NO")=3,"NO",IF(COUNTIF(C18:C20, "YES")&gt;=1, "YES",IF(COUNTIF(C18:C20,"=N/A")=3,"N/A","")))</f>
        <v/>
      </c>
      <c r="D17" s="180" t="str">
        <f t="shared" ref="D17:H17" si="8">IF(COUNTIF(D18:D20, "NO")=3,"NO",IF(COUNTIF(D18:D20, "YES")&gt;=1, "YES",IF(COUNTIF(D18:D20,"=N/A")=3,"N/A","")))</f>
        <v/>
      </c>
      <c r="E17" s="180" t="str">
        <f t="shared" si="8"/>
        <v/>
      </c>
      <c r="F17" s="180" t="str">
        <f t="shared" si="8"/>
        <v/>
      </c>
      <c r="G17" s="180" t="str">
        <f t="shared" si="8"/>
        <v/>
      </c>
      <c r="H17" s="180" t="str">
        <f t="shared" si="8"/>
        <v/>
      </c>
      <c r="I17" s="459">
        <f>COUNTIF(C17:H17,"=YES")</f>
        <v>0</v>
      </c>
      <c r="J17" s="438">
        <f t="shared" ref="J17" si="9">IF(SUM(I17,K17)=0,0,I17/SUM(I17,K17))</f>
        <v>0</v>
      </c>
      <c r="K17" s="439">
        <f>COUNTIF(C17:H17,"=Not")</f>
        <v>0</v>
      </c>
      <c r="L17" s="438">
        <f t="shared" ref="L17" si="10">IF(SUM(I17,K17)=0,0,K17/SUM(I17,K17))</f>
        <v>0</v>
      </c>
      <c r="M17" s="440">
        <f>COUNTIF(C17:H17,"=N/A")</f>
        <v>0</v>
      </c>
    </row>
    <row r="18" spans="1:13" s="10" customFormat="1" ht="25.5">
      <c r="A18" s="303" t="s">
        <v>324</v>
      </c>
      <c r="B18" s="387" t="s">
        <v>329</v>
      </c>
      <c r="C18" s="50"/>
      <c r="D18" s="50"/>
      <c r="E18" s="50"/>
      <c r="F18" s="50"/>
      <c r="G18" s="50"/>
      <c r="H18" s="50"/>
      <c r="I18" s="448"/>
      <c r="J18" s="415"/>
      <c r="K18" s="414"/>
      <c r="L18" s="415"/>
      <c r="M18" s="449"/>
    </row>
    <row r="19" spans="1:13" s="10" customFormat="1" ht="25.5">
      <c r="A19" s="303" t="s">
        <v>322</v>
      </c>
      <c r="B19" s="387" t="s">
        <v>327</v>
      </c>
      <c r="C19" s="50"/>
      <c r="D19" s="50"/>
      <c r="E19" s="50"/>
      <c r="F19" s="50"/>
      <c r="G19" s="50"/>
      <c r="H19" s="50"/>
      <c r="I19" s="448"/>
      <c r="J19" s="415"/>
      <c r="K19" s="414"/>
      <c r="L19" s="415"/>
      <c r="M19" s="449"/>
    </row>
    <row r="20" spans="1:13" s="10" customFormat="1" ht="25.5">
      <c r="A20" s="303" t="s">
        <v>323</v>
      </c>
      <c r="B20" s="387" t="s">
        <v>328</v>
      </c>
      <c r="C20" s="50"/>
      <c r="D20" s="50"/>
      <c r="E20" s="50"/>
      <c r="F20" s="50"/>
      <c r="G20" s="50"/>
      <c r="H20" s="50"/>
      <c r="I20" s="448"/>
      <c r="J20" s="415"/>
      <c r="K20" s="414"/>
      <c r="L20" s="415"/>
      <c r="M20" s="449"/>
    </row>
    <row r="21" spans="1:13" s="10" customFormat="1" ht="26.25" thickBot="1">
      <c r="A21" s="385" t="s">
        <v>370</v>
      </c>
      <c r="B21" s="387" t="s">
        <v>215</v>
      </c>
      <c r="C21" s="50"/>
      <c r="D21" s="50"/>
      <c r="E21" s="50"/>
      <c r="F21" s="50"/>
      <c r="G21" s="50"/>
      <c r="H21" s="50"/>
      <c r="I21" s="450"/>
      <c r="J21" s="451"/>
      <c r="K21" s="452"/>
      <c r="L21" s="451"/>
      <c r="M21" s="453"/>
    </row>
    <row r="22" spans="1:13" s="10" customFormat="1" ht="13.9" customHeight="1" thickBot="1">
      <c r="A22" s="376"/>
      <c r="B22" s="53" t="s">
        <v>24</v>
      </c>
      <c r="C22" s="378"/>
      <c r="D22" s="379"/>
      <c r="E22" s="379"/>
      <c r="F22" s="379"/>
      <c r="G22" s="379"/>
      <c r="H22" s="392"/>
      <c r="I22" s="248"/>
      <c r="J22" s="248"/>
      <c r="K22" s="248"/>
      <c r="L22" s="248"/>
      <c r="M22" s="249"/>
    </row>
    <row r="23" spans="1:13" s="10" customFormat="1" ht="13.9" customHeight="1" thickBot="1">
      <c r="A23" s="376"/>
      <c r="B23" s="53"/>
      <c r="C23" s="55"/>
      <c r="D23" s="55"/>
      <c r="E23" s="55"/>
      <c r="F23" s="55"/>
      <c r="G23" s="55"/>
      <c r="H23" s="55"/>
      <c r="I23" s="54"/>
      <c r="J23" s="54"/>
      <c r="K23" s="54"/>
      <c r="L23" s="54"/>
      <c r="M23" s="54"/>
    </row>
    <row r="24" spans="1:13" s="10" customFormat="1" ht="13.9" customHeight="1">
      <c r="A24" s="376"/>
      <c r="B24" s="56" t="s">
        <v>25</v>
      </c>
      <c r="C24" s="57">
        <f t="shared" ref="C24:H24" si="11">COUNTIF(C9:C21,"=Met")</f>
        <v>0</v>
      </c>
      <c r="D24" s="58">
        <f t="shared" si="11"/>
        <v>0</v>
      </c>
      <c r="E24" s="58">
        <f t="shared" si="11"/>
        <v>0</v>
      </c>
      <c r="F24" s="58">
        <f t="shared" si="11"/>
        <v>0</v>
      </c>
      <c r="G24" s="58">
        <f t="shared" si="11"/>
        <v>0</v>
      </c>
      <c r="H24" s="150">
        <f t="shared" si="11"/>
        <v>0</v>
      </c>
      <c r="I24" s="59"/>
      <c r="J24" s="60"/>
      <c r="K24" s="60"/>
      <c r="L24" s="60"/>
      <c r="M24" s="60"/>
    </row>
    <row r="25" spans="1:13" s="10" customFormat="1" ht="13.9" customHeight="1">
      <c r="A25" s="376"/>
      <c r="B25" s="56" t="s">
        <v>26</v>
      </c>
      <c r="C25" s="61">
        <f t="shared" ref="C25:H25" si="12">IF(SUM(C24,C26)=0,0,C24/SUM(C24,C26))</f>
        <v>0</v>
      </c>
      <c r="D25" s="62">
        <f t="shared" si="12"/>
        <v>0</v>
      </c>
      <c r="E25" s="62">
        <f t="shared" si="12"/>
        <v>0</v>
      </c>
      <c r="F25" s="62">
        <f t="shared" si="12"/>
        <v>0</v>
      </c>
      <c r="G25" s="62">
        <f t="shared" si="12"/>
        <v>0</v>
      </c>
      <c r="H25" s="151">
        <f t="shared" si="12"/>
        <v>0</v>
      </c>
      <c r="I25" s="59"/>
      <c r="J25" s="60"/>
      <c r="K25" s="60"/>
      <c r="L25" s="60"/>
      <c r="M25" s="60"/>
    </row>
    <row r="26" spans="1:13" s="10" customFormat="1" ht="13.9" customHeight="1">
      <c r="A26" s="376"/>
      <c r="B26" s="56" t="s">
        <v>27</v>
      </c>
      <c r="C26" s="63">
        <f t="shared" ref="C26:H26" si="13">COUNTIF(C9:C21,"=Not Met")</f>
        <v>0</v>
      </c>
      <c r="D26" s="64">
        <f t="shared" si="13"/>
        <v>0</v>
      </c>
      <c r="E26" s="64">
        <f t="shared" si="13"/>
        <v>0</v>
      </c>
      <c r="F26" s="64">
        <f t="shared" si="13"/>
        <v>0</v>
      </c>
      <c r="G26" s="64">
        <f t="shared" si="13"/>
        <v>0</v>
      </c>
      <c r="H26" s="152">
        <f t="shared" si="13"/>
        <v>0</v>
      </c>
      <c r="I26" s="59"/>
      <c r="J26" s="60"/>
      <c r="K26" s="60"/>
      <c r="L26" s="60"/>
      <c r="M26" s="60"/>
    </row>
    <row r="27" spans="1:13" s="10" customFormat="1" ht="13.9" customHeight="1">
      <c r="A27" s="376"/>
      <c r="B27" s="56" t="s">
        <v>28</v>
      </c>
      <c r="C27" s="61">
        <f t="shared" ref="C27:H27" si="14">IF(SUM(C24,C26)=0,0,C26/SUM(C24,C26))</f>
        <v>0</v>
      </c>
      <c r="D27" s="62">
        <f t="shared" si="14"/>
        <v>0</v>
      </c>
      <c r="E27" s="62">
        <f t="shared" si="14"/>
        <v>0</v>
      </c>
      <c r="F27" s="62">
        <f t="shared" si="14"/>
        <v>0</v>
      </c>
      <c r="G27" s="62">
        <f t="shared" si="14"/>
        <v>0</v>
      </c>
      <c r="H27" s="151">
        <f t="shared" si="14"/>
        <v>0</v>
      </c>
      <c r="I27" s="59"/>
      <c r="J27" s="60"/>
      <c r="K27" s="60"/>
      <c r="L27" s="60"/>
      <c r="M27" s="60"/>
    </row>
    <row r="28" spans="1:13" s="10" customFormat="1" ht="13.9" customHeight="1" thickBot="1">
      <c r="A28" s="376"/>
      <c r="B28" s="56" t="s">
        <v>29</v>
      </c>
      <c r="C28" s="65">
        <f t="shared" ref="C28:H28" si="15">COUNTIF(C9:C21,"=N/A")</f>
        <v>0</v>
      </c>
      <c r="D28" s="66">
        <f t="shared" si="15"/>
        <v>0</v>
      </c>
      <c r="E28" s="66">
        <f t="shared" si="15"/>
        <v>0</v>
      </c>
      <c r="F28" s="66">
        <f t="shared" si="15"/>
        <v>0</v>
      </c>
      <c r="G28" s="66">
        <f t="shared" si="15"/>
        <v>0</v>
      </c>
      <c r="H28" s="153">
        <f t="shared" si="15"/>
        <v>0</v>
      </c>
      <c r="I28" s="67"/>
      <c r="J28" s="68"/>
      <c r="K28" s="68"/>
      <c r="L28" s="68"/>
      <c r="M28" s="68"/>
    </row>
    <row r="29" spans="1:13" s="10" customFormat="1" ht="13.9" customHeight="1">
      <c r="A29" s="545"/>
      <c r="B29" s="545"/>
      <c r="C29" s="545"/>
      <c r="D29" s="545"/>
      <c r="E29" s="545"/>
      <c r="F29" s="545"/>
      <c r="G29" s="545"/>
      <c r="H29" s="545"/>
      <c r="I29" s="545"/>
      <c r="J29" s="545"/>
      <c r="K29" s="545"/>
      <c r="L29" s="545"/>
      <c r="M29" s="545"/>
    </row>
    <row r="30" spans="1:13" s="10" customFormat="1" ht="25.15" customHeight="1">
      <c r="A30" s="211"/>
      <c r="B30" s="212" t="s">
        <v>152</v>
      </c>
      <c r="C30" s="215" t="s">
        <v>18</v>
      </c>
      <c r="D30" s="546"/>
      <c r="E30" s="547"/>
      <c r="F30" s="547"/>
      <c r="G30" s="547"/>
      <c r="H30" s="547"/>
      <c r="I30" s="547"/>
      <c r="J30" s="547"/>
      <c r="K30" s="547"/>
      <c r="L30" s="547"/>
      <c r="M30" s="548"/>
    </row>
    <row r="31" spans="1:13" s="10" customFormat="1" ht="25.15" customHeight="1">
      <c r="A31" s="211"/>
      <c r="B31" s="213"/>
      <c r="C31" s="216" t="s">
        <v>19</v>
      </c>
      <c r="D31" s="539"/>
      <c r="E31" s="540"/>
      <c r="F31" s="540"/>
      <c r="G31" s="540"/>
      <c r="H31" s="540"/>
      <c r="I31" s="540"/>
      <c r="J31" s="540"/>
      <c r="K31" s="540"/>
      <c r="L31" s="540"/>
      <c r="M31" s="541"/>
    </row>
    <row r="32" spans="1:13" s="10" customFormat="1" ht="25.15" customHeight="1">
      <c r="A32" s="211"/>
      <c r="B32" s="213"/>
      <c r="C32" s="216" t="s">
        <v>20</v>
      </c>
      <c r="D32" s="539"/>
      <c r="E32" s="540"/>
      <c r="F32" s="540"/>
      <c r="G32" s="540"/>
      <c r="H32" s="540"/>
      <c r="I32" s="540"/>
      <c r="J32" s="540"/>
      <c r="K32" s="540"/>
      <c r="L32" s="540"/>
      <c r="M32" s="541"/>
    </row>
    <row r="33" spans="1:13" s="10" customFormat="1" ht="25.15" customHeight="1">
      <c r="A33" s="211"/>
      <c r="B33" s="213"/>
      <c r="C33" s="216" t="s">
        <v>21</v>
      </c>
      <c r="D33" s="539"/>
      <c r="E33" s="540"/>
      <c r="F33" s="540"/>
      <c r="G33" s="540"/>
      <c r="H33" s="540"/>
      <c r="I33" s="540"/>
      <c r="J33" s="540"/>
      <c r="K33" s="540"/>
      <c r="L33" s="540"/>
      <c r="M33" s="541"/>
    </row>
    <row r="34" spans="1:13" s="10" customFormat="1" ht="25.15" customHeight="1">
      <c r="A34" s="211"/>
      <c r="B34" s="213"/>
      <c r="C34" s="216" t="s">
        <v>22</v>
      </c>
      <c r="D34" s="539"/>
      <c r="E34" s="540"/>
      <c r="F34" s="540"/>
      <c r="G34" s="540"/>
      <c r="H34" s="540"/>
      <c r="I34" s="540"/>
      <c r="J34" s="540"/>
      <c r="K34" s="540"/>
      <c r="L34" s="540"/>
      <c r="M34" s="541"/>
    </row>
    <row r="35" spans="1:13" ht="25.15" customHeight="1">
      <c r="A35" s="211"/>
      <c r="B35" s="214"/>
      <c r="C35" s="217" t="s">
        <v>23</v>
      </c>
      <c r="D35" s="542"/>
      <c r="E35" s="543"/>
      <c r="F35" s="543"/>
      <c r="G35" s="543"/>
      <c r="H35" s="543"/>
      <c r="I35" s="543"/>
      <c r="J35" s="543"/>
      <c r="K35" s="543"/>
      <c r="L35" s="543"/>
      <c r="M35" s="544"/>
    </row>
    <row r="36" spans="1:13">
      <c r="B36" s="163"/>
    </row>
    <row r="37" spans="1:13">
      <c r="B37" s="163"/>
    </row>
    <row r="38" spans="1:13">
      <c r="B38" s="163"/>
    </row>
  </sheetData>
  <sheetProtection sheet="1" objects="1" scenarios="1"/>
  <customSheetViews>
    <customSheetView guid="{2A3E70A9-51A3-4722-9775-16DBEA0F14B3}">
      <pane xSplit="2" ySplit="8" topLeftCell="C12" activePane="bottomRight" state="frozen"/>
      <selection pane="bottomRight" activeCell="D15" sqref="D15"/>
      <pageMargins left="0.2" right="0.2" top="0.3" bottom="0.35" header="0.25" footer="0"/>
      <printOptions horizontalCentered="1"/>
      <pageSetup paperSize="5" scale="94" orientation="landscape" r:id="rId1"/>
      <headerFooter alignWithMargins="0">
        <oddFooter>&amp;L&amp;8&amp;K000000IDD Group Living - Sevices Initial Authorization&amp;R&amp;8&amp;K000000&amp;P</oddFooter>
      </headerFooter>
    </customSheetView>
    <customSheetView guid="{A13B25D0-B104-46DD-B5CC-B628EEB53163}">
      <pane xSplit="2" ySplit="8" topLeftCell="C12" activePane="bottomRight" state="frozen"/>
      <selection pane="bottomRight" activeCell="D15" sqref="D15"/>
      <pageMargins left="0.2" right="0.2" top="0.3" bottom="0.35" header="0.25" footer="0"/>
      <printOptions horizontalCentered="1"/>
      <pageSetup paperSize="5" scale="94" orientation="landscape" r:id="rId2"/>
      <headerFooter alignWithMargins="0">
        <oddFooter>&amp;L&amp;8&amp;K000000IDD Group Living - Sevices Initial Authorization&amp;R&amp;8&amp;K000000&amp;P</oddFooter>
      </headerFooter>
    </customSheetView>
  </customSheetViews>
  <mergeCells count="7">
    <mergeCell ref="D35:M35"/>
    <mergeCell ref="A29:M29"/>
    <mergeCell ref="D30:M30"/>
    <mergeCell ref="D31:M31"/>
    <mergeCell ref="D32:M32"/>
    <mergeCell ref="D33:M33"/>
    <mergeCell ref="D34:M34"/>
  </mergeCells>
  <conditionalFormatting sqref="C11:H12 C14:H16 C18:H21">
    <cfRule type="expression" dxfId="211" priority="8" stopIfTrue="1">
      <formula>AND(C$9&lt;&gt;"",C11="")</formula>
    </cfRule>
    <cfRule type="cellIs" dxfId="210" priority="10" stopIfTrue="1" operator="equal">
      <formula>"N/A"</formula>
    </cfRule>
  </conditionalFormatting>
  <conditionalFormatting sqref="C9:H9 C11:H12 C14:H16 C18:H21">
    <cfRule type="cellIs" dxfId="209" priority="9" stopIfTrue="1" operator="equal">
      <formula>"Not Met"</formula>
    </cfRule>
  </conditionalFormatting>
  <conditionalFormatting sqref="C9:H9">
    <cfRule type="expression" dxfId="208" priority="7" stopIfTrue="1">
      <formula>OR(C9="",C9="N/A")</formula>
    </cfRule>
  </conditionalFormatting>
  <conditionalFormatting sqref="C17:H17">
    <cfRule type="cellIs" dxfId="207" priority="4" stopIfTrue="1" operator="equal">
      <formula>"Not Met"</formula>
    </cfRule>
  </conditionalFormatting>
  <conditionalFormatting sqref="C17:H17">
    <cfRule type="expression" dxfId="206" priority="3" stopIfTrue="1">
      <formula>OR(C17="",C17="N/A")</formula>
    </cfRule>
  </conditionalFormatting>
  <conditionalFormatting sqref="C10:H10">
    <cfRule type="cellIs" dxfId="205" priority="6" stopIfTrue="1" operator="equal">
      <formula>"Not Met"</formula>
    </cfRule>
  </conditionalFormatting>
  <conditionalFormatting sqref="C10:H10">
    <cfRule type="expression" dxfId="204" priority="5" stopIfTrue="1">
      <formula>OR(C10="",C10="N/A")</formula>
    </cfRule>
  </conditionalFormatting>
  <conditionalFormatting sqref="C13:H13">
    <cfRule type="cellIs" dxfId="203" priority="2" stopIfTrue="1" operator="equal">
      <formula>"Not Met"</formula>
    </cfRule>
  </conditionalFormatting>
  <conditionalFormatting sqref="C13:H13">
    <cfRule type="expression" dxfId="202" priority="1" stopIfTrue="1">
      <formula>OR(C13="",C13="N/A")</formula>
    </cfRule>
  </conditionalFormatting>
  <dataValidations count="2">
    <dataValidation type="list" allowBlank="1" showInputMessage="1" showErrorMessage="1" sqref="C12:H12 C21:H21" xr:uid="{00000000-0002-0000-1000-000001000000}">
      <formula1>"YES,NO"</formula1>
    </dataValidation>
    <dataValidation type="list" allowBlank="1" showInputMessage="1" showErrorMessage="1" sqref="C14:H16 C18:H20" xr:uid="{00000000-0002-0000-1000-000002000000}">
      <formula1>"YES,NO,N/A"</formula1>
    </dataValidation>
  </dataValidations>
  <printOptions horizontalCentered="1"/>
  <pageMargins left="0.2" right="0.2" top="0.3" bottom="0.35" header="0.25" footer="0"/>
  <pageSetup paperSize="5" scale="94" orientation="landscape" r:id="rId3"/>
  <headerFooter alignWithMargins="0">
    <oddFooter>&amp;L&amp;8&amp;K000000IDD Group Living - Sevices Initial Authorization&amp;R&amp;8&amp;K000000&amp;P</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H19"/>
  <sheetViews>
    <sheetView showGridLines="0" zoomScaleNormal="100" workbookViewId="0">
      <pane xSplit="2" ySplit="11" topLeftCell="C12" activePane="bottomRight" state="frozen"/>
      <selection activeCell="C3" sqref="C3"/>
      <selection pane="topRight" activeCell="C3" sqref="C3"/>
      <selection pane="bottomLeft" activeCell="C3" sqref="C3"/>
      <selection pane="bottomRight" activeCell="E13" sqref="E13"/>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276</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5" activePane="bottomRight" state="frozen"/>
      <selection pane="bottomRight" activeCell="C18" sqref="C13:C18"/>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5" activePane="bottomRight" state="frozen"/>
      <selection pane="bottomRight" activeCell="C18" sqref="C13:C18"/>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01" priority="1" operator="equal">
      <formula>"NOT MET"</formula>
    </cfRule>
    <cfRule type="cellIs" dxfId="200" priority="2" operator="equal">
      <formula>"MET"</formula>
    </cfRule>
  </conditionalFormatting>
  <dataValidations count="2">
    <dataValidation type="list" allowBlank="1" showInputMessage="1" showErrorMessage="1" sqref="C13:H17" xr:uid="{00000000-0002-0000-1100-000000000000}">
      <formula1>"YES, NO"</formula1>
    </dataValidation>
    <dataValidation type="list" allowBlank="1" showInputMessage="1" showErrorMessage="1" sqref="C7:H7" xr:uid="{00000000-0002-0000-11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249977111117893"/>
  </sheetPr>
  <dimension ref="A1:BF41"/>
  <sheetViews>
    <sheetView zoomScaleNormal="100" zoomScaleSheetLayoutView="50" workbookViewId="0">
      <pane xSplit="2" ySplit="8" topLeftCell="C9" activePane="bottomRight" state="frozen"/>
      <selection activeCell="C9" sqref="C9"/>
      <selection pane="topRight" activeCell="C9" sqref="C9"/>
      <selection pane="bottomLeft" activeCell="C9" sqref="C9"/>
      <selection pane="bottomRight" activeCell="E19" sqref="E19"/>
    </sheetView>
  </sheetViews>
  <sheetFormatPr defaultColWidth="8.85546875" defaultRowHeight="12.75"/>
  <cols>
    <col min="1" max="1" width="3.28515625" style="314" customWidth="1"/>
    <col min="2" max="2" width="75.7109375" style="69" customWidth="1"/>
    <col min="3" max="3" width="9.140625" style="70" bestFit="1" customWidth="1"/>
    <col min="4" max="8" width="7.7109375" style="70" customWidth="1"/>
    <col min="9" max="13" width="7.7109375" style="71" customWidth="1"/>
    <col min="14" max="16384" width="8.85546875" style="3"/>
  </cols>
  <sheetData>
    <row r="1" spans="1:58" ht="18" customHeight="1">
      <c r="A1" s="130"/>
      <c r="B1" s="131"/>
      <c r="C1" s="342" t="s">
        <v>273</v>
      </c>
      <c r="D1" s="340"/>
      <c r="E1" s="340"/>
      <c r="F1" s="340"/>
      <c r="G1" s="340"/>
      <c r="H1" s="340"/>
      <c r="I1" s="131"/>
      <c r="J1" s="131"/>
      <c r="K1" s="131"/>
      <c r="L1" s="131"/>
      <c r="M1" s="246"/>
    </row>
    <row r="2" spans="1:58" ht="18" customHeight="1">
      <c r="A2" s="132"/>
      <c r="B2" s="146" t="s">
        <v>165</v>
      </c>
      <c r="C2" s="145" t="str">
        <f>IF('Workbook Set-up'!$B$4="","[Name of LME-MCO]",'Workbook Set-up'!$B$4)</f>
        <v>Trillium Health Resources</v>
      </c>
      <c r="D2" s="133"/>
      <c r="E2" s="133"/>
      <c r="F2" s="133"/>
      <c r="G2" s="133"/>
      <c r="H2" s="133"/>
      <c r="I2" s="133"/>
      <c r="J2" s="133"/>
      <c r="K2" s="133"/>
      <c r="L2" s="133"/>
      <c r="M2" s="140"/>
    </row>
    <row r="3" spans="1:58"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58"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6"/>
      <c r="J4" s="141"/>
      <c r="K4" s="141"/>
      <c r="L4" s="141"/>
      <c r="M4" s="142"/>
    </row>
    <row r="5" spans="1:58" s="8" customFormat="1" ht="14.85" customHeight="1">
      <c r="A5" s="18"/>
      <c r="B5" s="148" t="s">
        <v>189</v>
      </c>
      <c r="C5" s="355" t="str">
        <f>IF('Dev Day Cont Eligibilit'!C6="","",'Dev Day Cont Eligibilit'!C6)</f>
        <v/>
      </c>
      <c r="D5" s="356" t="str">
        <f>IF('Dev Day Cont Eligibilit'!D6="","",'Dev Day Cont Eligibilit'!D6)</f>
        <v/>
      </c>
      <c r="E5" s="356" t="str">
        <f>IF('Dev Day Cont Eligibilit'!E6="","",'Dev Day Cont Eligibilit'!E6)</f>
        <v/>
      </c>
      <c r="F5" s="356" t="str">
        <f>IF('Dev Day Cont Eligibilit'!F6="","",'Dev Day Cont Eligibilit'!F6)</f>
        <v/>
      </c>
      <c r="G5" s="356" t="str">
        <f>IF('Dev Day Cont Eligibilit'!G6="","",'Dev Day Cont Eligibilit'!G6)</f>
        <v/>
      </c>
      <c r="H5" s="357" t="str">
        <f>IF('Dev Day Cont Eligibilit'!H6="","",'Dev Day Cont Eligibilit'!H6)</f>
        <v/>
      </c>
      <c r="I5" s="15"/>
      <c r="J5" s="16"/>
      <c r="K5" s="16"/>
      <c r="L5" s="16"/>
      <c r="M5" s="17"/>
    </row>
    <row r="6" spans="1:58" s="8" customFormat="1" ht="14.85" customHeight="1">
      <c r="A6" s="18"/>
      <c r="B6" s="148" t="s">
        <v>190</v>
      </c>
      <c r="C6" s="358" t="str">
        <f>IF('Dev Day Cont Eligibilit'!C7="","",'Dev Day Cont Eligibilit'!C7)</f>
        <v/>
      </c>
      <c r="D6" s="242" t="str">
        <f>IF('Dev Day Cont Eligibilit'!D7="","",'Dev Day Cont Eligibilit'!D7)</f>
        <v/>
      </c>
      <c r="E6" s="242" t="str">
        <f>IF('Dev Day Cont Eligibilit'!E7="","",'Dev Day Cont Eligibilit'!E7)</f>
        <v/>
      </c>
      <c r="F6" s="242" t="str">
        <f>IF('Dev Day Cont Eligibilit'!F7="","",'Dev Day Cont Eligibilit'!F7)</f>
        <v/>
      </c>
      <c r="G6" s="242" t="str">
        <f>IF('Dev Day Cont Eligibilit'!G7="","",'Dev Day Cont Eligibilit'!G7)</f>
        <v/>
      </c>
      <c r="H6" s="308" t="str">
        <f>IF('Dev Day Cont Eligibilit'!H7="","",'Dev Day Cont Eligibilit'!H7)</f>
        <v/>
      </c>
      <c r="I6" s="15"/>
      <c r="J6" s="16"/>
      <c r="K6" s="16"/>
      <c r="L6" s="16"/>
      <c r="M6" s="17"/>
    </row>
    <row r="7" spans="1:58" s="8" customFormat="1" ht="14.85" customHeight="1" thickBot="1">
      <c r="A7" s="18"/>
      <c r="B7" s="148" t="s">
        <v>188</v>
      </c>
      <c r="C7" s="359" t="str">
        <f>IF('Dev Day Cont Eligibilit'!C9="","",'Dev Day Cont Eligibilit'!C9)</f>
        <v/>
      </c>
      <c r="D7" s="360" t="str">
        <f>IF('Dev Day Cont Eligibilit'!D9="","",'Dev Day Cont Eligibilit'!D9)</f>
        <v/>
      </c>
      <c r="E7" s="360" t="str">
        <f>IF('Dev Day Cont Eligibilit'!E9="","",'Dev Day Cont Eligibilit'!E9)</f>
        <v/>
      </c>
      <c r="F7" s="360" t="str">
        <f>IF('Dev Day Cont Eligibilit'!F9="","",'Dev Day Cont Eligibilit'!F9)</f>
        <v/>
      </c>
      <c r="G7" s="360" t="str">
        <f>IF('Dev Day Cont Eligibilit'!G9="","",'Dev Day Cont Eligibilit'!G9)</f>
        <v/>
      </c>
      <c r="H7" s="361" t="str">
        <f>IF('Dev Day Cont Eligibilit'!H9="","",'Dev Day Cont Eligibilit'!H9)</f>
        <v/>
      </c>
      <c r="I7" s="15" t="s">
        <v>10</v>
      </c>
      <c r="J7" s="16"/>
      <c r="K7" s="16"/>
      <c r="L7" s="16"/>
      <c r="M7" s="17"/>
    </row>
    <row r="8" spans="1:58"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58" s="37" customFormat="1" ht="25.5">
      <c r="A9" s="45" t="s">
        <v>18</v>
      </c>
      <c r="B9" s="157" t="s">
        <v>277</v>
      </c>
      <c r="C9" s="174" t="str">
        <f>IF('Day Activity Cont Eligibilit'!C12=0,"",'Day Activity Cont Eligibilit'!C12)</f>
        <v/>
      </c>
      <c r="D9" s="174" t="str">
        <f>IF('Day Activity Cont Eligibilit'!D12=0,"",'Day Activity Cont Eligibilit'!D12)</f>
        <v/>
      </c>
      <c r="E9" s="174" t="str">
        <f>IF('Day Activity Cont Eligibilit'!E12=0,"",'Day Activity Cont Eligibilit'!E12)</f>
        <v/>
      </c>
      <c r="F9" s="174" t="str">
        <f>IF('Day Activity Cont Eligibilit'!F12=0,"",'Day Activity Cont Eligibilit'!F12)</f>
        <v/>
      </c>
      <c r="G9" s="174" t="str">
        <f>IF('Day Activity Cont Eligibilit'!G12=0,"",'Day Activity Cont Eligibilit'!G12)</f>
        <v/>
      </c>
      <c r="H9" s="174" t="str">
        <f>IF('Day Activity Cont Eligibilit'!H12=0,"",'Day Activity Cont Eligibilit'!H12)</f>
        <v/>
      </c>
      <c r="I9" s="437">
        <f>COUNTIF(C9:H9,"=Met")</f>
        <v>0</v>
      </c>
      <c r="J9" s="438">
        <f t="shared" ref="J9" si="0">IF(SUM(I9,K9)=0,0,I9/SUM(I9,K9))</f>
        <v>0</v>
      </c>
      <c r="K9" s="439">
        <f>COUNTIF(C9:H9,"=Not Met")</f>
        <v>0</v>
      </c>
      <c r="L9" s="438">
        <f t="shared" ref="L9" si="1">IF(SUM(I9,K9)=0,0,K9/SUM(I9,K9))</f>
        <v>0</v>
      </c>
      <c r="M9" s="440">
        <f>COUNTIF(C9:H9,"=N/A")</f>
        <v>0</v>
      </c>
    </row>
    <row r="10" spans="1:58" s="37" customFormat="1" ht="25.5">
      <c r="A10" s="362" t="s">
        <v>19</v>
      </c>
      <c r="B10" s="309" t="s">
        <v>207</v>
      </c>
      <c r="C10" s="477" t="str">
        <f>IF(AND(C17,C22="YES",COUNTIF(C11:C13,"YES")=3),"MET",IF(COUNTA(C12,C14:C17,C22)&gt;=1,"","NOT MET"))</f>
        <v/>
      </c>
      <c r="D10" s="477" t="str">
        <f t="shared" ref="D10:H10" si="2">IF(AND(D17,D22="YES",COUNTIF(D11:D13,"YES")=3),"MET",IF(COUNTA(D12,D14:D17,D22)&gt;=1,"","NOT MET"))</f>
        <v/>
      </c>
      <c r="E10" s="477" t="str">
        <f t="shared" si="2"/>
        <v/>
      </c>
      <c r="F10" s="477" t="str">
        <f t="shared" si="2"/>
        <v/>
      </c>
      <c r="G10" s="477" t="str">
        <f t="shared" si="2"/>
        <v/>
      </c>
      <c r="H10" s="477" t="str">
        <f t="shared" si="2"/>
        <v/>
      </c>
      <c r="I10" s="414"/>
      <c r="J10" s="415"/>
      <c r="K10" s="414"/>
      <c r="L10" s="415"/>
      <c r="M10" s="414"/>
    </row>
    <row r="11" spans="1:58" s="37" customFormat="1" ht="25.5">
      <c r="A11" s="156" t="s">
        <v>20</v>
      </c>
      <c r="B11" s="36" t="s">
        <v>204</v>
      </c>
      <c r="C11" s="388" t="str">
        <f>IF(C9="MET","YES",IF(C9="NOT MET","NO",IF(C9="","")))</f>
        <v/>
      </c>
      <c r="D11" s="388" t="str">
        <f t="shared" ref="D11:H11" si="3">IF(D9="MET","YES",IF(D9="NOT MET","NO",IF(D9="","")))</f>
        <v/>
      </c>
      <c r="E11" s="388" t="str">
        <f t="shared" si="3"/>
        <v/>
      </c>
      <c r="F11" s="388" t="str">
        <f t="shared" si="3"/>
        <v/>
      </c>
      <c r="G11" s="388" t="str">
        <f t="shared" si="3"/>
        <v/>
      </c>
      <c r="H11" s="388" t="str">
        <f t="shared" si="3"/>
        <v/>
      </c>
      <c r="I11" s="422">
        <f>COUNTIF(C11:H11,"=YES")</f>
        <v>0</v>
      </c>
      <c r="J11" s="421">
        <f>IF(SUM(I11,K11)=0,0,I11/SUM(I11,K11))</f>
        <v>0</v>
      </c>
      <c r="K11" s="422">
        <f>COUNTIF(C11:H11,"=No")</f>
        <v>0</v>
      </c>
      <c r="L11" s="421">
        <f t="shared" ref="L11" si="4">IF(SUM(I11,K11)=0,0,K11/SUM(I11,K11))</f>
        <v>0</v>
      </c>
      <c r="M11" s="422">
        <f>COUNTIF(C11:H11,"=N/A")</f>
        <v>0</v>
      </c>
    </row>
    <row r="12" spans="1:58" s="37" customFormat="1">
      <c r="A12" s="38" t="s">
        <v>279</v>
      </c>
      <c r="B12" s="36" t="s">
        <v>205</v>
      </c>
      <c r="C12" s="50"/>
      <c r="D12" s="50"/>
      <c r="E12" s="51"/>
      <c r="F12" s="50"/>
      <c r="G12" s="51"/>
      <c r="H12" s="52"/>
      <c r="I12" s="422">
        <f>COUNTIF(C12:H12,"=YES")</f>
        <v>0</v>
      </c>
      <c r="J12" s="421">
        <f>IF(SUM(I12,K12)=0,0,I12/SUM(I12,K12))</f>
        <v>0</v>
      </c>
      <c r="K12" s="422">
        <f>COUNTIF(C12:H12,"=No")</f>
        <v>0</v>
      </c>
      <c r="L12" s="421">
        <f t="shared" ref="L12" si="5">IF(SUM(I12,K12)=0,0,K12/SUM(I12,K12))</f>
        <v>0</v>
      </c>
      <c r="M12" s="422">
        <f>COUNTIF(C12:H12,"=N/A")</f>
        <v>0</v>
      </c>
    </row>
    <row r="13" spans="1:58" s="37" customFormat="1">
      <c r="A13" s="38" t="s">
        <v>280</v>
      </c>
      <c r="B13" s="36" t="s">
        <v>206</v>
      </c>
      <c r="C13" s="442" t="str">
        <f>IF(COUNTIF(C14:C16, "NO")&gt;=3,"NO",IF(COUNTIF(C14:C16, "YES")&gt;=1, "YES",IF(COUNTIF(C14:C16,"=N/A")=9,"N/A","")))</f>
        <v/>
      </c>
      <c r="D13" s="442" t="str">
        <f t="shared" ref="D13:H13" si="6">IF(COUNTIF(D14:D16, "NO")&gt;=3,"NO",IF(COUNTIF(D14:D16, "YES")&gt;=1, "YES",IF(COUNTIF(D14:D16,"=N/A")=9,"N/A","")))</f>
        <v/>
      </c>
      <c r="E13" s="442" t="str">
        <f t="shared" si="6"/>
        <v/>
      </c>
      <c r="F13" s="442" t="str">
        <f t="shared" si="6"/>
        <v/>
      </c>
      <c r="G13" s="442" t="str">
        <f t="shared" si="6"/>
        <v/>
      </c>
      <c r="H13" s="442" t="str">
        <f t="shared" si="6"/>
        <v/>
      </c>
      <c r="I13" s="422">
        <f>COUNTIF(C13:H13,"=YES")</f>
        <v>0</v>
      </c>
      <c r="J13" s="421">
        <f>IF(SUM(I13,K13)=0,0,I13/SUM(I13,K13))</f>
        <v>0</v>
      </c>
      <c r="K13" s="422">
        <f>COUNTIF(C13:H13,"=No")</f>
        <v>0</v>
      </c>
      <c r="L13" s="421">
        <f t="shared" ref="L13" si="7">IF(SUM(I13,K13)=0,0,K13/SUM(I13,K13))</f>
        <v>0</v>
      </c>
      <c r="M13" s="422">
        <f>COUNTIF(C13:H13,"=N/A")</f>
        <v>0</v>
      </c>
    </row>
    <row r="14" spans="1:58" s="37" customFormat="1">
      <c r="A14" s="45" t="s">
        <v>192</v>
      </c>
      <c r="B14" s="396" t="s">
        <v>208</v>
      </c>
      <c r="C14" s="50"/>
      <c r="D14" s="50"/>
      <c r="E14" s="51"/>
      <c r="F14" s="50"/>
      <c r="G14" s="51"/>
      <c r="H14" s="51"/>
      <c r="I14" s="448"/>
      <c r="J14" s="415"/>
      <c r="K14" s="414"/>
      <c r="L14" s="415"/>
      <c r="M14" s="449"/>
    </row>
    <row r="15" spans="1:58" s="43" customFormat="1">
      <c r="A15" s="44" t="s">
        <v>195</v>
      </c>
      <c r="B15" s="305" t="s">
        <v>209</v>
      </c>
      <c r="C15" s="39"/>
      <c r="D15" s="46"/>
      <c r="E15" s="46"/>
      <c r="F15" s="46"/>
      <c r="G15" s="46"/>
      <c r="H15" s="155"/>
      <c r="I15" s="448"/>
      <c r="J15" s="415"/>
      <c r="K15" s="414"/>
      <c r="L15" s="415"/>
      <c r="M15" s="449"/>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43" customFormat="1">
      <c r="A16" s="44" t="s">
        <v>196</v>
      </c>
      <c r="B16" s="304" t="s">
        <v>210</v>
      </c>
      <c r="C16" s="39"/>
      <c r="D16" s="46"/>
      <c r="E16" s="46"/>
      <c r="F16" s="46"/>
      <c r="G16" s="46"/>
      <c r="H16" s="155"/>
      <c r="I16" s="448"/>
      <c r="J16" s="415"/>
      <c r="K16" s="414"/>
      <c r="L16" s="415"/>
      <c r="M16" s="449"/>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43" customFormat="1" ht="25.5">
      <c r="A17" s="44" t="s">
        <v>281</v>
      </c>
      <c r="B17" s="396" t="s">
        <v>211</v>
      </c>
      <c r="C17" s="441" t="str">
        <f>IF(COUNTIF(C18:C21, "NO")&gt;=3,"NO",IF(COUNTIF(C18:C21, "YES")&gt;=1, "YES",IF(COUNTIF(C18:C21,"=N/A")=9,"N/A","")))</f>
        <v/>
      </c>
      <c r="D17" s="441" t="str">
        <f t="shared" ref="D17:H17" si="8">IF(COUNTIF(D18:D21, "NO")&gt;=3,"NO",IF(COUNTIF(D18:D21, "YES")&gt;=1, "YES",IF(COUNTIF(D18:D21,"=N/A")=9,"N/A","")))</f>
        <v/>
      </c>
      <c r="E17" s="441" t="str">
        <f t="shared" si="8"/>
        <v/>
      </c>
      <c r="F17" s="441" t="str">
        <f t="shared" si="8"/>
        <v/>
      </c>
      <c r="G17" s="441" t="str">
        <f t="shared" si="8"/>
        <v/>
      </c>
      <c r="H17" s="441" t="str">
        <f t="shared" si="8"/>
        <v/>
      </c>
      <c r="I17" s="422">
        <f>COUNTIF(C17:H17,"=YES")</f>
        <v>0</v>
      </c>
      <c r="J17" s="421">
        <f>IF(SUM(I17,K17)=0,0,I17/SUM(I17,K17))</f>
        <v>0</v>
      </c>
      <c r="K17" s="422">
        <f>COUNTIF(C17:H17,"=No")</f>
        <v>0</v>
      </c>
      <c r="L17" s="421">
        <f t="shared" ref="L17" si="9">IF(SUM(I17,K17)=0,0,K17/SUM(I17,K17))</f>
        <v>0</v>
      </c>
      <c r="M17" s="422">
        <f>COUNTIF(C17:H17,"=N/A")</f>
        <v>0</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73" customFormat="1" ht="25.5">
      <c r="A18" s="407" t="s">
        <v>192</v>
      </c>
      <c r="B18" s="408" t="s">
        <v>212</v>
      </c>
      <c r="C18" s="409"/>
      <c r="D18" s="410"/>
      <c r="E18" s="410"/>
      <c r="F18" s="410"/>
      <c r="G18" s="410"/>
      <c r="H18" s="411"/>
      <c r="I18" s="475"/>
      <c r="J18" s="406"/>
      <c r="K18" s="405"/>
      <c r="L18" s="406"/>
      <c r="M18" s="476"/>
    </row>
    <row r="19" spans="1:58" s="73" customFormat="1" ht="25.5">
      <c r="A19" s="412" t="s">
        <v>195</v>
      </c>
      <c r="B19" s="387" t="s">
        <v>213</v>
      </c>
      <c r="C19" s="50"/>
      <c r="D19" s="50"/>
      <c r="E19" s="50"/>
      <c r="F19" s="50"/>
      <c r="G19" s="50"/>
      <c r="H19" s="144"/>
      <c r="I19" s="475"/>
      <c r="J19" s="406"/>
      <c r="K19" s="405"/>
      <c r="L19" s="406"/>
      <c r="M19" s="476"/>
    </row>
    <row r="20" spans="1:58" s="73" customFormat="1" ht="25.5">
      <c r="A20" s="412" t="s">
        <v>196</v>
      </c>
      <c r="B20" s="387" t="s">
        <v>214</v>
      </c>
      <c r="C20" s="50"/>
      <c r="D20" s="50"/>
      <c r="E20" s="50"/>
      <c r="F20" s="50"/>
      <c r="G20" s="50"/>
      <c r="H20" s="144"/>
      <c r="I20" s="475"/>
      <c r="J20" s="406"/>
      <c r="K20" s="405"/>
      <c r="L20" s="406"/>
      <c r="M20" s="476"/>
    </row>
    <row r="21" spans="1:58" s="73" customFormat="1" ht="25.5">
      <c r="A21" s="412" t="s">
        <v>193</v>
      </c>
      <c r="B21" s="387" t="s">
        <v>215</v>
      </c>
      <c r="C21" s="50"/>
      <c r="D21" s="50"/>
      <c r="E21" s="50"/>
      <c r="F21" s="50"/>
      <c r="G21" s="50"/>
      <c r="H21" s="144"/>
      <c r="I21" s="475"/>
      <c r="J21" s="406"/>
      <c r="K21" s="405"/>
      <c r="L21" s="406"/>
      <c r="M21" s="476"/>
    </row>
    <row r="22" spans="1:58" s="73" customFormat="1" ht="38.25">
      <c r="A22" s="412" t="s">
        <v>330</v>
      </c>
      <c r="B22" s="413" t="s">
        <v>282</v>
      </c>
      <c r="C22" s="388" t="str">
        <f>IF(COUNTIF(C23:C27, "NO")&gt;=5,"NO",IF(COUNTIF(C23:C27, "YES")&gt;=1, "YES",IF(COUNTIF(C23:C27,"=N/A")=9,"N/A","")))</f>
        <v/>
      </c>
      <c r="D22" s="388" t="str">
        <f t="shared" ref="D22:H22" si="10">IF(COUNTIF(D23:D27, "NO")&gt;=5,"NO",IF(COUNTIF(D23:D27, "YES")&gt;=1, "YES",IF(COUNTIF(D23:D27,"=N/A")=9,"N/A","")))</f>
        <v/>
      </c>
      <c r="E22" s="388" t="str">
        <f t="shared" si="10"/>
        <v/>
      </c>
      <c r="F22" s="388" t="str">
        <f t="shared" si="10"/>
        <v/>
      </c>
      <c r="G22" s="388" t="str">
        <f t="shared" si="10"/>
        <v/>
      </c>
      <c r="H22" s="388" t="str">
        <f t="shared" si="10"/>
        <v/>
      </c>
      <c r="I22" s="422">
        <f>COUNTIF(C22:H22,"=YES")</f>
        <v>0</v>
      </c>
      <c r="J22" s="421">
        <f>IF(SUM(I22,K22)=0,0,I22/SUM(I22,K22))</f>
        <v>0</v>
      </c>
      <c r="K22" s="422">
        <f>COUNTIF(C22:H22,"=No")</f>
        <v>0</v>
      </c>
      <c r="L22" s="421">
        <f t="shared" ref="L22" si="11">IF(SUM(I22,K22)=0,0,K22/SUM(I22,K22))</f>
        <v>0</v>
      </c>
      <c r="M22" s="422">
        <f>COUNTIF(C22:H22,"=N/A")</f>
        <v>0</v>
      </c>
    </row>
    <row r="23" spans="1:58" s="73" customFormat="1">
      <c r="A23" s="412" t="s">
        <v>192</v>
      </c>
      <c r="B23" s="413" t="s">
        <v>283</v>
      </c>
      <c r="C23" s="50"/>
      <c r="D23" s="50"/>
      <c r="E23" s="50"/>
      <c r="F23" s="50"/>
      <c r="G23" s="50"/>
      <c r="H23" s="144"/>
      <c r="I23" s="475"/>
      <c r="J23" s="406"/>
      <c r="K23" s="405"/>
      <c r="L23" s="406"/>
      <c r="M23" s="476"/>
    </row>
    <row r="24" spans="1:58" s="73" customFormat="1">
      <c r="A24" s="412" t="s">
        <v>195</v>
      </c>
      <c r="B24" s="413" t="s">
        <v>221</v>
      </c>
      <c r="C24" s="50"/>
      <c r="D24" s="50"/>
      <c r="E24" s="50"/>
      <c r="F24" s="50"/>
      <c r="G24" s="50"/>
      <c r="H24" s="144"/>
      <c r="I24" s="475"/>
      <c r="J24" s="406"/>
      <c r="K24" s="405"/>
      <c r="L24" s="406"/>
      <c r="M24" s="476"/>
    </row>
    <row r="25" spans="1:58" s="73" customFormat="1" ht="38.25">
      <c r="A25" s="412" t="s">
        <v>196</v>
      </c>
      <c r="B25" s="413" t="s">
        <v>284</v>
      </c>
      <c r="C25" s="50"/>
      <c r="D25" s="50"/>
      <c r="E25" s="50"/>
      <c r="F25" s="50"/>
      <c r="G25" s="50"/>
      <c r="H25" s="144"/>
      <c r="I25" s="475"/>
      <c r="J25" s="406"/>
      <c r="K25" s="405"/>
      <c r="L25" s="406"/>
      <c r="M25" s="476"/>
    </row>
    <row r="26" spans="1:58" s="73" customFormat="1">
      <c r="A26" s="412" t="s">
        <v>193</v>
      </c>
      <c r="B26" s="413" t="s">
        <v>285</v>
      </c>
      <c r="C26" s="50"/>
      <c r="D26" s="50"/>
      <c r="E26" s="50"/>
      <c r="F26" s="50"/>
      <c r="G26" s="50"/>
      <c r="H26" s="144"/>
      <c r="I26" s="475"/>
      <c r="J26" s="406"/>
      <c r="K26" s="405"/>
      <c r="L26" s="406"/>
      <c r="M26" s="476"/>
    </row>
    <row r="27" spans="1:58" s="73" customFormat="1" ht="13.5" thickBot="1">
      <c r="A27" s="412" t="s">
        <v>194</v>
      </c>
      <c r="B27" s="413" t="s">
        <v>286</v>
      </c>
      <c r="C27" s="50"/>
      <c r="D27" s="50"/>
      <c r="E27" s="50"/>
      <c r="F27" s="50"/>
      <c r="G27" s="50"/>
      <c r="H27" s="144"/>
      <c r="I27" s="455"/>
      <c r="J27" s="456"/>
      <c r="K27" s="457"/>
      <c r="L27" s="456"/>
      <c r="M27" s="458"/>
    </row>
    <row r="28" spans="1:58" s="10" customFormat="1" ht="13.9" customHeight="1" thickBot="1">
      <c r="A28" s="314"/>
      <c r="B28" s="53" t="s">
        <v>24</v>
      </c>
      <c r="C28" s="378"/>
      <c r="D28" s="379"/>
      <c r="E28" s="379"/>
      <c r="F28" s="379"/>
      <c r="G28" s="379"/>
      <c r="H28" s="380"/>
      <c r="I28" s="54"/>
      <c r="J28" s="54"/>
      <c r="K28" s="54"/>
      <c r="L28" s="54"/>
      <c r="M28" s="54"/>
    </row>
    <row r="29" spans="1:58" s="10" customFormat="1" ht="13.9" customHeight="1" thickBot="1">
      <c r="A29" s="314"/>
      <c r="B29" s="53"/>
      <c r="C29" s="55"/>
      <c r="D29" s="55"/>
      <c r="E29" s="55"/>
      <c r="F29" s="55"/>
      <c r="G29" s="55"/>
      <c r="H29" s="55"/>
      <c r="I29" s="54"/>
      <c r="J29" s="54"/>
      <c r="K29" s="54"/>
      <c r="L29" s="54"/>
      <c r="M29" s="54"/>
    </row>
    <row r="30" spans="1:58" s="10" customFormat="1" ht="13.9" customHeight="1">
      <c r="A30" s="314"/>
      <c r="B30" s="56" t="s">
        <v>25</v>
      </c>
      <c r="C30" s="57">
        <f t="shared" ref="C30:H30" si="12">COUNTIF(C9:C18,"=Met")</f>
        <v>0</v>
      </c>
      <c r="D30" s="58">
        <f t="shared" si="12"/>
        <v>0</v>
      </c>
      <c r="E30" s="58">
        <f t="shared" si="12"/>
        <v>0</v>
      </c>
      <c r="F30" s="58">
        <f t="shared" si="12"/>
        <v>0</v>
      </c>
      <c r="G30" s="58">
        <f t="shared" si="12"/>
        <v>0</v>
      </c>
      <c r="H30" s="150">
        <f t="shared" si="12"/>
        <v>0</v>
      </c>
      <c r="I30" s="59"/>
      <c r="J30" s="60"/>
      <c r="K30" s="60"/>
      <c r="L30" s="60"/>
      <c r="M30" s="60"/>
    </row>
    <row r="31" spans="1:58" s="10" customFormat="1" ht="13.9" customHeight="1">
      <c r="A31" s="314"/>
      <c r="B31" s="56" t="s">
        <v>26</v>
      </c>
      <c r="C31" s="61">
        <f t="shared" ref="C31:H31" si="13">IF(SUM(C30,C32)=0,0,C30/SUM(C30,C32))</f>
        <v>0</v>
      </c>
      <c r="D31" s="62">
        <f t="shared" si="13"/>
        <v>0</v>
      </c>
      <c r="E31" s="62">
        <f t="shared" si="13"/>
        <v>0</v>
      </c>
      <c r="F31" s="62">
        <f t="shared" si="13"/>
        <v>0</v>
      </c>
      <c r="G31" s="62">
        <f t="shared" si="13"/>
        <v>0</v>
      </c>
      <c r="H31" s="151">
        <f t="shared" si="13"/>
        <v>0</v>
      </c>
      <c r="I31" s="59"/>
      <c r="J31" s="60"/>
      <c r="K31" s="60"/>
      <c r="L31" s="60"/>
      <c r="M31" s="60"/>
    </row>
    <row r="32" spans="1:58" s="10" customFormat="1" ht="13.9" customHeight="1">
      <c r="A32" s="314"/>
      <c r="B32" s="56" t="s">
        <v>27</v>
      </c>
      <c r="C32" s="63">
        <f t="shared" ref="C32:H32" si="14">COUNTIF(C9:C18,"=Not Met")</f>
        <v>0</v>
      </c>
      <c r="D32" s="64">
        <f t="shared" si="14"/>
        <v>0</v>
      </c>
      <c r="E32" s="64">
        <f t="shared" si="14"/>
        <v>0</v>
      </c>
      <c r="F32" s="64">
        <f t="shared" si="14"/>
        <v>0</v>
      </c>
      <c r="G32" s="64">
        <f t="shared" si="14"/>
        <v>0</v>
      </c>
      <c r="H32" s="152">
        <f t="shared" si="14"/>
        <v>0</v>
      </c>
      <c r="I32" s="59"/>
      <c r="J32" s="60"/>
      <c r="K32" s="60"/>
      <c r="L32" s="60"/>
      <c r="M32" s="60"/>
    </row>
    <row r="33" spans="1:13" s="10" customFormat="1" ht="13.9" customHeight="1">
      <c r="A33" s="314"/>
      <c r="B33" s="56" t="s">
        <v>28</v>
      </c>
      <c r="C33" s="61">
        <f t="shared" ref="C33:H33" si="15">IF(SUM(C30,C32)=0,0,C32/SUM(C30,C32))</f>
        <v>0</v>
      </c>
      <c r="D33" s="62">
        <f t="shared" si="15"/>
        <v>0</v>
      </c>
      <c r="E33" s="62">
        <f t="shared" si="15"/>
        <v>0</v>
      </c>
      <c r="F33" s="62">
        <f t="shared" si="15"/>
        <v>0</v>
      </c>
      <c r="G33" s="62">
        <f t="shared" si="15"/>
        <v>0</v>
      </c>
      <c r="H33" s="151">
        <f t="shared" si="15"/>
        <v>0</v>
      </c>
      <c r="I33" s="59"/>
      <c r="J33" s="60"/>
      <c r="K33" s="60"/>
      <c r="L33" s="60"/>
      <c r="M33" s="60"/>
    </row>
    <row r="34" spans="1:13" s="10" customFormat="1" ht="13.9" customHeight="1" thickBot="1">
      <c r="A34" s="314"/>
      <c r="B34" s="56" t="s">
        <v>29</v>
      </c>
      <c r="C34" s="65">
        <f t="shared" ref="C34:H34" si="16">COUNTIF(C9:C18,"=N/A")</f>
        <v>0</v>
      </c>
      <c r="D34" s="66">
        <f t="shared" si="16"/>
        <v>0</v>
      </c>
      <c r="E34" s="66">
        <f t="shared" si="16"/>
        <v>0</v>
      </c>
      <c r="F34" s="66">
        <f t="shared" si="16"/>
        <v>0</v>
      </c>
      <c r="G34" s="66">
        <f t="shared" si="16"/>
        <v>0</v>
      </c>
      <c r="H34" s="153">
        <f t="shared" si="16"/>
        <v>0</v>
      </c>
      <c r="I34" s="67"/>
      <c r="J34" s="68"/>
      <c r="K34" s="68"/>
      <c r="L34" s="68"/>
      <c r="M34" s="68"/>
    </row>
    <row r="35" spans="1:13" s="10" customFormat="1" ht="13.9" customHeight="1">
      <c r="A35" s="545"/>
      <c r="B35" s="545"/>
      <c r="C35" s="545"/>
      <c r="D35" s="545"/>
      <c r="E35" s="545"/>
      <c r="F35" s="545"/>
      <c r="G35" s="545"/>
      <c r="H35" s="545"/>
      <c r="I35" s="545"/>
      <c r="J35" s="545"/>
      <c r="K35" s="545"/>
      <c r="L35" s="545"/>
      <c r="M35" s="545"/>
    </row>
    <row r="36" spans="1:13" s="10" customFormat="1" ht="25.15" customHeight="1">
      <c r="A36" s="211"/>
      <c r="B36" s="212" t="s">
        <v>152</v>
      </c>
      <c r="C36" s="215" t="s">
        <v>18</v>
      </c>
      <c r="D36" s="546"/>
      <c r="E36" s="547"/>
      <c r="F36" s="547"/>
      <c r="G36" s="547"/>
      <c r="H36" s="547"/>
      <c r="I36" s="547"/>
      <c r="J36" s="547"/>
      <c r="K36" s="547"/>
      <c r="L36" s="547"/>
      <c r="M36" s="548"/>
    </row>
    <row r="37" spans="1:13" s="10" customFormat="1" ht="25.15" customHeight="1">
      <c r="A37" s="211"/>
      <c r="B37" s="213"/>
      <c r="C37" s="216" t="s">
        <v>19</v>
      </c>
      <c r="D37" s="539"/>
      <c r="E37" s="540"/>
      <c r="F37" s="540"/>
      <c r="G37" s="540"/>
      <c r="H37" s="540"/>
      <c r="I37" s="540"/>
      <c r="J37" s="540"/>
      <c r="K37" s="540"/>
      <c r="L37" s="540"/>
      <c r="M37" s="541"/>
    </row>
    <row r="38" spans="1:13" s="10" customFormat="1" ht="25.15" customHeight="1">
      <c r="A38" s="211"/>
      <c r="B38" s="213"/>
      <c r="C38" s="216" t="s">
        <v>20</v>
      </c>
      <c r="D38" s="539"/>
      <c r="E38" s="540"/>
      <c r="F38" s="540"/>
      <c r="G38" s="540"/>
      <c r="H38" s="540"/>
      <c r="I38" s="540"/>
      <c r="J38" s="540"/>
      <c r="K38" s="540"/>
      <c r="L38" s="540"/>
      <c r="M38" s="541"/>
    </row>
    <row r="39" spans="1:13" s="10" customFormat="1" ht="25.15" customHeight="1">
      <c r="A39" s="211"/>
      <c r="B39" s="213"/>
      <c r="C39" s="216" t="s">
        <v>21</v>
      </c>
      <c r="D39" s="539"/>
      <c r="E39" s="540"/>
      <c r="F39" s="540"/>
      <c r="G39" s="540"/>
      <c r="H39" s="540"/>
      <c r="I39" s="540"/>
      <c r="J39" s="540"/>
      <c r="K39" s="540"/>
      <c r="L39" s="540"/>
      <c r="M39" s="541"/>
    </row>
    <row r="40" spans="1:13" s="10" customFormat="1" ht="25.15" customHeight="1">
      <c r="A40" s="211"/>
      <c r="B40" s="213"/>
      <c r="C40" s="216" t="s">
        <v>22</v>
      </c>
      <c r="D40" s="539"/>
      <c r="E40" s="540"/>
      <c r="F40" s="540"/>
      <c r="G40" s="540"/>
      <c r="H40" s="540"/>
      <c r="I40" s="540"/>
      <c r="J40" s="540"/>
      <c r="K40" s="540"/>
      <c r="L40" s="540"/>
      <c r="M40" s="541"/>
    </row>
    <row r="41" spans="1:13" s="10" customFormat="1" ht="25.15" customHeight="1">
      <c r="A41" s="211"/>
      <c r="B41" s="213"/>
      <c r="C41" s="217" t="s">
        <v>23</v>
      </c>
      <c r="D41" s="542"/>
      <c r="E41" s="543"/>
      <c r="F41" s="543"/>
      <c r="G41" s="543"/>
      <c r="H41" s="543"/>
      <c r="I41" s="543"/>
      <c r="J41" s="543"/>
      <c r="K41" s="543"/>
      <c r="L41" s="543"/>
      <c r="M41" s="544"/>
    </row>
  </sheetData>
  <sheetProtection sheet="1" objects="1" scenarios="1"/>
  <customSheetViews>
    <customSheetView guid="{2A3E70A9-51A3-4722-9775-16DBEA0F14B3}">
      <pane xSplit="2" ySplit="8" topLeftCell="C9" activePane="bottomRight" state="frozen"/>
      <selection pane="bottomRight" activeCell="C13" sqref="C13"/>
      <pageMargins left="0.2" right="0.2" top="0.3" bottom="0.25" header="0.25" footer="0"/>
      <printOptions horizontalCentered="1"/>
      <pageSetup paperSize="5" scale="92" orientation="landscape" r:id="rId1"/>
      <headerFooter alignWithMargins="0">
        <oddFooter>&amp;L&amp;8&amp;K000000IDD Group Living - Moderate/High Continuation&amp;R&amp;8&amp;K000000&amp;P</oddFooter>
      </headerFooter>
    </customSheetView>
    <customSheetView guid="{A13B25D0-B104-46DD-B5CC-B628EEB53163}">
      <pane xSplit="2" ySplit="8" topLeftCell="C9" activePane="bottomRight" state="frozen"/>
      <selection pane="bottomRight" activeCell="C13" sqref="C13"/>
      <pageMargins left="0.2" right="0.2" top="0.3" bottom="0.25" header="0.25" footer="0"/>
      <printOptions horizontalCentered="1"/>
      <pageSetup paperSize="5" scale="92" orientation="landscape" r:id="rId2"/>
      <headerFooter alignWithMargins="0">
        <oddFooter>&amp;L&amp;8&amp;K000000IDD Group Living - Moderate/High Continuation&amp;R&amp;8&amp;K000000&amp;P</oddFooter>
      </headerFooter>
    </customSheetView>
  </customSheetViews>
  <mergeCells count="7">
    <mergeCell ref="D41:M41"/>
    <mergeCell ref="A35:M35"/>
    <mergeCell ref="D36:M36"/>
    <mergeCell ref="D37:M37"/>
    <mergeCell ref="D38:M38"/>
    <mergeCell ref="D39:M39"/>
    <mergeCell ref="D40:M40"/>
  </mergeCells>
  <conditionalFormatting sqref="C10:H10 C12:H27">
    <cfRule type="expression" dxfId="199" priority="3" stopIfTrue="1">
      <formula>AND(C$9&lt;&gt;"",C10="")</formula>
    </cfRule>
    <cfRule type="cellIs" dxfId="198" priority="5" stopIfTrue="1" operator="equal">
      <formula>"N/A"</formula>
    </cfRule>
  </conditionalFormatting>
  <conditionalFormatting sqref="C12:H27">
    <cfRule type="cellIs" dxfId="197" priority="4" stopIfTrue="1" operator="equal">
      <formula>"Not Met"</formula>
    </cfRule>
  </conditionalFormatting>
  <conditionalFormatting sqref="C9:H9 C11:H11">
    <cfRule type="expression" dxfId="196" priority="1" stopIfTrue="1">
      <formula>OR(C9="",C9="N/A")</formula>
    </cfRule>
  </conditionalFormatting>
  <conditionalFormatting sqref="C9:H11">
    <cfRule type="cellIs" dxfId="195" priority="2" stopIfTrue="1" operator="equal">
      <formula>"Not Met"</formula>
    </cfRule>
  </conditionalFormatting>
  <dataValidations count="1">
    <dataValidation type="list" allowBlank="1" showInputMessage="1" showErrorMessage="1" sqref="C12:H12 C23:H27 C18:H21 C14:H16" xr:uid="{00000000-0002-0000-0E00-000001000000}">
      <formula1>"YES,NO,N/A"</formula1>
    </dataValidation>
  </dataValidations>
  <printOptions horizontalCentered="1"/>
  <pageMargins left="0.2" right="0.2" top="0.3" bottom="0.25" header="0.25" footer="0"/>
  <pageSetup paperSize="5" scale="92" orientation="landscape" r:id="rId3"/>
  <headerFooter alignWithMargins="0">
    <oddFooter>&amp;L&amp;8&amp;K000000IDD Group Living - Moderate/High Continuation&amp;R&amp;8&amp;K000000&amp;P</oddFooter>
  </headerFooter>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59999389629810485"/>
  </sheetPr>
  <dimension ref="A1:H19"/>
  <sheetViews>
    <sheetView showGridLines="0" zoomScaleNormal="100" workbookViewId="0">
      <pane xSplit="2" ySplit="11" topLeftCell="C17" activePane="bottomRight" state="frozen"/>
      <selection activeCell="D23" sqref="D23:M23"/>
      <selection pane="topRight" activeCell="D23" sqref="D23:M23"/>
      <selection pane="bottomLeft" activeCell="D23" sqref="D23:M23"/>
      <selection pane="bottomRight" activeCell="F18" sqref="F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287</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thickBot="1">
      <c r="A19" s="375"/>
      <c r="B19" s="53" t="s">
        <v>24</v>
      </c>
      <c r="C19" s="378"/>
      <c r="D19" s="379"/>
      <c r="E19" s="379"/>
      <c r="F19" s="379"/>
      <c r="G19" s="379"/>
      <c r="H19" s="380"/>
    </row>
  </sheetData>
  <sheetProtection sheet="1" objects="1" scenarios="1"/>
  <customSheetViews>
    <customSheetView guid="{2A3E70A9-51A3-4722-9775-16DBEA0F14B3}" showGridLines="0">
      <pane xSplit="2" ySplit="11" topLeftCell="C12" activePane="bottomRight" state="frozen"/>
      <selection pane="bottomRight" activeCell="C14" sqref="C13:C14"/>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2" activePane="bottomRight" state="frozen"/>
      <selection pane="bottomRight" activeCell="C14" sqref="C13:C14"/>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194" priority="1" operator="equal">
      <formula>"NOT MET"</formula>
    </cfRule>
    <cfRule type="cellIs" dxfId="193" priority="2" operator="equal">
      <formula>"MET"</formula>
    </cfRule>
  </conditionalFormatting>
  <dataValidations count="2">
    <dataValidation type="list" allowBlank="1" showInputMessage="1" showErrorMessage="1" sqref="C7:H7" xr:uid="{00000000-0002-0000-1300-000000000000}">
      <formula1>"ADSN, CDSN"</formula1>
    </dataValidation>
    <dataValidation type="list" allowBlank="1" showInputMessage="1" showErrorMessage="1" sqref="C13:H17" xr:uid="{00000000-0002-0000-1300-000001000000}">
      <formula1>"YES, NO"</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theme="8" tint="-0.249977111117893"/>
  </sheetPr>
  <dimension ref="A1:BF32"/>
  <sheetViews>
    <sheetView zoomScaleNormal="100" zoomScaleSheetLayoutView="50" workbookViewId="0">
      <pane xSplit="2" ySplit="8" topLeftCell="C9" activePane="bottomRight" state="frozen"/>
      <selection activeCell="C3" sqref="C3"/>
      <selection pane="topRight" activeCell="C3" sqref="C3"/>
      <selection pane="bottomLeft" activeCell="C3" sqref="C3"/>
      <selection pane="bottomRight" activeCell="D10" sqref="D10"/>
    </sheetView>
  </sheetViews>
  <sheetFormatPr defaultColWidth="8.85546875" defaultRowHeight="12.75"/>
  <cols>
    <col min="1" max="1" width="3.28515625" style="161"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288</v>
      </c>
      <c r="D1" s="340"/>
      <c r="E1" s="340"/>
      <c r="F1" s="340"/>
      <c r="G1" s="340"/>
      <c r="H1" s="340"/>
      <c r="I1" s="131"/>
      <c r="J1" s="131"/>
      <c r="K1" s="131"/>
      <c r="L1" s="131"/>
      <c r="M1" s="246"/>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6"/>
      <c r="J4" s="141"/>
      <c r="K4" s="141"/>
      <c r="L4" s="141"/>
      <c r="M4" s="142"/>
    </row>
    <row r="5" spans="1:13" s="8" customFormat="1" ht="14.85" customHeight="1">
      <c r="A5" s="18"/>
      <c r="B5" s="148" t="s">
        <v>189</v>
      </c>
      <c r="C5" s="363" t="str">
        <f>IF('CAET Initial Eligibil'!C6="","",'CAET Initial Eligibil'!C6)</f>
        <v/>
      </c>
      <c r="D5" s="364" t="str">
        <f>IF('CAET Initial Eligibil'!D6="","",'CAET Initial Eligibil'!D6)</f>
        <v/>
      </c>
      <c r="E5" s="364" t="str">
        <f>IF('CAET Initial Eligibil'!E6="","",'CAET Initial Eligibil'!E6)</f>
        <v/>
      </c>
      <c r="F5" s="364" t="str">
        <f>IF('CAET Initial Eligibil'!F6="","",'CAET Initial Eligibil'!F6)</f>
        <v/>
      </c>
      <c r="G5" s="364" t="str">
        <f>IF('CAET Initial Eligibil'!G6="","",'CAET Initial Eligibil'!G6)</f>
        <v/>
      </c>
      <c r="H5" s="365" t="str">
        <f>IF('CAET Initial Eligibil'!H6="","",'CAET Initial Eligibil'!H6)</f>
        <v/>
      </c>
      <c r="I5" s="15"/>
      <c r="J5" s="16"/>
      <c r="K5" s="16"/>
      <c r="L5" s="16"/>
      <c r="M5" s="17"/>
    </row>
    <row r="6" spans="1:13" s="8" customFormat="1" ht="14.85" customHeight="1">
      <c r="A6" s="18"/>
      <c r="B6" s="148" t="s">
        <v>190</v>
      </c>
      <c r="C6" s="366" t="str">
        <f>IF('CAET Initial Eligibil'!C7="","",'CAET Initial Eligibil'!C7)</f>
        <v/>
      </c>
      <c r="D6" s="238" t="str">
        <f>IF('CAET Initial Eligibil'!D7="","",'CAET Initial Eligibil'!D7)</f>
        <v/>
      </c>
      <c r="E6" s="238" t="str">
        <f>IF('CAET Initial Eligibil'!E7="","",'CAET Initial Eligibil'!E7)</f>
        <v/>
      </c>
      <c r="F6" s="238" t="str">
        <f>IF('CAET Initial Eligibil'!F7="","",'CAET Initial Eligibil'!F7)</f>
        <v/>
      </c>
      <c r="G6" s="238" t="str">
        <f>IF('CAET Initial Eligibil'!G7="","",'CAET Initial Eligibil'!G7)</f>
        <v/>
      </c>
      <c r="H6" s="367" t="str">
        <f>IF('CAET Initial Eligibil'!H7="","",'CAET Initial Eligibil'!H7)</f>
        <v/>
      </c>
      <c r="I6" s="15"/>
      <c r="J6" s="16"/>
      <c r="K6" s="16"/>
      <c r="L6" s="16"/>
      <c r="M6" s="17"/>
    </row>
    <row r="7" spans="1:13" s="8" customFormat="1" ht="14.85" customHeight="1" thickBot="1">
      <c r="A7" s="21"/>
      <c r="B7" s="149" t="s">
        <v>188</v>
      </c>
      <c r="C7" s="368" t="str">
        <f>IF('CAET Initial Eligibil'!C9="","",'CAET Initial Eligibil'!C9)</f>
        <v/>
      </c>
      <c r="D7" s="369" t="str">
        <f>IF('CAET Initial Eligibil'!D9="","",'CAET Initial Eligibil'!D9)</f>
        <v/>
      </c>
      <c r="E7" s="369" t="str">
        <f>IF('CAET Initial Eligibil'!E9="","",'CAET Initial Eligibil'!E9)</f>
        <v/>
      </c>
      <c r="F7" s="369" t="str">
        <f>IF('CAET Initial Eligibil'!F9="","",'CAET Initial Eligibil'!F9)</f>
        <v/>
      </c>
      <c r="G7" s="369" t="str">
        <f>IF('CAET Initial Eligibil'!G9="","",'CAET Initial Eligibil'!G9)</f>
        <v/>
      </c>
      <c r="H7" s="370" t="str">
        <f>IF('CAET Initial Eligibil'!H9="","",'CAET Initial Eligibil'!H9)</f>
        <v/>
      </c>
      <c r="I7" s="22" t="s">
        <v>10</v>
      </c>
      <c r="J7" s="23"/>
      <c r="K7" s="23"/>
      <c r="L7" s="23"/>
      <c r="M7" s="24"/>
    </row>
    <row r="8" spans="1:13"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13" s="37" customFormat="1" ht="25.5">
      <c r="A9" s="45" t="s">
        <v>18</v>
      </c>
      <c r="B9" s="157" t="s">
        <v>289</v>
      </c>
      <c r="C9" s="371" t="str">
        <f>IF('Day Supports Initial Eligibil'!C12=0,"",'Day Supports Initial Eligibil'!C12)</f>
        <v/>
      </c>
      <c r="D9" s="371" t="str">
        <f>IF('Day Supports Initial Eligibil'!D12=0,"",'Day Supports Initial Eligibil'!D12)</f>
        <v/>
      </c>
      <c r="E9" s="371" t="str">
        <f>IF('Day Supports Initial Eligibil'!E12=0,"",'Day Supports Initial Eligibil'!E12)</f>
        <v/>
      </c>
      <c r="F9" s="371" t="str">
        <f>IF('Day Supports Initial Eligibil'!F12=0,"",'Day Supports Initial Eligibil'!F12)</f>
        <v/>
      </c>
      <c r="G9" s="371" t="str">
        <f>IF('Day Supports Initial Eligibil'!G12=0,"",'Day Supports Initial Eligibil'!G12)</f>
        <v/>
      </c>
      <c r="H9" s="371" t="str">
        <f>IF('Day Supports Initial Eligibil'!H12=0,"",'Day Supports Initial Eligibil'!H12)</f>
        <v/>
      </c>
      <c r="I9" s="437">
        <f>COUNTIF(C9:H9,"=Met")</f>
        <v>0</v>
      </c>
      <c r="J9" s="438">
        <f>IF(SUM(I9,K9)=0,0,I9/SUM(I9,K9))</f>
        <v>0</v>
      </c>
      <c r="K9" s="439">
        <f>COUNTIF(C9:H9,"=Not Met")</f>
        <v>0</v>
      </c>
      <c r="L9" s="438">
        <f t="shared" ref="L9:L11" si="0">IF(SUM(I9,K9)=0,0,K9/SUM(I9,K9))</f>
        <v>0</v>
      </c>
      <c r="M9" s="440">
        <f>COUNTIF(C9:H9,"=N/A")</f>
        <v>0</v>
      </c>
    </row>
    <row r="10" spans="1:13" s="10" customFormat="1" ht="25.5">
      <c r="A10" s="156" t="s">
        <v>19</v>
      </c>
      <c r="B10" s="309" t="s">
        <v>207</v>
      </c>
      <c r="C10" s="179" t="str">
        <f>IF(AND(C11,C12="YES",COUNTIF(C11:C13,"YES")=3),"MET",IF(COUNTA(C11,C12:C13)&gt;=1,"","NOT MET"))</f>
        <v/>
      </c>
      <c r="D10" s="179" t="str">
        <f t="shared" ref="D10:H10" si="1">IF(AND(D11,D12="YES",COUNTIF(D11:D13,"YES")=3),"MET",IF(COUNTA(D11,D12:D13)&gt;=1,"","NOT MET"))</f>
        <v/>
      </c>
      <c r="E10" s="179" t="str">
        <f t="shared" si="1"/>
        <v/>
      </c>
      <c r="F10" s="179" t="str">
        <f t="shared" si="1"/>
        <v/>
      </c>
      <c r="G10" s="179" t="str">
        <f t="shared" si="1"/>
        <v/>
      </c>
      <c r="H10" s="467" t="str">
        <f t="shared" si="1"/>
        <v/>
      </c>
      <c r="I10" s="512"/>
      <c r="J10" s="513"/>
      <c r="K10" s="514"/>
      <c r="L10" s="513"/>
      <c r="M10" s="515"/>
    </row>
    <row r="11" spans="1:13" s="10" customFormat="1" ht="25.5">
      <c r="A11" s="156" t="s">
        <v>192</v>
      </c>
      <c r="B11" s="36" t="s">
        <v>204</v>
      </c>
      <c r="C11" s="179" t="str">
        <f>IF(C9="MET","YES",IF(C9="NOT MET","NO",IF(C9="","")))</f>
        <v/>
      </c>
      <c r="D11" s="179" t="str">
        <f t="shared" ref="D11:H11" si="2">IF(D9="MET","YES",IF(D9="NOT MET","NO",IF(D9="","")))</f>
        <v/>
      </c>
      <c r="E11" s="179"/>
      <c r="F11" s="179"/>
      <c r="G11" s="179" t="str">
        <f t="shared" si="2"/>
        <v/>
      </c>
      <c r="H11" s="467" t="str">
        <f t="shared" si="2"/>
        <v/>
      </c>
      <c r="I11" s="437">
        <f>COUNTIF(C11:H11,"=YES")</f>
        <v>0</v>
      </c>
      <c r="J11" s="438">
        <f t="shared" ref="J11" si="3">IF(SUM(I11,K11)=0,0,I11/SUM(I11,K11))</f>
        <v>0</v>
      </c>
      <c r="K11" s="439">
        <f>COUNTIF(C11:H11,"=No")</f>
        <v>0</v>
      </c>
      <c r="L11" s="438">
        <f t="shared" si="0"/>
        <v>0</v>
      </c>
      <c r="M11" s="440">
        <f>COUNTIF(C11:H11,"=N/A")</f>
        <v>0</v>
      </c>
    </row>
    <row r="12" spans="1:13" s="10" customFormat="1">
      <c r="A12" s="156" t="s">
        <v>195</v>
      </c>
      <c r="B12" s="36" t="s">
        <v>205</v>
      </c>
      <c r="C12" s="35"/>
      <c r="D12" s="50"/>
      <c r="E12" s="50"/>
      <c r="F12" s="50"/>
      <c r="G12" s="50"/>
      <c r="H12" s="144"/>
      <c r="I12" s="420">
        <f>COUNTIF(C12:H12,"=YES")</f>
        <v>0</v>
      </c>
      <c r="J12" s="421">
        <f t="shared" ref="J12" si="4">IF(SUM(I12,K12)=0,0,I12/SUM(I12,K12))</f>
        <v>0</v>
      </c>
      <c r="K12" s="422">
        <f>COUNTIF(C12:H12,"=No")</f>
        <v>0</v>
      </c>
      <c r="L12" s="421">
        <f t="shared" ref="L12" si="5">IF(SUM(I12,K12)=0,0,K12/SUM(I12,K12))</f>
        <v>0</v>
      </c>
      <c r="M12" s="423">
        <f>COUNTIF(C12:H12,"=N/A")</f>
        <v>0</v>
      </c>
    </row>
    <row r="13" spans="1:13" s="10" customFormat="1" ht="25.5">
      <c r="A13" s="156" t="s">
        <v>251</v>
      </c>
      <c r="B13" s="36" t="s">
        <v>291</v>
      </c>
      <c r="C13" s="179" t="str">
        <f>IF(COUNTIF(C14:C15, "NO")=2,"NO",IF(COUNTIF(C14:C15, "YES")&gt;=1, "YES",IF(COUNTIF(C14:C15,"=N/A")=3,"N/A","")))</f>
        <v/>
      </c>
      <c r="D13" s="179" t="str">
        <f t="shared" ref="D13:H13" si="6">IF(COUNTIF(D14:D15, "NO")=2,"NO",IF(COUNTIF(D14:D15, "YES")&gt;=1, "YES",IF(COUNTIF(D14:D15,"=N/A")=3,"N/A","")))</f>
        <v/>
      </c>
      <c r="E13" s="179" t="str">
        <f t="shared" si="6"/>
        <v/>
      </c>
      <c r="F13" s="179" t="str">
        <f t="shared" si="6"/>
        <v/>
      </c>
      <c r="G13" s="179" t="str">
        <f t="shared" si="6"/>
        <v/>
      </c>
      <c r="H13" s="467" t="str">
        <f t="shared" si="6"/>
        <v/>
      </c>
      <c r="I13" s="420">
        <f>COUNTIF(C13:H13,"=YES")</f>
        <v>0</v>
      </c>
      <c r="J13" s="421">
        <f t="shared" ref="J13" si="7">IF(SUM(I13,K13)=0,0,I13/SUM(I13,K13))</f>
        <v>0</v>
      </c>
      <c r="K13" s="422">
        <f>COUNTIF(C13:H13,"=No")</f>
        <v>0</v>
      </c>
      <c r="L13" s="421">
        <f t="shared" ref="L13" si="8">IF(SUM(I13,K13)=0,0,K13/SUM(I13,K13))</f>
        <v>0</v>
      </c>
      <c r="M13" s="423">
        <f>COUNTIF(C13:H13,"=N/A")</f>
        <v>0</v>
      </c>
    </row>
    <row r="14" spans="1:13" s="10" customFormat="1">
      <c r="A14" s="303" t="s">
        <v>192</v>
      </c>
      <c r="B14" s="305" t="s">
        <v>292</v>
      </c>
      <c r="C14" s="35"/>
      <c r="D14" s="50"/>
      <c r="E14" s="50"/>
      <c r="F14" s="50"/>
      <c r="G14" s="50"/>
      <c r="H14" s="144"/>
      <c r="I14" s="448"/>
      <c r="J14" s="415"/>
      <c r="K14" s="414"/>
      <c r="L14" s="415"/>
      <c r="M14" s="449"/>
    </row>
    <row r="15" spans="1:13" s="10" customFormat="1" ht="26.25" thickBot="1">
      <c r="A15" s="385" t="s">
        <v>195</v>
      </c>
      <c r="B15" s="387" t="s">
        <v>293</v>
      </c>
      <c r="C15" s="50"/>
      <c r="D15" s="50"/>
      <c r="E15" s="50"/>
      <c r="F15" s="50"/>
      <c r="G15" s="50"/>
      <c r="H15" s="144"/>
      <c r="I15" s="450"/>
      <c r="J15" s="451"/>
      <c r="K15" s="452"/>
      <c r="L15" s="451"/>
      <c r="M15" s="453"/>
    </row>
    <row r="16" spans="1:13" s="10" customFormat="1" ht="13.9" customHeight="1" thickBot="1">
      <c r="A16" s="161"/>
      <c r="B16" s="53" t="s">
        <v>24</v>
      </c>
      <c r="C16" s="378"/>
      <c r="D16" s="379"/>
      <c r="E16" s="123"/>
      <c r="F16" s="123"/>
      <c r="G16" s="123"/>
      <c r="H16" s="124"/>
      <c r="I16" s="54"/>
      <c r="J16" s="54"/>
      <c r="K16" s="54"/>
      <c r="L16" s="54"/>
      <c r="M16" s="54"/>
    </row>
    <row r="17" spans="1:58" s="10" customFormat="1" ht="13.9" customHeight="1" thickBot="1">
      <c r="A17" s="161"/>
      <c r="B17" s="53"/>
      <c r="C17" s="55"/>
      <c r="D17" s="55"/>
      <c r="E17" s="55"/>
      <c r="F17" s="55"/>
      <c r="G17" s="55"/>
      <c r="H17" s="55"/>
      <c r="I17" s="54"/>
      <c r="J17" s="54"/>
      <c r="K17" s="54"/>
      <c r="L17" s="54"/>
      <c r="M17" s="54"/>
    </row>
    <row r="18" spans="1:58" s="10" customFormat="1" ht="13.9" customHeight="1">
      <c r="A18" s="161"/>
      <c r="B18" s="56" t="s">
        <v>25</v>
      </c>
      <c r="C18" s="57">
        <f t="shared" ref="C18:H18" si="9">COUNTIF(C9:C15,"=Met")</f>
        <v>0</v>
      </c>
      <c r="D18" s="58">
        <f t="shared" si="9"/>
        <v>0</v>
      </c>
      <c r="E18" s="58">
        <f t="shared" si="9"/>
        <v>0</v>
      </c>
      <c r="F18" s="58">
        <f t="shared" si="9"/>
        <v>0</v>
      </c>
      <c r="G18" s="58">
        <f t="shared" si="9"/>
        <v>0</v>
      </c>
      <c r="H18" s="150">
        <f t="shared" si="9"/>
        <v>0</v>
      </c>
      <c r="I18" s="59"/>
      <c r="J18" s="60"/>
      <c r="K18" s="60"/>
      <c r="L18" s="60"/>
      <c r="M18" s="60"/>
    </row>
    <row r="19" spans="1:58" s="10" customFormat="1" ht="13.9" customHeight="1">
      <c r="A19" s="161"/>
      <c r="B19" s="56" t="s">
        <v>26</v>
      </c>
      <c r="C19" s="61">
        <f t="shared" ref="C19:H19" si="10">IF(SUM(C18,C20)=0,0,C18/SUM(C18,C20))</f>
        <v>0</v>
      </c>
      <c r="D19" s="62">
        <f t="shared" si="10"/>
        <v>0</v>
      </c>
      <c r="E19" s="62">
        <f t="shared" si="10"/>
        <v>0</v>
      </c>
      <c r="F19" s="62">
        <f t="shared" si="10"/>
        <v>0</v>
      </c>
      <c r="G19" s="62">
        <f t="shared" si="10"/>
        <v>0</v>
      </c>
      <c r="H19" s="151">
        <f t="shared" si="10"/>
        <v>0</v>
      </c>
      <c r="I19" s="59"/>
      <c r="J19" s="60"/>
      <c r="K19" s="60"/>
      <c r="L19" s="60"/>
      <c r="M19" s="60"/>
    </row>
    <row r="20" spans="1:58" s="10" customFormat="1" ht="13.9" customHeight="1">
      <c r="A20" s="161"/>
      <c r="B20" s="56" t="s">
        <v>27</v>
      </c>
      <c r="C20" s="63">
        <f t="shared" ref="C20:H20" si="11">COUNTIF(C9:C15,"=Not Met")</f>
        <v>0</v>
      </c>
      <c r="D20" s="64">
        <f t="shared" si="11"/>
        <v>0</v>
      </c>
      <c r="E20" s="64">
        <f t="shared" si="11"/>
        <v>0</v>
      </c>
      <c r="F20" s="64">
        <f t="shared" si="11"/>
        <v>0</v>
      </c>
      <c r="G20" s="64">
        <f t="shared" si="11"/>
        <v>0</v>
      </c>
      <c r="H20" s="152">
        <f t="shared" si="11"/>
        <v>0</v>
      </c>
      <c r="I20" s="59"/>
      <c r="J20" s="60"/>
      <c r="K20" s="60"/>
      <c r="L20" s="60"/>
      <c r="M20" s="60"/>
    </row>
    <row r="21" spans="1:58" s="10" customFormat="1" ht="13.9" customHeight="1">
      <c r="A21" s="161"/>
      <c r="B21" s="56" t="s">
        <v>28</v>
      </c>
      <c r="C21" s="61">
        <f t="shared" ref="C21:H21" si="12">IF(SUM(C18,C20)=0,0,C20/SUM(C18,C20))</f>
        <v>0</v>
      </c>
      <c r="D21" s="62">
        <f t="shared" si="12"/>
        <v>0</v>
      </c>
      <c r="E21" s="62">
        <f t="shared" si="12"/>
        <v>0</v>
      </c>
      <c r="F21" s="62">
        <f t="shared" si="12"/>
        <v>0</v>
      </c>
      <c r="G21" s="62">
        <f t="shared" si="12"/>
        <v>0</v>
      </c>
      <c r="H21" s="151">
        <f t="shared" si="12"/>
        <v>0</v>
      </c>
      <c r="I21" s="59"/>
      <c r="J21" s="60"/>
      <c r="K21" s="60"/>
      <c r="L21" s="60"/>
      <c r="M21" s="60"/>
    </row>
    <row r="22" spans="1:58" s="10" customFormat="1" ht="13.9" customHeight="1" thickBot="1">
      <c r="A22" s="161"/>
      <c r="B22" s="56" t="s">
        <v>29</v>
      </c>
      <c r="C22" s="65">
        <f t="shared" ref="C22:H22" si="13">COUNTIF(C9:C15,"=N/A")</f>
        <v>0</v>
      </c>
      <c r="D22" s="66">
        <f t="shared" si="13"/>
        <v>0</v>
      </c>
      <c r="E22" s="66">
        <f t="shared" si="13"/>
        <v>0</v>
      </c>
      <c r="F22" s="66">
        <f t="shared" si="13"/>
        <v>0</v>
      </c>
      <c r="G22" s="66">
        <f t="shared" si="13"/>
        <v>0</v>
      </c>
      <c r="H22" s="153">
        <f t="shared" si="13"/>
        <v>0</v>
      </c>
      <c r="I22" s="67"/>
      <c r="J22" s="68"/>
      <c r="K22" s="68"/>
      <c r="L22" s="68"/>
      <c r="M22" s="68"/>
    </row>
    <row r="23" spans="1:58" s="10" customFormat="1" ht="13.9" customHeight="1">
      <c r="A23" s="545"/>
      <c r="B23" s="545"/>
      <c r="C23" s="545"/>
      <c r="D23" s="545"/>
      <c r="E23" s="545"/>
      <c r="F23" s="545"/>
      <c r="G23" s="545"/>
      <c r="H23" s="545"/>
      <c r="I23" s="545"/>
      <c r="J23" s="545"/>
      <c r="K23" s="545"/>
      <c r="L23" s="545"/>
      <c r="M23" s="545"/>
    </row>
    <row r="24" spans="1:58" s="10" customFormat="1" ht="25.15" customHeight="1">
      <c r="A24" s="211"/>
      <c r="B24" s="212" t="s">
        <v>152</v>
      </c>
      <c r="C24" s="215" t="s">
        <v>18</v>
      </c>
      <c r="D24" s="546"/>
      <c r="E24" s="547"/>
      <c r="F24" s="547"/>
      <c r="G24" s="547"/>
      <c r="H24" s="547"/>
      <c r="I24" s="547"/>
      <c r="J24" s="547"/>
      <c r="K24" s="547"/>
      <c r="L24" s="547"/>
      <c r="M24" s="548"/>
    </row>
    <row r="25" spans="1:58" s="10" customFormat="1" ht="25.15" customHeight="1">
      <c r="A25" s="211"/>
      <c r="B25" s="213"/>
      <c r="C25" s="216" t="s">
        <v>19</v>
      </c>
      <c r="D25" s="539"/>
      <c r="E25" s="540"/>
      <c r="F25" s="540"/>
      <c r="G25" s="540"/>
      <c r="H25" s="540"/>
      <c r="I25" s="540"/>
      <c r="J25" s="540"/>
      <c r="K25" s="540"/>
      <c r="L25" s="540"/>
      <c r="M25" s="541"/>
    </row>
    <row r="26" spans="1:58" s="10" customFormat="1" ht="25.15" customHeight="1">
      <c r="A26" s="211"/>
      <c r="B26" s="213"/>
      <c r="C26" s="216" t="s">
        <v>20</v>
      </c>
      <c r="D26" s="539"/>
      <c r="E26" s="540"/>
      <c r="F26" s="540"/>
      <c r="G26" s="540"/>
      <c r="H26" s="540"/>
      <c r="I26" s="540"/>
      <c r="J26" s="540"/>
      <c r="K26" s="540"/>
      <c r="L26" s="540"/>
      <c r="M26" s="541"/>
    </row>
    <row r="27" spans="1:58" s="10" customFormat="1" ht="25.15" customHeight="1">
      <c r="A27" s="211"/>
      <c r="B27" s="213"/>
      <c r="C27" s="216" t="s">
        <v>21</v>
      </c>
      <c r="D27" s="539"/>
      <c r="E27" s="540"/>
      <c r="F27" s="540"/>
      <c r="G27" s="540"/>
      <c r="H27" s="540"/>
      <c r="I27" s="540"/>
      <c r="J27" s="540"/>
      <c r="K27" s="540"/>
      <c r="L27" s="540"/>
      <c r="M27" s="541"/>
    </row>
    <row r="28" spans="1:58" s="10" customFormat="1" ht="25.15" customHeight="1">
      <c r="A28" s="211"/>
      <c r="B28" s="213"/>
      <c r="C28" s="216" t="s">
        <v>22</v>
      </c>
      <c r="D28" s="539"/>
      <c r="E28" s="540"/>
      <c r="F28" s="540"/>
      <c r="G28" s="540"/>
      <c r="H28" s="540"/>
      <c r="I28" s="540"/>
      <c r="J28" s="540"/>
      <c r="K28" s="540"/>
      <c r="L28" s="540"/>
      <c r="M28" s="541"/>
    </row>
    <row r="29" spans="1:58" s="10" customFormat="1" ht="25.15" customHeight="1">
      <c r="A29" s="211"/>
      <c r="B29" s="213"/>
      <c r="C29" s="217" t="s">
        <v>23</v>
      </c>
      <c r="D29" s="542"/>
      <c r="E29" s="543"/>
      <c r="F29" s="543"/>
      <c r="G29" s="543"/>
      <c r="H29" s="543"/>
      <c r="I29" s="543"/>
      <c r="J29" s="543"/>
      <c r="K29" s="543"/>
      <c r="L29" s="543"/>
      <c r="M29" s="544"/>
    </row>
    <row r="30" spans="1:58">
      <c r="A30" s="195"/>
      <c r="B30" s="163"/>
    </row>
    <row r="31" spans="1:58">
      <c r="A31" s="195"/>
      <c r="B31" s="163"/>
    </row>
    <row r="32" spans="1:58" s="70" customFormat="1">
      <c r="A32" s="195"/>
      <c r="B32" s="163"/>
      <c r="I32" s="71"/>
      <c r="J32" s="71"/>
      <c r="K32" s="71"/>
      <c r="L32" s="71"/>
      <c r="M32" s="71"/>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sheetData>
  <sheetProtection sheet="1" objects="1" scenarios="1"/>
  <customSheetViews>
    <customSheetView guid="{2A3E70A9-51A3-4722-9775-16DBEA0F14B3}">
      <pane xSplit="2" ySplit="8" topLeftCell="C9" activePane="bottomRight" state="frozen"/>
      <selection pane="bottomRight" activeCell="C11" sqref="C11"/>
      <rowBreaks count="1" manualBreakCount="1">
        <brk id="35" max="16383" man="1"/>
      </rowBreaks>
      <pageMargins left="0.2" right="0.2" top="0.3" bottom="0.25" header="0.25" footer="0"/>
      <printOptions horizontalCentered="1"/>
      <pageSetup paperSize="5" scale="91" orientation="landscape" r:id="rId1"/>
      <headerFooter alignWithMargins="0">
        <oddFooter>&amp;L&amp;8&amp;K000000IDD Supervised Living - Moderate Initial Authorization&amp;R&amp;8&amp;K000000&amp;P</oddFooter>
      </headerFooter>
    </customSheetView>
    <customSheetView guid="{A13B25D0-B104-46DD-B5CC-B628EEB53163}">
      <pane xSplit="2" ySplit="8" topLeftCell="C9" activePane="bottomRight" state="frozen"/>
      <selection pane="bottomRight" activeCell="C11" sqref="C11"/>
      <rowBreaks count="1" manualBreakCount="1">
        <brk id="35" max="16383" man="1"/>
      </rowBreaks>
      <pageMargins left="0.2" right="0.2" top="0.3" bottom="0.25" header="0.25" footer="0"/>
      <printOptions horizontalCentered="1"/>
      <pageSetup paperSize="5" scale="91" orientation="landscape" r:id="rId2"/>
      <headerFooter alignWithMargins="0">
        <oddFooter>&amp;L&amp;8&amp;K000000IDD Supervised Living - Moderate Initial Authorization&amp;R&amp;8&amp;K000000&amp;P</oddFooter>
      </headerFooter>
    </customSheetView>
  </customSheetViews>
  <mergeCells count="7">
    <mergeCell ref="A23:M23"/>
    <mergeCell ref="D28:M28"/>
    <mergeCell ref="D29:M29"/>
    <mergeCell ref="D26:M26"/>
    <mergeCell ref="D27:M27"/>
    <mergeCell ref="D24:M24"/>
    <mergeCell ref="D25:M25"/>
  </mergeCells>
  <conditionalFormatting sqref="C9:H9">
    <cfRule type="cellIs" dxfId="192" priority="31" stopIfTrue="1" operator="equal">
      <formula>"Not Met"</formula>
    </cfRule>
  </conditionalFormatting>
  <conditionalFormatting sqref="C9:H9">
    <cfRule type="expression" dxfId="191" priority="30" stopIfTrue="1">
      <formula>OR(C9="",C9="N/A")</formula>
    </cfRule>
  </conditionalFormatting>
  <conditionalFormatting sqref="C12:H12 C14:H15">
    <cfRule type="cellIs" dxfId="190" priority="13" stopIfTrue="1" operator="equal">
      <formula>"Not Met"</formula>
    </cfRule>
  </conditionalFormatting>
  <conditionalFormatting sqref="C10:H10">
    <cfRule type="cellIs" dxfId="189" priority="11" stopIfTrue="1" operator="equal">
      <formula>"Not Met"</formula>
    </cfRule>
  </conditionalFormatting>
  <conditionalFormatting sqref="C13:H13">
    <cfRule type="cellIs" dxfId="188" priority="9" stopIfTrue="1" operator="equal">
      <formula>"Not Met"</formula>
    </cfRule>
  </conditionalFormatting>
  <conditionalFormatting sqref="C12:H12 C14:H15">
    <cfRule type="expression" dxfId="187" priority="12" stopIfTrue="1">
      <formula>AND(C$9&lt;&gt;"",C12="")</formula>
    </cfRule>
    <cfRule type="cellIs" dxfId="186" priority="14" stopIfTrue="1" operator="equal">
      <formula>"N/A"</formula>
    </cfRule>
  </conditionalFormatting>
  <conditionalFormatting sqref="C10:H10">
    <cfRule type="expression" dxfId="185" priority="10" stopIfTrue="1">
      <formula>OR(C10="",C10="N/A")</formula>
    </cfRule>
  </conditionalFormatting>
  <conditionalFormatting sqref="C13:H13">
    <cfRule type="expression" dxfId="184" priority="8" stopIfTrue="1">
      <formula>OR(C13="",C13="N/A")</formula>
    </cfRule>
  </conditionalFormatting>
  <conditionalFormatting sqref="C11:H11">
    <cfRule type="expression" dxfId="183" priority="3" stopIfTrue="1">
      <formula>AND(C$9&lt;&gt;"",C11="")</formula>
    </cfRule>
    <cfRule type="cellIs" dxfId="182" priority="5" stopIfTrue="1" operator="equal">
      <formula>"N/A"</formula>
    </cfRule>
  </conditionalFormatting>
  <conditionalFormatting sqref="C11:H11">
    <cfRule type="cellIs" dxfId="181" priority="4" stopIfTrue="1" operator="equal">
      <formula>"Not Met"</formula>
    </cfRule>
  </conditionalFormatting>
  <dataValidations count="2">
    <dataValidation type="list" allowBlank="1" showInputMessage="1" showErrorMessage="1" sqref="C12:H12" xr:uid="{00000000-0002-0000-1800-000001000000}">
      <formula1>"YES,NO"</formula1>
    </dataValidation>
    <dataValidation type="list" allowBlank="1" showInputMessage="1" showErrorMessage="1" sqref="C14:H15" xr:uid="{00000000-0002-0000-1800-000002000000}">
      <formula1>"YES,NO,N/A"</formula1>
    </dataValidation>
  </dataValidations>
  <printOptions horizontalCentered="1"/>
  <pageMargins left="0.2" right="0.2" top="0.3" bottom="0.25" header="0.25" footer="0"/>
  <pageSetup paperSize="5" scale="91" orientation="landscape" r:id="rId3"/>
  <headerFooter alignWithMargins="0">
    <oddFooter>&amp;L&amp;8&amp;K000000IDD Supervised Living - Moderate Initial Authorization&amp;R&amp;8&amp;K000000&amp;P</oddFooter>
  </headerFooter>
  <rowBreaks count="1" manualBreakCount="1">
    <brk id="23" max="16383" man="1"/>
  </rowBreaks>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H19"/>
  <sheetViews>
    <sheetView showGridLines="0" zoomScaleNormal="100" workbookViewId="0">
      <pane xSplit="2" ySplit="11" topLeftCell="C12" activePane="bottomRight" state="frozen"/>
      <selection activeCell="D23" sqref="D23:M23"/>
      <selection pane="topRight" activeCell="D23" sqref="D23:M23"/>
      <selection pane="bottomLeft" activeCell="D23" sqref="D23:M23"/>
      <selection pane="bottomRight" activeCell="C18" sqref="C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290</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thickBot="1">
      <c r="A19" s="375"/>
      <c r="B19" s="53" t="s">
        <v>24</v>
      </c>
      <c r="C19" s="378"/>
      <c r="D19" s="379"/>
      <c r="E19" s="379"/>
      <c r="F19" s="379"/>
      <c r="G19" s="379"/>
      <c r="H19" s="380"/>
    </row>
  </sheetData>
  <sheetProtection sheet="1" objects="1" scenarios="1"/>
  <customSheetViews>
    <customSheetView guid="{2A3E70A9-51A3-4722-9775-16DBEA0F14B3}" showGridLines="0">
      <pane xSplit="2" ySplit="11" topLeftCell="C14" activePane="bottomRight" state="frozen"/>
      <selection pane="bottomRight" activeCell="C13" sqref="C13:D18"/>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4" activePane="bottomRight" state="frozen"/>
      <selection pane="bottomRight" activeCell="C13" sqref="C13:D18"/>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180" priority="1" operator="equal">
      <formula>"NOT MET"</formula>
    </cfRule>
    <cfRule type="cellIs" dxfId="179" priority="2" operator="equal">
      <formula>"MET"</formula>
    </cfRule>
  </conditionalFormatting>
  <dataValidations count="2">
    <dataValidation type="list" allowBlank="1" showInputMessage="1" showErrorMessage="1" sqref="C13:H17" xr:uid="{00000000-0002-0000-1500-000000000000}">
      <formula1>"YES, NO"</formula1>
    </dataValidation>
    <dataValidation type="list" allowBlank="1" showInputMessage="1" showErrorMessage="1" sqref="C7:H7" xr:uid="{00000000-0002-0000-15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0455-F07D-4065-8C3C-7C5F0E420F32}">
  <sheetPr>
    <tabColor theme="8" tint="-0.249977111117893"/>
  </sheetPr>
  <dimension ref="A1:BF35"/>
  <sheetViews>
    <sheetView zoomScaleNormal="100" zoomScaleSheetLayoutView="50" workbookViewId="0">
      <pane xSplit="2" ySplit="8" topLeftCell="C9" activePane="bottomRight" state="frozen"/>
      <selection activeCell="C3" sqref="C3"/>
      <selection pane="topRight" activeCell="C3" sqref="C3"/>
      <selection pane="bottomLeft" activeCell="C3" sqref="C3"/>
      <selection pane="bottomRight" activeCell="E18" sqref="E18"/>
    </sheetView>
  </sheetViews>
  <sheetFormatPr defaultColWidth="8.85546875" defaultRowHeight="12.75"/>
  <cols>
    <col min="1" max="1" width="3.28515625" style="383"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288</v>
      </c>
      <c r="D1" s="340"/>
      <c r="E1" s="340"/>
      <c r="F1" s="340"/>
      <c r="G1" s="340"/>
      <c r="H1" s="340"/>
      <c r="I1" s="131"/>
      <c r="J1" s="131"/>
      <c r="K1" s="131"/>
      <c r="L1" s="131"/>
      <c r="M1" s="246"/>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6"/>
      <c r="J4" s="141"/>
      <c r="K4" s="141"/>
      <c r="L4" s="141"/>
      <c r="M4" s="142"/>
    </row>
    <row r="5" spans="1:13" s="8" customFormat="1" ht="14.85" customHeight="1">
      <c r="A5" s="18"/>
      <c r="B5" s="393" t="s">
        <v>189</v>
      </c>
      <c r="C5" s="355" t="str">
        <f>IF('CAET Initial Eligibil'!C6="","",'CAET Initial Eligibil'!C6)</f>
        <v/>
      </c>
      <c r="D5" s="356" t="str">
        <f>IF('CAET Initial Eligibil'!D6="","",'CAET Initial Eligibil'!D6)</f>
        <v/>
      </c>
      <c r="E5" s="356" t="str">
        <f>IF('CAET Initial Eligibil'!E6="","",'CAET Initial Eligibil'!E6)</f>
        <v/>
      </c>
      <c r="F5" s="356" t="str">
        <f>IF('CAET Initial Eligibil'!F6="","",'CAET Initial Eligibil'!F6)</f>
        <v/>
      </c>
      <c r="G5" s="356" t="str">
        <f>IF('CAET Initial Eligibil'!G6="","",'CAET Initial Eligibil'!G6)</f>
        <v/>
      </c>
      <c r="H5" s="357" t="str">
        <f>IF('CAET Initial Eligibil'!H6="","",'CAET Initial Eligibil'!H6)</f>
        <v/>
      </c>
      <c r="I5" s="16"/>
      <c r="J5" s="16"/>
      <c r="K5" s="16"/>
      <c r="L5" s="16"/>
      <c r="M5" s="17"/>
    </row>
    <row r="6" spans="1:13" s="8" customFormat="1" ht="14.85" customHeight="1">
      <c r="A6" s="18"/>
      <c r="B6" s="393" t="s">
        <v>190</v>
      </c>
      <c r="C6" s="484" t="str">
        <f>IF('CAET Initial Eligibil'!C7="","",'CAET Initial Eligibil'!C7)</f>
        <v/>
      </c>
      <c r="D6" s="243" t="str">
        <f>IF('CAET Initial Eligibil'!D7="","",'CAET Initial Eligibil'!D7)</f>
        <v/>
      </c>
      <c r="E6" s="243" t="str">
        <f>IF('CAET Initial Eligibil'!E7="","",'CAET Initial Eligibil'!E7)</f>
        <v/>
      </c>
      <c r="F6" s="243" t="str">
        <f>IF('CAET Initial Eligibil'!F7="","",'CAET Initial Eligibil'!F7)</f>
        <v/>
      </c>
      <c r="G6" s="243" t="str">
        <f>IF('CAET Initial Eligibil'!G7="","",'CAET Initial Eligibil'!G7)</f>
        <v/>
      </c>
      <c r="H6" s="485" t="str">
        <f>IF('CAET Initial Eligibil'!H7="","",'CAET Initial Eligibil'!H7)</f>
        <v/>
      </c>
      <c r="I6" s="16"/>
      <c r="J6" s="16"/>
      <c r="K6" s="16"/>
      <c r="L6" s="16"/>
      <c r="M6" s="17"/>
    </row>
    <row r="7" spans="1:13" s="8" customFormat="1" ht="14.85" customHeight="1" thickBot="1">
      <c r="A7" s="21"/>
      <c r="B7" s="417" t="s">
        <v>188</v>
      </c>
      <c r="C7" s="359" t="str">
        <f>IF('CAET Initial Eligibil'!C9="","",'CAET Initial Eligibil'!C9)</f>
        <v/>
      </c>
      <c r="D7" s="360" t="str">
        <f>IF('CAET Initial Eligibil'!D9="","",'CAET Initial Eligibil'!D9)</f>
        <v/>
      </c>
      <c r="E7" s="360" t="str">
        <f>IF('CAET Initial Eligibil'!E9="","",'CAET Initial Eligibil'!E9)</f>
        <v/>
      </c>
      <c r="F7" s="360" t="str">
        <f>IF('CAET Initial Eligibil'!F9="","",'CAET Initial Eligibil'!F9)</f>
        <v/>
      </c>
      <c r="G7" s="360" t="str">
        <f>IF('CAET Initial Eligibil'!G9="","",'CAET Initial Eligibil'!G9)</f>
        <v/>
      </c>
      <c r="H7" s="361" t="str">
        <f>IF('CAET Initial Eligibil'!H9="","",'CAET Initial Eligibil'!H9)</f>
        <v/>
      </c>
      <c r="I7" s="23" t="s">
        <v>10</v>
      </c>
      <c r="J7" s="23"/>
      <c r="K7" s="23"/>
      <c r="L7" s="23"/>
      <c r="M7" s="24"/>
    </row>
    <row r="8" spans="1:13" s="10" customFormat="1" ht="32.1" customHeight="1" thickBot="1">
      <c r="A8" s="25" t="s">
        <v>11</v>
      </c>
      <c r="B8" s="26" t="s">
        <v>12</v>
      </c>
      <c r="C8" s="27">
        <v>1</v>
      </c>
      <c r="D8" s="28">
        <v>2</v>
      </c>
      <c r="E8" s="28">
        <v>3</v>
      </c>
      <c r="F8" s="28">
        <v>4</v>
      </c>
      <c r="G8" s="28">
        <v>5</v>
      </c>
      <c r="H8" s="404">
        <v>6</v>
      </c>
      <c r="I8" s="31" t="s">
        <v>13</v>
      </c>
      <c r="J8" s="31" t="s">
        <v>14</v>
      </c>
      <c r="K8" s="32" t="s">
        <v>15</v>
      </c>
      <c r="L8" s="33" t="s">
        <v>16</v>
      </c>
      <c r="M8" s="34" t="s">
        <v>17</v>
      </c>
    </row>
    <row r="9" spans="1:13" s="37" customFormat="1" ht="25.5">
      <c r="A9" s="45" t="s">
        <v>18</v>
      </c>
      <c r="B9" s="394" t="s">
        <v>289</v>
      </c>
      <c r="C9" s="371" t="str">
        <f>IF('Day Supports Continuation Eli'!C12=0,"",'Day Supports Continuation Eli'!C12)</f>
        <v/>
      </c>
      <c r="D9" s="371" t="str">
        <f>IF('Day Supports Continuation Eli'!D12=0,"",'Day Supports Continuation Eli'!D12)</f>
        <v/>
      </c>
      <c r="E9" s="371" t="str">
        <f>IF('Day Supports Continuation Eli'!E12=0,"",'Day Supports Continuation Eli'!E12)</f>
        <v/>
      </c>
      <c r="F9" s="371" t="str">
        <f>IF('Day Supports Continuation Eli'!F12=0,"",'Day Supports Continuation Eli'!F12)</f>
        <v/>
      </c>
      <c r="G9" s="371" t="str">
        <f>IF('Day Supports Continuation Eli'!G12=0,"",'Day Supports Continuation Eli'!G12)</f>
        <v/>
      </c>
      <c r="H9" s="371" t="str">
        <f>IF('Day Supports Continuation Eli'!H12=0,"",'Day Supports Continuation Eli'!H12)</f>
        <v/>
      </c>
      <c r="I9" s="459">
        <f>COUNTIF(C9:H9,"=Met")</f>
        <v>0</v>
      </c>
      <c r="J9" s="438">
        <f>IF(SUM(I9,K9)=0,0,I9/SUM(I9,K9))</f>
        <v>0</v>
      </c>
      <c r="K9" s="439">
        <f>COUNTIF(C9:H9,"=Not Met")</f>
        <v>0</v>
      </c>
      <c r="L9" s="438">
        <f t="shared" ref="L9" si="0">IF(SUM(I9,K9)=0,0,K9/SUM(I9,K9))</f>
        <v>0</v>
      </c>
      <c r="M9" s="440">
        <f>COUNTIF(C9:H9,"=N/A")</f>
        <v>0</v>
      </c>
    </row>
    <row r="10" spans="1:13" s="10" customFormat="1" ht="25.5">
      <c r="A10" s="156" t="s">
        <v>19</v>
      </c>
      <c r="B10" s="395" t="s">
        <v>207</v>
      </c>
      <c r="C10" s="180" t="str">
        <f>IF(AND(C16="YES",COUNTIF(C11:C13,"YES")=3),"MET",IF(COUNTA(C11:C12,C16:C16)&gt;=1,"","NOT MET"))</f>
        <v/>
      </c>
      <c r="D10" s="180" t="str">
        <f t="shared" ref="D10:H10" si="1">IF(AND(D16="YES",COUNTIF(D11:D13,"YES")=3),"MET",IF(COUNTA(D11:D12,D16:D16)&gt;=1,"","NOT MET"))</f>
        <v/>
      </c>
      <c r="E10" s="180" t="str">
        <f t="shared" si="1"/>
        <v/>
      </c>
      <c r="F10" s="180" t="str">
        <f t="shared" si="1"/>
        <v/>
      </c>
      <c r="G10" s="180" t="str">
        <f t="shared" si="1"/>
        <v/>
      </c>
      <c r="H10" s="436" t="str">
        <f t="shared" si="1"/>
        <v/>
      </c>
      <c r="I10" s="519"/>
      <c r="J10" s="520"/>
      <c r="K10" s="521"/>
      <c r="L10" s="520"/>
      <c r="M10" s="509"/>
    </row>
    <row r="11" spans="1:13" s="10" customFormat="1" ht="25.5">
      <c r="A11" s="156" t="s">
        <v>192</v>
      </c>
      <c r="B11" s="36" t="s">
        <v>204</v>
      </c>
      <c r="C11" s="179" t="str">
        <f>IF(C9="MET","YES",IF(C9="NOT MET","NO",IF(C9="","")))</f>
        <v/>
      </c>
      <c r="D11" s="179" t="str">
        <f t="shared" ref="D11:H11" si="2">IF(D9="MET","YES",IF(D9="NOT MET","NO",IF(D9="","")))</f>
        <v/>
      </c>
      <c r="E11" s="179" t="str">
        <f t="shared" si="2"/>
        <v/>
      </c>
      <c r="F11" s="179" t="str">
        <f t="shared" si="2"/>
        <v/>
      </c>
      <c r="G11" s="179" t="str">
        <f t="shared" si="2"/>
        <v/>
      </c>
      <c r="H11" s="467" t="str">
        <f t="shared" si="2"/>
        <v/>
      </c>
      <c r="I11" s="522"/>
      <c r="J11" s="523"/>
      <c r="K11" s="524"/>
      <c r="L11" s="523"/>
      <c r="M11" s="525"/>
    </row>
    <row r="12" spans="1:13" s="10" customFormat="1">
      <c r="A12" s="156" t="s">
        <v>195</v>
      </c>
      <c r="B12" s="36" t="s">
        <v>205</v>
      </c>
      <c r="C12" s="35"/>
      <c r="D12" s="50"/>
      <c r="E12" s="50"/>
      <c r="F12" s="50"/>
      <c r="G12" s="50"/>
      <c r="H12" s="144"/>
      <c r="I12" s="42">
        <f>COUNTIF(C12:H12,"=YES")</f>
        <v>0</v>
      </c>
      <c r="J12" s="40">
        <f t="shared" ref="J12" si="3">IF(SUM(I12,K12)=0,0,I12/SUM(I12,K12))</f>
        <v>0</v>
      </c>
      <c r="K12" s="42">
        <f>COUNTIF(C12:H12,"=No")</f>
        <v>0</v>
      </c>
      <c r="L12" s="40">
        <f t="shared" ref="L12" si="4">IF(SUM(I12,K12)=0,0,K12/SUM(I12,K12))</f>
        <v>0</v>
      </c>
      <c r="M12" s="42">
        <f>COUNTIF(C12:H12,"=N/A")</f>
        <v>0</v>
      </c>
    </row>
    <row r="13" spans="1:13" s="10" customFormat="1" ht="25.5">
      <c r="A13" s="156" t="s">
        <v>251</v>
      </c>
      <c r="B13" s="36" t="s">
        <v>291</v>
      </c>
      <c r="C13" s="179" t="str">
        <f>IF(COUNTIF(C14:C15, "NO")=2,"NO",IF(COUNTIF(C14:C15, "YES")&gt;=1, "YES",IF(COUNTIF(C14:C15,"=N/A")=2,"N/A","")))</f>
        <v/>
      </c>
      <c r="D13" s="179" t="str">
        <f t="shared" ref="D13:H13" si="5">IF(COUNTIF(D14:D15, "NO")=2,"NO",IF(COUNTIF(D14:D15, "YES")&gt;=1, "YES",IF(COUNTIF(D14:D15,"=N/A")=2,"N/A","")))</f>
        <v/>
      </c>
      <c r="E13" s="179" t="str">
        <f t="shared" si="5"/>
        <v/>
      </c>
      <c r="F13" s="179" t="str">
        <f t="shared" si="5"/>
        <v/>
      </c>
      <c r="G13" s="179" t="str">
        <f t="shared" si="5"/>
        <v/>
      </c>
      <c r="H13" s="467" t="str">
        <f t="shared" si="5"/>
        <v/>
      </c>
      <c r="I13" s="42">
        <f>COUNTIF(C13:H13,"=YES")</f>
        <v>0</v>
      </c>
      <c r="J13" s="40">
        <f t="shared" ref="J13" si="6">IF(SUM(I13,K13)=0,0,I13/SUM(I13,K13))</f>
        <v>0</v>
      </c>
      <c r="K13" s="42">
        <f>COUNTIF(C13:H13,"=No")</f>
        <v>0</v>
      </c>
      <c r="L13" s="40">
        <f t="shared" ref="L13" si="7">IF(SUM(I13,K13)=0,0,K13/SUM(I13,K13))</f>
        <v>0</v>
      </c>
      <c r="M13" s="42">
        <f>COUNTIF(C13:H13,"=N/A")</f>
        <v>0</v>
      </c>
    </row>
    <row r="14" spans="1:13" s="10" customFormat="1">
      <c r="A14" s="303" t="s">
        <v>192</v>
      </c>
      <c r="B14" s="396" t="s">
        <v>292</v>
      </c>
      <c r="C14" s="35"/>
      <c r="D14" s="50"/>
      <c r="E14" s="50"/>
      <c r="F14" s="50"/>
      <c r="G14" s="50"/>
      <c r="H14" s="144"/>
      <c r="I14" s="448"/>
      <c r="J14" s="415"/>
      <c r="K14" s="414"/>
      <c r="L14" s="415"/>
      <c r="M14" s="449"/>
    </row>
    <row r="15" spans="1:13" s="10" customFormat="1" ht="25.5">
      <c r="A15" s="303" t="s">
        <v>195</v>
      </c>
      <c r="B15" s="396" t="s">
        <v>293</v>
      </c>
      <c r="C15" s="35"/>
      <c r="D15" s="50"/>
      <c r="E15" s="50"/>
      <c r="F15" s="50"/>
      <c r="G15" s="50"/>
      <c r="H15" s="144"/>
      <c r="I15" s="448"/>
      <c r="J15" s="415"/>
      <c r="K15" s="414"/>
      <c r="L15" s="415"/>
      <c r="M15" s="449"/>
    </row>
    <row r="16" spans="1:13" s="10" customFormat="1" ht="38.25">
      <c r="A16" s="303" t="s">
        <v>279</v>
      </c>
      <c r="B16" s="304" t="s">
        <v>294</v>
      </c>
      <c r="C16" s="179" t="str">
        <f>IF(COUNTIF(C17:C18, "NO")=2,"NO",IF(COUNTIF(C17:C18, "YES")&gt;=1, "YES",IF(COUNTIF(C17:C18,"=N/A")=2,"NO","")))</f>
        <v/>
      </c>
      <c r="D16" s="179" t="str">
        <f t="shared" ref="D16:H16" si="8">IF(COUNTIF(D17:D18, "NO")=2,"NO",IF(COUNTIF(D17:D18, "YES")&gt;=1, "YES",IF(COUNTIF(D17:D18,"=N/A")=2,"NO","")))</f>
        <v/>
      </c>
      <c r="E16" s="179" t="str">
        <f t="shared" si="8"/>
        <v/>
      </c>
      <c r="F16" s="179" t="str">
        <f t="shared" si="8"/>
        <v/>
      </c>
      <c r="G16" s="179" t="str">
        <f t="shared" si="8"/>
        <v/>
      </c>
      <c r="H16" s="467" t="str">
        <f t="shared" si="8"/>
        <v/>
      </c>
      <c r="I16" s="42">
        <f>COUNTIF(C16:H16,"=YES")</f>
        <v>0</v>
      </c>
      <c r="J16" s="40">
        <f t="shared" ref="J16" si="9">IF(SUM(I16,K16)=0,0,I16/SUM(I16,K16))</f>
        <v>0</v>
      </c>
      <c r="K16" s="42">
        <f>COUNTIF(C16:H16,"=No")</f>
        <v>0</v>
      </c>
      <c r="L16" s="40">
        <f t="shared" ref="L16" si="10">IF(SUM(I16,K16)=0,0,K16/SUM(I16,K16))</f>
        <v>0</v>
      </c>
      <c r="M16" s="42">
        <f>COUNTIF(C16:H16,"=N/A")</f>
        <v>0</v>
      </c>
    </row>
    <row r="17" spans="1:13" s="10" customFormat="1" ht="21.6" customHeight="1">
      <c r="A17" s="303" t="s">
        <v>192</v>
      </c>
      <c r="B17" s="396" t="s">
        <v>295</v>
      </c>
      <c r="C17" s="496"/>
      <c r="D17" s="497"/>
      <c r="E17" s="497"/>
      <c r="F17" s="497"/>
      <c r="G17" s="497"/>
      <c r="H17" s="498"/>
      <c r="I17" s="448"/>
      <c r="J17" s="415"/>
      <c r="K17" s="414"/>
      <c r="L17" s="415"/>
      <c r="M17" s="449"/>
    </row>
    <row r="18" spans="1:13" s="10" customFormat="1" ht="39" thickBot="1">
      <c r="A18" s="385" t="s">
        <v>195</v>
      </c>
      <c r="B18" s="418" t="s">
        <v>296</v>
      </c>
      <c r="C18" s="177"/>
      <c r="D18" s="178"/>
      <c r="E18" s="178"/>
      <c r="F18" s="178"/>
      <c r="G18" s="178"/>
      <c r="H18" s="478"/>
      <c r="I18" s="450"/>
      <c r="J18" s="451"/>
      <c r="K18" s="452"/>
      <c r="L18" s="451"/>
      <c r="M18" s="453"/>
    </row>
    <row r="19" spans="1:13" s="10" customFormat="1" ht="13.9" customHeight="1" thickBot="1">
      <c r="A19" s="383"/>
      <c r="B19" s="53" t="s">
        <v>24</v>
      </c>
      <c r="C19" s="122"/>
      <c r="D19" s="123"/>
      <c r="E19" s="123"/>
      <c r="F19" s="123"/>
      <c r="G19" s="123"/>
      <c r="H19" s="124"/>
      <c r="I19" s="54"/>
      <c r="J19" s="54"/>
      <c r="K19" s="54"/>
      <c r="L19" s="54"/>
      <c r="M19" s="54"/>
    </row>
    <row r="20" spans="1:13" s="10" customFormat="1" ht="13.9" customHeight="1" thickBot="1">
      <c r="A20" s="383"/>
      <c r="B20" s="53"/>
      <c r="C20" s="55"/>
      <c r="D20" s="55"/>
      <c r="E20" s="55"/>
      <c r="F20" s="55"/>
      <c r="G20" s="55"/>
      <c r="H20" s="55"/>
      <c r="I20" s="54"/>
      <c r="J20" s="54"/>
      <c r="K20" s="54"/>
      <c r="L20" s="54"/>
      <c r="M20" s="54"/>
    </row>
    <row r="21" spans="1:13" s="10" customFormat="1" ht="13.9" customHeight="1">
      <c r="A21" s="383"/>
      <c r="B21" s="56" t="s">
        <v>25</v>
      </c>
      <c r="C21" s="57">
        <f t="shared" ref="C21:H21" si="11">COUNTIF(C9:C18,"=Met")</f>
        <v>0</v>
      </c>
      <c r="D21" s="58">
        <f t="shared" si="11"/>
        <v>0</v>
      </c>
      <c r="E21" s="58">
        <f t="shared" si="11"/>
        <v>0</v>
      </c>
      <c r="F21" s="58">
        <f t="shared" si="11"/>
        <v>0</v>
      </c>
      <c r="G21" s="58">
        <f t="shared" si="11"/>
        <v>0</v>
      </c>
      <c r="H21" s="150">
        <f t="shared" si="11"/>
        <v>0</v>
      </c>
      <c r="I21" s="59"/>
      <c r="J21" s="60"/>
      <c r="K21" s="60"/>
      <c r="L21" s="60"/>
      <c r="M21" s="60"/>
    </row>
    <row r="22" spans="1:13" s="10" customFormat="1" ht="13.9" customHeight="1">
      <c r="A22" s="383"/>
      <c r="B22" s="56" t="s">
        <v>26</v>
      </c>
      <c r="C22" s="61">
        <f t="shared" ref="C22:H22" si="12">IF(SUM(C21,C23)=0,0,C21/SUM(C21,C23))</f>
        <v>0</v>
      </c>
      <c r="D22" s="62">
        <f t="shared" si="12"/>
        <v>0</v>
      </c>
      <c r="E22" s="62">
        <f t="shared" si="12"/>
        <v>0</v>
      </c>
      <c r="F22" s="62">
        <f t="shared" si="12"/>
        <v>0</v>
      </c>
      <c r="G22" s="62">
        <f t="shared" si="12"/>
        <v>0</v>
      </c>
      <c r="H22" s="151">
        <f t="shared" si="12"/>
        <v>0</v>
      </c>
      <c r="I22" s="59"/>
      <c r="J22" s="60"/>
      <c r="K22" s="60"/>
      <c r="L22" s="60"/>
      <c r="M22" s="60"/>
    </row>
    <row r="23" spans="1:13" s="10" customFormat="1" ht="13.9" customHeight="1">
      <c r="A23" s="383"/>
      <c r="B23" s="56" t="s">
        <v>27</v>
      </c>
      <c r="C23" s="63">
        <f t="shared" ref="C23:H23" si="13">COUNTIF(C9:C18,"=Not Met")</f>
        <v>0</v>
      </c>
      <c r="D23" s="64">
        <f t="shared" si="13"/>
        <v>0</v>
      </c>
      <c r="E23" s="64">
        <f t="shared" si="13"/>
        <v>0</v>
      </c>
      <c r="F23" s="64">
        <f t="shared" si="13"/>
        <v>0</v>
      </c>
      <c r="G23" s="64">
        <f t="shared" si="13"/>
        <v>0</v>
      </c>
      <c r="H23" s="152">
        <f t="shared" si="13"/>
        <v>0</v>
      </c>
      <c r="I23" s="59"/>
      <c r="J23" s="60"/>
      <c r="K23" s="60"/>
      <c r="L23" s="60"/>
      <c r="M23" s="60"/>
    </row>
    <row r="24" spans="1:13" s="10" customFormat="1" ht="13.9" customHeight="1">
      <c r="A24" s="383"/>
      <c r="B24" s="56" t="s">
        <v>28</v>
      </c>
      <c r="C24" s="61">
        <f t="shared" ref="C24:H24" si="14">IF(SUM(C21,C23)=0,0,C23/SUM(C21,C23))</f>
        <v>0</v>
      </c>
      <c r="D24" s="62">
        <f t="shared" si="14"/>
        <v>0</v>
      </c>
      <c r="E24" s="62">
        <f t="shared" si="14"/>
        <v>0</v>
      </c>
      <c r="F24" s="62">
        <f t="shared" si="14"/>
        <v>0</v>
      </c>
      <c r="G24" s="62">
        <f t="shared" si="14"/>
        <v>0</v>
      </c>
      <c r="H24" s="151">
        <f t="shared" si="14"/>
        <v>0</v>
      </c>
      <c r="I24" s="59"/>
      <c r="J24" s="60"/>
      <c r="K24" s="60"/>
      <c r="L24" s="60"/>
      <c r="M24" s="60"/>
    </row>
    <row r="25" spans="1:13" s="10" customFormat="1" ht="13.9" customHeight="1" thickBot="1">
      <c r="A25" s="383"/>
      <c r="B25" s="56" t="s">
        <v>29</v>
      </c>
      <c r="C25" s="65">
        <f t="shared" ref="C25:H25" si="15">COUNTIF(C9:C18,"=N/A")</f>
        <v>0</v>
      </c>
      <c r="D25" s="66">
        <f t="shared" si="15"/>
        <v>0</v>
      </c>
      <c r="E25" s="66">
        <f t="shared" si="15"/>
        <v>0</v>
      </c>
      <c r="F25" s="66">
        <f t="shared" si="15"/>
        <v>0</v>
      </c>
      <c r="G25" s="66">
        <f t="shared" si="15"/>
        <v>0</v>
      </c>
      <c r="H25" s="153">
        <f t="shared" si="15"/>
        <v>0</v>
      </c>
      <c r="I25" s="67"/>
      <c r="J25" s="68"/>
      <c r="K25" s="68"/>
      <c r="L25" s="68"/>
      <c r="M25" s="68"/>
    </row>
    <row r="26" spans="1:13" s="10" customFormat="1" ht="13.9" customHeight="1">
      <c r="A26" s="545"/>
      <c r="B26" s="545"/>
      <c r="C26" s="545"/>
      <c r="D26" s="545"/>
      <c r="E26" s="545"/>
      <c r="F26" s="545"/>
      <c r="G26" s="545"/>
      <c r="H26" s="545"/>
      <c r="I26" s="545"/>
      <c r="J26" s="545"/>
      <c r="K26" s="545"/>
      <c r="L26" s="545"/>
      <c r="M26" s="545"/>
    </row>
    <row r="27" spans="1:13" s="10" customFormat="1" ht="25.15" customHeight="1">
      <c r="A27" s="211"/>
      <c r="B27" s="212" t="s">
        <v>152</v>
      </c>
      <c r="C27" s="215" t="s">
        <v>18</v>
      </c>
      <c r="D27" s="546"/>
      <c r="E27" s="547"/>
      <c r="F27" s="547"/>
      <c r="G27" s="547"/>
      <c r="H27" s="547"/>
      <c r="I27" s="547"/>
      <c r="J27" s="547"/>
      <c r="K27" s="547"/>
      <c r="L27" s="547"/>
      <c r="M27" s="548"/>
    </row>
    <row r="28" spans="1:13" s="10" customFormat="1" ht="25.15" customHeight="1">
      <c r="A28" s="211"/>
      <c r="B28" s="213"/>
      <c r="C28" s="216" t="s">
        <v>19</v>
      </c>
      <c r="D28" s="539"/>
      <c r="E28" s="540"/>
      <c r="F28" s="540"/>
      <c r="G28" s="540"/>
      <c r="H28" s="540"/>
      <c r="I28" s="540"/>
      <c r="J28" s="540"/>
      <c r="K28" s="540"/>
      <c r="L28" s="540"/>
      <c r="M28" s="541"/>
    </row>
    <row r="29" spans="1:13" s="10" customFormat="1" ht="25.15" customHeight="1">
      <c r="A29" s="211"/>
      <c r="B29" s="213"/>
      <c r="C29" s="216" t="s">
        <v>20</v>
      </c>
      <c r="D29" s="539"/>
      <c r="E29" s="540"/>
      <c r="F29" s="540"/>
      <c r="G29" s="540"/>
      <c r="H29" s="540"/>
      <c r="I29" s="540"/>
      <c r="J29" s="540"/>
      <c r="K29" s="540"/>
      <c r="L29" s="540"/>
      <c r="M29" s="541"/>
    </row>
    <row r="30" spans="1:13" s="10" customFormat="1" ht="25.15" customHeight="1">
      <c r="A30" s="211"/>
      <c r="B30" s="213"/>
      <c r="C30" s="216" t="s">
        <v>21</v>
      </c>
      <c r="D30" s="539"/>
      <c r="E30" s="540"/>
      <c r="F30" s="540"/>
      <c r="G30" s="540"/>
      <c r="H30" s="540"/>
      <c r="I30" s="540"/>
      <c r="J30" s="540"/>
      <c r="K30" s="540"/>
      <c r="L30" s="540"/>
      <c r="M30" s="541"/>
    </row>
    <row r="31" spans="1:13" s="10" customFormat="1" ht="25.15" customHeight="1">
      <c r="A31" s="211"/>
      <c r="B31" s="213"/>
      <c r="C31" s="216" t="s">
        <v>22</v>
      </c>
      <c r="D31" s="539"/>
      <c r="E31" s="540"/>
      <c r="F31" s="540"/>
      <c r="G31" s="540"/>
      <c r="H31" s="540"/>
      <c r="I31" s="540"/>
      <c r="J31" s="540"/>
      <c r="K31" s="540"/>
      <c r="L31" s="540"/>
      <c r="M31" s="541"/>
    </row>
    <row r="32" spans="1:13" s="10" customFormat="1" ht="25.15" customHeight="1">
      <c r="A32" s="211"/>
      <c r="B32" s="213"/>
      <c r="C32" s="217" t="s">
        <v>23</v>
      </c>
      <c r="D32" s="542"/>
      <c r="E32" s="543"/>
      <c r="F32" s="543"/>
      <c r="G32" s="543"/>
      <c r="H32" s="543"/>
      <c r="I32" s="543"/>
      <c r="J32" s="543"/>
      <c r="K32" s="543"/>
      <c r="L32" s="543"/>
      <c r="M32" s="544"/>
    </row>
    <row r="33" spans="1:58">
      <c r="B33" s="163"/>
    </row>
    <row r="34" spans="1:58">
      <c r="B34" s="163"/>
    </row>
    <row r="35" spans="1:58" s="70" customFormat="1">
      <c r="A35" s="383"/>
      <c r="B35" s="163"/>
      <c r="I35" s="71"/>
      <c r="J35" s="71"/>
      <c r="K35" s="71"/>
      <c r="L35" s="71"/>
      <c r="M35" s="71"/>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sheetData>
  <sheetProtection sheet="1" objects="1" scenarios="1"/>
  <mergeCells count="7">
    <mergeCell ref="D32:M32"/>
    <mergeCell ref="A26:M26"/>
    <mergeCell ref="D27:M27"/>
    <mergeCell ref="D28:M28"/>
    <mergeCell ref="D29:M29"/>
    <mergeCell ref="D30:M30"/>
    <mergeCell ref="D31:M31"/>
  </mergeCells>
  <conditionalFormatting sqref="C9:H9">
    <cfRule type="cellIs" dxfId="178" priority="16" stopIfTrue="1" operator="equal">
      <formula>"Not Met"</formula>
    </cfRule>
  </conditionalFormatting>
  <conditionalFormatting sqref="C9:H9">
    <cfRule type="expression" dxfId="177" priority="15" stopIfTrue="1">
      <formula>OR(C9="",C9="N/A")</formula>
    </cfRule>
  </conditionalFormatting>
  <conditionalFormatting sqref="C12:H12 C14:H15 C18:H18">
    <cfRule type="cellIs" dxfId="176" priority="13" stopIfTrue="1" operator="equal">
      <formula>"Not Met"</formula>
    </cfRule>
  </conditionalFormatting>
  <conditionalFormatting sqref="C10:H10">
    <cfRule type="cellIs" dxfId="175" priority="11" stopIfTrue="1" operator="equal">
      <formula>"Not Met"</formula>
    </cfRule>
  </conditionalFormatting>
  <conditionalFormatting sqref="C13:H13">
    <cfRule type="cellIs" dxfId="174" priority="9" stopIfTrue="1" operator="equal">
      <formula>"Not Met"</formula>
    </cfRule>
  </conditionalFormatting>
  <conditionalFormatting sqref="C12:H12 C14:H15 C18:H18">
    <cfRule type="expression" dxfId="173" priority="12" stopIfTrue="1">
      <formula>AND(C$9&lt;&gt;"",C12="")</formula>
    </cfRule>
    <cfRule type="cellIs" dxfId="172" priority="14" stopIfTrue="1" operator="equal">
      <formula>"N/A"</formula>
    </cfRule>
  </conditionalFormatting>
  <conditionalFormatting sqref="C10:H10">
    <cfRule type="expression" dxfId="171" priority="10" stopIfTrue="1">
      <formula>OR(C10="",C10="N/A")</formula>
    </cfRule>
  </conditionalFormatting>
  <conditionalFormatting sqref="C13:H13">
    <cfRule type="expression" dxfId="170" priority="8" stopIfTrue="1">
      <formula>OR(C13="",C13="N/A")</formula>
    </cfRule>
  </conditionalFormatting>
  <conditionalFormatting sqref="C11:H11">
    <cfRule type="expression" dxfId="169" priority="3" stopIfTrue="1">
      <formula>AND(C$9&lt;&gt;"",C11="")</formula>
    </cfRule>
    <cfRule type="cellIs" dxfId="168" priority="5" stopIfTrue="1" operator="equal">
      <formula>"N/A"</formula>
    </cfRule>
  </conditionalFormatting>
  <conditionalFormatting sqref="C11:H11">
    <cfRule type="cellIs" dxfId="167" priority="4" stopIfTrue="1" operator="equal">
      <formula>"Not Met"</formula>
    </cfRule>
  </conditionalFormatting>
  <conditionalFormatting sqref="C16:H16">
    <cfRule type="cellIs" dxfId="166" priority="2" stopIfTrue="1" operator="equal">
      <formula>"Not Met"</formula>
    </cfRule>
  </conditionalFormatting>
  <conditionalFormatting sqref="C16:H16">
    <cfRule type="expression" dxfId="165" priority="1" stopIfTrue="1">
      <formula>OR(C16="",C16="N/A")</formula>
    </cfRule>
  </conditionalFormatting>
  <dataValidations count="3">
    <dataValidation type="list" allowBlank="1" showInputMessage="1" showErrorMessage="1" sqref="C18:H18 C14:H15" xr:uid="{DE148F3B-2427-4C4F-8CC4-AA311BBEDD34}">
      <formula1>"YES,NO,N/A"</formula1>
    </dataValidation>
    <dataValidation type="list" allowBlank="1" showInputMessage="1" showErrorMessage="1" sqref="C12:H12" xr:uid="{4E6957AA-D192-4479-9EBC-4832758B4A92}">
      <formula1>"YES,NO"</formula1>
    </dataValidation>
    <dataValidation type="list" allowBlank="1" showInputMessage="1" showErrorMessage="1" sqref="C17:H17" xr:uid="{041CFCB8-E9A1-4E7F-AEED-67FFFF234505}">
      <formula1>"YES, NO"</formula1>
    </dataValidation>
  </dataValidations>
  <printOptions horizontalCentered="1"/>
  <pageMargins left="0.2" right="0.2" top="0.3" bottom="0.25" header="0.25" footer="0"/>
  <pageSetup paperSize="5" scale="91" orientation="landscape" r:id="rId1"/>
  <headerFooter alignWithMargins="0">
    <oddFooter>&amp;L&amp;8&amp;K000000IDD Supervised Living - Moderate Initial Authorization&amp;R&amp;8&amp;K000000&amp;P</oddFooter>
  </headerFooter>
  <rowBreaks count="1" manualBreakCount="1">
    <brk id="26"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H19"/>
  <sheetViews>
    <sheetView showGridLines="0" zoomScaleNormal="100" workbookViewId="0">
      <pane xSplit="2" ySplit="11" topLeftCell="C12" activePane="bottomRight" state="frozen"/>
      <selection activeCell="C3" sqref="C3"/>
      <selection pane="topRight" activeCell="C3" sqref="C3"/>
      <selection pane="bottomLeft" activeCell="C3" sqref="C3"/>
      <selection pane="bottomRight" activeCell="G18" sqref="G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311</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2" activePane="bottomRight" state="frozen"/>
      <selection pane="bottomRight" activeCell="C18" sqref="C13:C18"/>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164" priority="1" operator="equal">
      <formula>"NOT MET"</formula>
    </cfRule>
    <cfRule type="cellIs" dxfId="163" priority="2" operator="equal">
      <formula>"MET"</formula>
    </cfRule>
  </conditionalFormatting>
  <dataValidations count="2">
    <dataValidation type="list" allowBlank="1" showInputMessage="1" showErrorMessage="1" sqref="C13:H17" xr:uid="{00000000-0002-0000-1700-000000000000}">
      <formula1>"YES, NO"</formula1>
    </dataValidation>
    <dataValidation type="list" allowBlank="1" showInputMessage="1" showErrorMessage="1" sqref="C7:H7" xr:uid="{00000000-0002-0000-17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249977111117893"/>
  </sheetPr>
  <dimension ref="A1:BF36"/>
  <sheetViews>
    <sheetView zoomScaleNormal="100" zoomScaleSheetLayoutView="50" workbookViewId="0">
      <pane xSplit="2" ySplit="8" topLeftCell="C9" activePane="bottomRight" state="frozen"/>
      <selection activeCell="H12" sqref="H12"/>
      <selection pane="topRight" activeCell="H12" sqref="H12"/>
      <selection pane="bottomLeft" activeCell="H12" sqref="H12"/>
      <selection pane="bottomRight" activeCell="F19" sqref="F19"/>
    </sheetView>
  </sheetViews>
  <sheetFormatPr defaultColWidth="8.85546875" defaultRowHeight="12.75"/>
  <cols>
    <col min="1" max="1" width="3.28515625" style="314" customWidth="1"/>
    <col min="2" max="2" width="75.7109375" style="69" customWidth="1"/>
    <col min="3" max="3" width="8" style="70" bestFit="1" customWidth="1"/>
    <col min="4" max="8" width="7.7109375" style="70" customWidth="1"/>
    <col min="9" max="13" width="7.7109375" style="71" customWidth="1"/>
    <col min="14" max="16384" width="8.85546875" style="3"/>
  </cols>
  <sheetData>
    <row r="1" spans="1:13" ht="18" customHeight="1">
      <c r="A1" s="130"/>
      <c r="B1" s="131"/>
      <c r="C1" s="374" t="s">
        <v>312</v>
      </c>
      <c r="D1" s="340"/>
      <c r="E1" s="340"/>
      <c r="F1" s="340"/>
      <c r="G1" s="340"/>
      <c r="H1" s="340"/>
      <c r="I1" s="131"/>
      <c r="J1" s="131"/>
      <c r="K1" s="131"/>
      <c r="L1" s="131"/>
      <c r="M1" s="246"/>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6"/>
      <c r="J4" s="141"/>
      <c r="K4" s="141"/>
      <c r="L4" s="141"/>
      <c r="M4" s="142"/>
    </row>
    <row r="5" spans="1:13" s="8" customFormat="1" ht="14.85" customHeight="1">
      <c r="A5" s="18"/>
      <c r="B5" s="148" t="s">
        <v>189</v>
      </c>
      <c r="C5" s="355" t="str">
        <f>IF('CAET Continuation Eli'!C6="","",'CAET Continuation Eli'!C6)</f>
        <v/>
      </c>
      <c r="D5" s="356" t="str">
        <f>IF('CAET Continuation Eli'!D6="","",'CAET Continuation Eli'!D6)</f>
        <v/>
      </c>
      <c r="E5" s="356" t="str">
        <f>IF('CAET Continuation Eli'!E6="","",'CAET Continuation Eli'!E6)</f>
        <v/>
      </c>
      <c r="F5" s="356" t="str">
        <f>IF('CAET Continuation Eli'!F6="","",'CAET Continuation Eli'!F6)</f>
        <v/>
      </c>
      <c r="G5" s="356" t="str">
        <f>IF('CAET Continuation Eli'!G6="","",'CAET Continuation Eli'!G6)</f>
        <v/>
      </c>
      <c r="H5" s="357" t="str">
        <f>IF('CAET Continuation Eli'!H6="","",'CAET Continuation Eli'!H6)</f>
        <v/>
      </c>
      <c r="I5" s="15"/>
      <c r="J5" s="16"/>
      <c r="K5" s="16"/>
      <c r="L5" s="16"/>
      <c r="M5" s="17"/>
    </row>
    <row r="6" spans="1:13" s="8" customFormat="1" ht="14.85" customHeight="1">
      <c r="A6" s="18"/>
      <c r="B6" s="148" t="s">
        <v>190</v>
      </c>
      <c r="C6" s="484" t="str">
        <f>IF('CAET Continuation Eli'!C7="","",'CAET Continuation Eli'!C7)</f>
        <v/>
      </c>
      <c r="D6" s="243" t="str">
        <f>IF('CAET Continuation Eli'!D7="","",'CAET Continuation Eli'!D7)</f>
        <v/>
      </c>
      <c r="E6" s="243" t="str">
        <f>IF('CAET Continuation Eli'!E7="","",'CAET Continuation Eli'!E7)</f>
        <v/>
      </c>
      <c r="F6" s="243" t="str">
        <f>IF('CAET Continuation Eli'!F7="","",'CAET Continuation Eli'!F7)</f>
        <v/>
      </c>
      <c r="G6" s="243" t="str">
        <f>IF('CAET Continuation Eli'!G7="","",'CAET Continuation Eli'!G7)</f>
        <v/>
      </c>
      <c r="H6" s="485" t="str">
        <f>IF('CAET Continuation Eli'!H7="","",'CAET Continuation Eli'!H7)</f>
        <v/>
      </c>
      <c r="I6" s="15"/>
      <c r="J6" s="16"/>
      <c r="K6" s="16"/>
      <c r="L6" s="16"/>
      <c r="M6" s="17"/>
    </row>
    <row r="7" spans="1:13" s="8" customFormat="1" ht="14.85" customHeight="1" thickBot="1">
      <c r="A7" s="21"/>
      <c r="B7" s="149" t="s">
        <v>188</v>
      </c>
      <c r="C7" s="359" t="str">
        <f>IF('CAET Continuation Eli'!C9="","",'CAET Continuation Eli'!C9)</f>
        <v/>
      </c>
      <c r="D7" s="360" t="str">
        <f>IF('CAET Continuation Eli'!D9="","",'CAET Continuation Eli'!D9)</f>
        <v/>
      </c>
      <c r="E7" s="360" t="str">
        <f>IF('CAET Continuation Eli'!E9="","",'CAET Continuation Eli'!E9)</f>
        <v/>
      </c>
      <c r="F7" s="360" t="str">
        <f>IF('CAET Continuation Eli'!F9="","",'CAET Continuation Eli'!F9)</f>
        <v/>
      </c>
      <c r="G7" s="360" t="str">
        <f>IF('CAET Continuation Eli'!G9="","",'CAET Continuation Eli'!G9)</f>
        <v/>
      </c>
      <c r="H7" s="361" t="str">
        <f>IF('CAET Continuation Eli'!H9="","",'CAET Continuation Eli'!H9)</f>
        <v/>
      </c>
      <c r="I7" s="22" t="s">
        <v>10</v>
      </c>
      <c r="J7" s="23"/>
      <c r="K7" s="23"/>
      <c r="L7" s="23"/>
      <c r="M7" s="24"/>
    </row>
    <row r="8" spans="1:13" s="10" customFormat="1" ht="32.1" customHeight="1" thickBot="1">
      <c r="A8" s="25" t="s">
        <v>11</v>
      </c>
      <c r="B8" s="26" t="s">
        <v>12</v>
      </c>
      <c r="C8" s="27">
        <v>1</v>
      </c>
      <c r="D8" s="28">
        <v>2</v>
      </c>
      <c r="E8" s="28">
        <v>3</v>
      </c>
      <c r="F8" s="28">
        <v>4</v>
      </c>
      <c r="G8" s="28">
        <v>5</v>
      </c>
      <c r="H8" s="29">
        <v>6</v>
      </c>
      <c r="I8" s="479" t="s">
        <v>13</v>
      </c>
      <c r="J8" s="480" t="s">
        <v>14</v>
      </c>
      <c r="K8" s="481" t="s">
        <v>15</v>
      </c>
      <c r="L8" s="482" t="s">
        <v>16</v>
      </c>
      <c r="M8" s="483" t="s">
        <v>17</v>
      </c>
    </row>
    <row r="9" spans="1:13" s="37" customFormat="1" ht="25.5">
      <c r="A9" s="45" t="s">
        <v>18</v>
      </c>
      <c r="B9" s="157" t="s">
        <v>314</v>
      </c>
      <c r="C9" s="371" t="str">
        <f>IF('CAET Initial Eligibil'!C12=0,"",'CAET Initial Eligibil'!C12)</f>
        <v/>
      </c>
      <c r="D9" s="371" t="str">
        <f>IF('CAET Initial Eligibil'!D12=0,"",'CAET Initial Eligibil'!D12)</f>
        <v/>
      </c>
      <c r="E9" s="371" t="str">
        <f>IF('CAET Initial Eligibil'!E12=0,"",'CAET Initial Eligibil'!E12)</f>
        <v/>
      </c>
      <c r="F9" s="371" t="str">
        <f>IF('CAET Initial Eligibil'!F12=0,"",'CAET Initial Eligibil'!F12)</f>
        <v/>
      </c>
      <c r="G9" s="371" t="str">
        <f>IF('CAET Initial Eligibil'!G12=0,"",'CAET Initial Eligibil'!G12)</f>
        <v/>
      </c>
      <c r="H9" s="371" t="str">
        <f>IF('CAET Initial Eligibil'!H12=0,"",'CAET Initial Eligibil'!H12)</f>
        <v/>
      </c>
      <c r="I9" s="422">
        <f>COUNTIF(C9:H9,"=Met")</f>
        <v>0</v>
      </c>
      <c r="J9" s="421">
        <f>IF(SUM(I9,K9)=0,0,I9/SUM(I9,K9))</f>
        <v>0</v>
      </c>
      <c r="K9" s="422">
        <f>COUNTIF(C9:H9,"=Not Met")</f>
        <v>0</v>
      </c>
      <c r="L9" s="421">
        <f t="shared" ref="L9" si="0">IF(SUM(I9,K9)=0,0,K9/SUM(I9,K9))</f>
        <v>0</v>
      </c>
      <c r="M9" s="422">
        <f>COUNTIF(C9:H9,"=N/A")</f>
        <v>0</v>
      </c>
    </row>
    <row r="10" spans="1:13" s="37" customFormat="1" ht="25.5">
      <c r="A10" s="362" t="s">
        <v>297</v>
      </c>
      <c r="B10" s="395" t="s">
        <v>207</v>
      </c>
      <c r="C10" s="442" t="str">
        <f>IF(AND(C17="MET",COUNTIF(C11:C12,"YES")=2),"MET",IF(COUNTA(C11:C12,C17)&gt;=1,"","NOT MET"))</f>
        <v/>
      </c>
      <c r="D10" s="442" t="str">
        <f t="shared" ref="D10:H10" si="1">IF(AND(D17="MET",COUNTIF(D11:D12,"YES")=2),"MET",IF(COUNTA(D11:D12,D17)&gt;=1,"","NOT MET"))</f>
        <v/>
      </c>
      <c r="E10" s="442" t="str">
        <f t="shared" si="1"/>
        <v/>
      </c>
      <c r="F10" s="442" t="str">
        <f t="shared" si="1"/>
        <v/>
      </c>
      <c r="G10" s="442" t="str">
        <f t="shared" si="1"/>
        <v/>
      </c>
      <c r="H10" s="474" t="str">
        <f t="shared" si="1"/>
        <v/>
      </c>
      <c r="I10" s="512"/>
      <c r="J10" s="513"/>
      <c r="K10" s="514"/>
      <c r="L10" s="513"/>
      <c r="M10" s="515"/>
    </row>
    <row r="11" spans="1:13" s="10" customFormat="1">
      <c r="A11" s="385" t="s">
        <v>251</v>
      </c>
      <c r="B11" s="395" t="s">
        <v>331</v>
      </c>
      <c r="C11" s="425"/>
      <c r="D11" s="425" t="str">
        <f t="shared" ref="D11:E11" si="2">IF(COUNTIF(D13:D15,"YES")&gt;=1,"MET",IF(COUNTIF(D13:D15,"NO")&gt;=3,"NOT MET",""))</f>
        <v/>
      </c>
      <c r="E11" s="425" t="str">
        <f t="shared" si="2"/>
        <v/>
      </c>
      <c r="F11" s="425"/>
      <c r="G11" s="425"/>
      <c r="H11" s="435"/>
      <c r="I11" s="41">
        <f>COUNTIF(C11:H11,"=Yes")</f>
        <v>0</v>
      </c>
      <c r="J11" s="48">
        <f>IF(SUM(I11,K11)=0,0,I11/SUM(I11,K11))</f>
        <v>0</v>
      </c>
      <c r="K11" s="41">
        <f>COUNTIF(C11:H11,"=No")</f>
        <v>0</v>
      </c>
      <c r="L11" s="48">
        <f t="shared" ref="L11" si="3">IF(SUM(I11,K11)=0,0,K11/SUM(I11,K11))</f>
        <v>0</v>
      </c>
      <c r="M11" s="41">
        <f>COUNTIF(C11:H11,"=N/A")</f>
        <v>0</v>
      </c>
    </row>
    <row r="12" spans="1:13" s="10" customFormat="1">
      <c r="A12" s="385" t="s">
        <v>279</v>
      </c>
      <c r="B12" s="42" t="s">
        <v>298</v>
      </c>
      <c r="C12" s="180" t="str">
        <f>IF(COUNTIF(C13:C15,"YES")&gt;=1,"YES",IF(COUNTIF(C13:C15,"NO")&gt;=3,"NO",""))</f>
        <v/>
      </c>
      <c r="D12" s="180" t="str">
        <f t="shared" ref="D12:H12" si="4">IF(COUNTIF(D13:D15,"YES")&gt;=1,"YES",IF(COUNTIF(D13:D15,"NO")&gt;=3,"NO",""))</f>
        <v/>
      </c>
      <c r="E12" s="180" t="str">
        <f t="shared" si="4"/>
        <v/>
      </c>
      <c r="F12" s="180" t="str">
        <f t="shared" si="4"/>
        <v/>
      </c>
      <c r="G12" s="180" t="str">
        <f t="shared" si="4"/>
        <v/>
      </c>
      <c r="H12" s="180" t="str">
        <f t="shared" si="4"/>
        <v/>
      </c>
      <c r="I12" s="42">
        <f>COUNTIF(C12:H12,"=Yes")</f>
        <v>0</v>
      </c>
      <c r="J12" s="40">
        <f>IF(SUM(I12,K12)=0,0,I12/SUM(I12,K12))</f>
        <v>0</v>
      </c>
      <c r="K12" s="42">
        <f>COUNTIF(C12:H12,"=No")</f>
        <v>0</v>
      </c>
      <c r="L12" s="40">
        <f t="shared" ref="L12" si="5">IF(SUM(I12,K12)=0,0,K12/SUM(I12,K12))</f>
        <v>0</v>
      </c>
      <c r="M12" s="42">
        <f>COUNTIF(C12:H12,"=N/A")</f>
        <v>0</v>
      </c>
    </row>
    <row r="13" spans="1:13" s="10" customFormat="1">
      <c r="A13" s="385" t="s">
        <v>192</v>
      </c>
      <c r="B13" s="387" t="s">
        <v>299</v>
      </c>
      <c r="C13" s="50"/>
      <c r="D13" s="50"/>
      <c r="E13" s="50"/>
      <c r="F13" s="50"/>
      <c r="G13" s="50"/>
      <c r="H13" s="144"/>
      <c r="I13" s="448"/>
      <c r="J13" s="415"/>
      <c r="K13" s="414"/>
      <c r="L13" s="415"/>
      <c r="M13" s="449"/>
    </row>
    <row r="14" spans="1:13" s="10" customFormat="1">
      <c r="A14" s="385" t="s">
        <v>195</v>
      </c>
      <c r="B14" s="387" t="s">
        <v>300</v>
      </c>
      <c r="C14" s="50"/>
      <c r="D14" s="50"/>
      <c r="E14" s="50"/>
      <c r="F14" s="50"/>
      <c r="G14" s="50"/>
      <c r="H14" s="144"/>
      <c r="I14" s="448"/>
      <c r="J14" s="415"/>
      <c r="K14" s="414"/>
      <c r="L14" s="415"/>
      <c r="M14" s="449"/>
    </row>
    <row r="15" spans="1:13" s="10" customFormat="1">
      <c r="A15" s="385" t="s">
        <v>196</v>
      </c>
      <c r="B15" s="387" t="s">
        <v>301</v>
      </c>
      <c r="C15" s="50"/>
      <c r="D15" s="50"/>
      <c r="E15" s="50"/>
      <c r="F15" s="50"/>
      <c r="G15" s="50"/>
      <c r="H15" s="144"/>
      <c r="I15" s="448"/>
      <c r="J15" s="415"/>
      <c r="K15" s="414"/>
      <c r="L15" s="415"/>
      <c r="M15" s="449"/>
    </row>
    <row r="16" spans="1:13" s="10" customFormat="1">
      <c r="A16" s="385"/>
      <c r="B16" s="419" t="s">
        <v>260</v>
      </c>
      <c r="C16" s="388"/>
      <c r="D16" s="388"/>
      <c r="E16" s="388"/>
      <c r="F16" s="388"/>
      <c r="G16" s="388"/>
      <c r="H16" s="471"/>
      <c r="I16" s="448"/>
      <c r="J16" s="415"/>
      <c r="K16" s="414"/>
      <c r="L16" s="415"/>
      <c r="M16" s="449"/>
    </row>
    <row r="17" spans="1:13" s="10" customFormat="1" ht="25.5">
      <c r="A17" s="385" t="s">
        <v>280</v>
      </c>
      <c r="B17" s="387" t="s">
        <v>302</v>
      </c>
      <c r="C17" s="388" t="str">
        <f>IF(COUNTIF(C18:C19,"YES")&gt;=1,"MET",IF(COUNTIF(C18:C19,"NO")&gt;=2,"NOT MET",""))</f>
        <v/>
      </c>
      <c r="D17" s="388" t="str">
        <f t="shared" ref="D17:H17" si="6">IF(COUNTIF(D18:D19,"YES")&gt;=1,"MET",IF(COUNTIF(D18:D19,"NO")&gt;=2,"NOT MET",""))</f>
        <v/>
      </c>
      <c r="E17" s="388" t="str">
        <f t="shared" si="6"/>
        <v/>
      </c>
      <c r="F17" s="388" t="str">
        <f t="shared" si="6"/>
        <v/>
      </c>
      <c r="G17" s="388" t="str">
        <f t="shared" si="6"/>
        <v/>
      </c>
      <c r="H17" s="388" t="str">
        <f t="shared" si="6"/>
        <v/>
      </c>
      <c r="I17" s="42">
        <f>COUNTIF(C17:H17,"=Met")</f>
        <v>0</v>
      </c>
      <c r="J17" s="40">
        <f>IF(SUM(I17,K17)=0,0,I17/SUM(I17,K17))</f>
        <v>0</v>
      </c>
      <c r="K17" s="42">
        <f>COUNTIF(C17:H17,"=Not Met")</f>
        <v>0</v>
      </c>
      <c r="L17" s="40">
        <f t="shared" ref="L17" si="7">IF(SUM(I17,K17)=0,0,K17/SUM(I17,K17))</f>
        <v>0</v>
      </c>
      <c r="M17" s="42">
        <f>COUNTIF(C17:H17,"=N/A")</f>
        <v>0</v>
      </c>
    </row>
    <row r="18" spans="1:13" s="10" customFormat="1" ht="25.5">
      <c r="A18" s="385" t="s">
        <v>192</v>
      </c>
      <c r="B18" s="387" t="s">
        <v>303</v>
      </c>
      <c r="C18" s="50"/>
      <c r="D18" s="50"/>
      <c r="E18" s="50"/>
      <c r="F18" s="50"/>
      <c r="G18" s="50"/>
      <c r="H18" s="144"/>
      <c r="I18" s="448"/>
      <c r="J18" s="415"/>
      <c r="K18" s="414"/>
      <c r="L18" s="415"/>
      <c r="M18" s="449"/>
    </row>
    <row r="19" spans="1:13" s="10" customFormat="1" ht="26.25" thickBot="1">
      <c r="A19" s="385" t="s">
        <v>195</v>
      </c>
      <c r="B19" s="387" t="s">
        <v>304</v>
      </c>
      <c r="C19" s="50"/>
      <c r="D19" s="50"/>
      <c r="E19" s="50"/>
      <c r="F19" s="50"/>
      <c r="G19" s="50"/>
      <c r="H19" s="144"/>
      <c r="I19" s="450"/>
      <c r="J19" s="451"/>
      <c r="K19" s="452"/>
      <c r="L19" s="451"/>
      <c r="M19" s="453"/>
    </row>
    <row r="20" spans="1:13" s="10" customFormat="1" ht="13.9" customHeight="1" thickBot="1">
      <c r="A20" s="314"/>
      <c r="B20" s="53" t="s">
        <v>24</v>
      </c>
      <c r="C20" s="378"/>
      <c r="D20" s="379"/>
      <c r="E20" s="379"/>
      <c r="F20" s="379"/>
      <c r="G20" s="379"/>
      <c r="H20" s="380"/>
      <c r="I20" s="54"/>
      <c r="J20" s="54"/>
      <c r="K20" s="54"/>
      <c r="L20" s="54"/>
      <c r="M20" s="54"/>
    </row>
    <row r="21" spans="1:13" s="10" customFormat="1" ht="13.9" customHeight="1" thickBot="1">
      <c r="A21" s="314"/>
      <c r="B21" s="53"/>
      <c r="C21" s="55"/>
      <c r="D21" s="55"/>
      <c r="E21" s="55"/>
      <c r="F21" s="55"/>
      <c r="G21" s="55"/>
      <c r="H21" s="55"/>
      <c r="I21" s="54"/>
      <c r="J21" s="54"/>
      <c r="K21" s="54"/>
      <c r="L21" s="54"/>
      <c r="M21" s="54"/>
    </row>
    <row r="22" spans="1:13" s="10" customFormat="1" ht="13.9" customHeight="1">
      <c r="A22" s="314"/>
      <c r="B22" s="56" t="s">
        <v>25</v>
      </c>
      <c r="C22" s="57">
        <f t="shared" ref="C22:H22" si="8">COUNTIF(C9:C14,"=Met")</f>
        <v>0</v>
      </c>
      <c r="D22" s="58">
        <f t="shared" si="8"/>
        <v>0</v>
      </c>
      <c r="E22" s="58">
        <f t="shared" si="8"/>
        <v>0</v>
      </c>
      <c r="F22" s="58">
        <f t="shared" si="8"/>
        <v>0</v>
      </c>
      <c r="G22" s="58">
        <f t="shared" si="8"/>
        <v>0</v>
      </c>
      <c r="H22" s="150">
        <f t="shared" si="8"/>
        <v>0</v>
      </c>
      <c r="I22" s="59"/>
      <c r="J22" s="60"/>
      <c r="K22" s="60"/>
      <c r="L22" s="60"/>
      <c r="M22" s="60"/>
    </row>
    <row r="23" spans="1:13" s="10" customFormat="1" ht="13.9" customHeight="1">
      <c r="A23" s="314"/>
      <c r="B23" s="56" t="s">
        <v>26</v>
      </c>
      <c r="C23" s="61">
        <f t="shared" ref="C23:H23" si="9">IF(SUM(C22,C24)=0,0,C22/SUM(C22,C24))</f>
        <v>0</v>
      </c>
      <c r="D23" s="62">
        <f t="shared" si="9"/>
        <v>0</v>
      </c>
      <c r="E23" s="62">
        <f t="shared" si="9"/>
        <v>0</v>
      </c>
      <c r="F23" s="62">
        <f t="shared" si="9"/>
        <v>0</v>
      </c>
      <c r="G23" s="62">
        <f t="shared" si="9"/>
        <v>0</v>
      </c>
      <c r="H23" s="151">
        <f t="shared" si="9"/>
        <v>0</v>
      </c>
      <c r="I23" s="59"/>
      <c r="J23" s="60"/>
      <c r="K23" s="60"/>
      <c r="L23" s="60"/>
      <c r="M23" s="60"/>
    </row>
    <row r="24" spans="1:13" s="10" customFormat="1" ht="13.9" customHeight="1">
      <c r="A24" s="314"/>
      <c r="B24" s="56" t="s">
        <v>27</v>
      </c>
      <c r="C24" s="63">
        <f t="shared" ref="C24:H24" si="10">COUNTIF(C9:C14,"=Not Met")</f>
        <v>0</v>
      </c>
      <c r="D24" s="64">
        <f t="shared" si="10"/>
        <v>0</v>
      </c>
      <c r="E24" s="64">
        <f t="shared" si="10"/>
        <v>0</v>
      </c>
      <c r="F24" s="64">
        <f t="shared" si="10"/>
        <v>0</v>
      </c>
      <c r="G24" s="64">
        <f t="shared" si="10"/>
        <v>0</v>
      </c>
      <c r="H24" s="152">
        <f t="shared" si="10"/>
        <v>0</v>
      </c>
      <c r="I24" s="59"/>
      <c r="J24" s="60"/>
      <c r="K24" s="60"/>
      <c r="L24" s="60"/>
      <c r="M24" s="60"/>
    </row>
    <row r="25" spans="1:13" s="10" customFormat="1" ht="13.9" customHeight="1">
      <c r="A25" s="314"/>
      <c r="B25" s="56" t="s">
        <v>28</v>
      </c>
      <c r="C25" s="61">
        <f t="shared" ref="C25:H25" si="11">IF(SUM(C22,C24)=0,0,C24/SUM(C22,C24))</f>
        <v>0</v>
      </c>
      <c r="D25" s="62">
        <f t="shared" si="11"/>
        <v>0</v>
      </c>
      <c r="E25" s="62">
        <f t="shared" si="11"/>
        <v>0</v>
      </c>
      <c r="F25" s="62">
        <f t="shared" si="11"/>
        <v>0</v>
      </c>
      <c r="G25" s="62">
        <f t="shared" si="11"/>
        <v>0</v>
      </c>
      <c r="H25" s="151">
        <f t="shared" si="11"/>
        <v>0</v>
      </c>
      <c r="I25" s="59"/>
      <c r="J25" s="60"/>
      <c r="K25" s="60"/>
      <c r="L25" s="60"/>
      <c r="M25" s="60"/>
    </row>
    <row r="26" spans="1:13" s="10" customFormat="1" ht="13.9" customHeight="1" thickBot="1">
      <c r="A26" s="314"/>
      <c r="B26" s="56" t="s">
        <v>29</v>
      </c>
      <c r="C26" s="65">
        <f t="shared" ref="C26:H26" si="12">COUNTIF(C9:C14,"=N/A")</f>
        <v>0</v>
      </c>
      <c r="D26" s="66">
        <f t="shared" si="12"/>
        <v>0</v>
      </c>
      <c r="E26" s="66">
        <f t="shared" si="12"/>
        <v>0</v>
      </c>
      <c r="F26" s="66">
        <f t="shared" si="12"/>
        <v>0</v>
      </c>
      <c r="G26" s="66">
        <f t="shared" si="12"/>
        <v>0</v>
      </c>
      <c r="H26" s="153">
        <f t="shared" si="12"/>
        <v>0</v>
      </c>
      <c r="I26" s="67"/>
      <c r="J26" s="68"/>
      <c r="K26" s="68"/>
      <c r="L26" s="68"/>
      <c r="M26" s="68"/>
    </row>
    <row r="27" spans="1:13" s="10" customFormat="1" ht="13.9" customHeight="1">
      <c r="A27" s="545"/>
      <c r="B27" s="545"/>
      <c r="C27" s="545"/>
      <c r="D27" s="545"/>
      <c r="E27" s="545"/>
      <c r="F27" s="545"/>
      <c r="G27" s="545"/>
      <c r="H27" s="545"/>
      <c r="I27" s="545"/>
      <c r="J27" s="545"/>
      <c r="K27" s="545"/>
      <c r="L27" s="545"/>
      <c r="M27" s="545"/>
    </row>
    <row r="28" spans="1:13" s="10" customFormat="1" ht="25.15" customHeight="1">
      <c r="A28" s="211"/>
      <c r="B28" s="212" t="s">
        <v>152</v>
      </c>
      <c r="C28" s="215" t="s">
        <v>18</v>
      </c>
      <c r="D28" s="546"/>
      <c r="E28" s="547"/>
      <c r="F28" s="547"/>
      <c r="G28" s="547"/>
      <c r="H28" s="547"/>
      <c r="I28" s="547"/>
      <c r="J28" s="547"/>
      <c r="K28" s="547"/>
      <c r="L28" s="547"/>
      <c r="M28" s="548"/>
    </row>
    <row r="29" spans="1:13" s="10" customFormat="1" ht="25.15" customHeight="1">
      <c r="A29" s="211"/>
      <c r="B29" s="213"/>
      <c r="C29" s="216" t="s">
        <v>19</v>
      </c>
      <c r="D29" s="539"/>
      <c r="E29" s="540"/>
      <c r="F29" s="540"/>
      <c r="G29" s="540"/>
      <c r="H29" s="540"/>
      <c r="I29" s="540"/>
      <c r="J29" s="540"/>
      <c r="K29" s="540"/>
      <c r="L29" s="540"/>
      <c r="M29" s="541"/>
    </row>
    <row r="30" spans="1:13" s="10" customFormat="1" ht="25.15" customHeight="1">
      <c r="A30" s="211"/>
      <c r="B30" s="213"/>
      <c r="C30" s="216" t="s">
        <v>20</v>
      </c>
      <c r="D30" s="539"/>
      <c r="E30" s="540"/>
      <c r="F30" s="540"/>
      <c r="G30" s="540"/>
      <c r="H30" s="540"/>
      <c r="I30" s="540"/>
      <c r="J30" s="540"/>
      <c r="K30" s="540"/>
      <c r="L30" s="540"/>
      <c r="M30" s="541"/>
    </row>
    <row r="31" spans="1:13" s="10" customFormat="1" ht="25.15" customHeight="1">
      <c r="A31" s="211"/>
      <c r="B31" s="213"/>
      <c r="C31" s="216" t="s">
        <v>21</v>
      </c>
      <c r="D31" s="539"/>
      <c r="E31" s="540"/>
      <c r="F31" s="540"/>
      <c r="G31" s="540"/>
      <c r="H31" s="540"/>
      <c r="I31" s="540"/>
      <c r="J31" s="540"/>
      <c r="K31" s="540"/>
      <c r="L31" s="540"/>
      <c r="M31" s="541"/>
    </row>
    <row r="32" spans="1:13" s="10" customFormat="1" ht="25.15" customHeight="1">
      <c r="A32" s="211"/>
      <c r="B32" s="213"/>
      <c r="C32" s="216" t="s">
        <v>22</v>
      </c>
      <c r="D32" s="539"/>
      <c r="E32" s="540"/>
      <c r="F32" s="540"/>
      <c r="G32" s="540"/>
      <c r="H32" s="540"/>
      <c r="I32" s="540"/>
      <c r="J32" s="540"/>
      <c r="K32" s="540"/>
      <c r="L32" s="540"/>
      <c r="M32" s="541"/>
    </row>
    <row r="33" spans="1:58" s="10" customFormat="1" ht="25.15" customHeight="1">
      <c r="A33" s="211"/>
      <c r="B33" s="213"/>
      <c r="C33" s="217" t="s">
        <v>23</v>
      </c>
      <c r="D33" s="542"/>
      <c r="E33" s="543"/>
      <c r="F33" s="543"/>
      <c r="G33" s="543"/>
      <c r="H33" s="543"/>
      <c r="I33" s="543"/>
      <c r="J33" s="543"/>
      <c r="K33" s="543"/>
      <c r="L33" s="543"/>
      <c r="M33" s="544"/>
    </row>
    <row r="34" spans="1:58">
      <c r="B34" s="163"/>
    </row>
    <row r="35" spans="1:58">
      <c r="B35" s="163"/>
    </row>
    <row r="36" spans="1:58" s="70" customFormat="1">
      <c r="A36" s="314"/>
      <c r="B36" s="163"/>
      <c r="I36" s="71"/>
      <c r="J36" s="71"/>
      <c r="K36" s="71"/>
      <c r="L36" s="71"/>
      <c r="M36" s="71"/>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sheetData>
  <sheetProtection sheet="1" objects="1" scenarios="1"/>
  <customSheetViews>
    <customSheetView guid="{2A3E70A9-51A3-4722-9775-16DBEA0F14B3}">
      <pane xSplit="2" ySplit="8" topLeftCell="C9" activePane="bottomRight" state="frozen"/>
      <selection pane="bottomRight" activeCell="C11" sqref="C11"/>
      <rowBreaks count="1" manualBreakCount="1">
        <brk id="20" max="16383" man="1"/>
      </rowBreaks>
      <pageMargins left="0.2" right="0.2" top="0.3" bottom="0.25" header="0.25" footer="0"/>
      <printOptions horizontalCentered="1"/>
      <pageSetup paperSize="5" orientation="landscape" r:id="rId1"/>
      <headerFooter alignWithMargins="0">
        <oddFooter>&amp;L&amp;8&amp;K000000IDD Supervised Living - Moderate Continuation Authorization&amp;R&amp;8&amp;K000000&amp;P</oddFooter>
      </headerFooter>
    </customSheetView>
    <customSheetView guid="{A13B25D0-B104-46DD-B5CC-B628EEB53163}">
      <pane xSplit="2" ySplit="8" topLeftCell="C9" activePane="bottomRight" state="frozen"/>
      <selection pane="bottomRight" activeCell="C11" sqref="C11"/>
      <rowBreaks count="1" manualBreakCount="1">
        <brk id="20" max="16383" man="1"/>
      </rowBreaks>
      <pageMargins left="0.2" right="0.2" top="0.3" bottom="0.25" header="0.25" footer="0"/>
      <printOptions horizontalCentered="1"/>
      <pageSetup paperSize="5" orientation="landscape" r:id="rId2"/>
      <headerFooter alignWithMargins="0">
        <oddFooter>&amp;L&amp;8&amp;K000000IDD Supervised Living - Moderate Continuation Authorization&amp;R&amp;8&amp;K000000&amp;P</oddFooter>
      </headerFooter>
    </customSheetView>
  </customSheetViews>
  <mergeCells count="7">
    <mergeCell ref="D33:M33"/>
    <mergeCell ref="A27:M27"/>
    <mergeCell ref="D28:M28"/>
    <mergeCell ref="D29:M29"/>
    <mergeCell ref="D30:M30"/>
    <mergeCell ref="D31:M31"/>
    <mergeCell ref="D32:M32"/>
  </mergeCells>
  <conditionalFormatting sqref="C9:H19">
    <cfRule type="cellIs" dxfId="162" priority="11" stopIfTrue="1" operator="equal">
      <formula>"Not Met"</formula>
    </cfRule>
  </conditionalFormatting>
  <conditionalFormatting sqref="C9:H9">
    <cfRule type="expression" dxfId="161" priority="10" stopIfTrue="1">
      <formula>OR(C9="",C9="N/A")</formula>
    </cfRule>
  </conditionalFormatting>
  <conditionalFormatting sqref="C13:H19">
    <cfRule type="expression" dxfId="160" priority="7" stopIfTrue="1">
      <formula>AND(C$9&lt;&gt;"",C13="")</formula>
    </cfRule>
    <cfRule type="cellIs" dxfId="159" priority="9" stopIfTrue="1" operator="equal">
      <formula>"N/A"</formula>
    </cfRule>
  </conditionalFormatting>
  <conditionalFormatting sqref="C13:H19">
    <cfRule type="cellIs" dxfId="158" priority="8" stopIfTrue="1" operator="equal">
      <formula>"Not Met"</formula>
    </cfRule>
  </conditionalFormatting>
  <conditionalFormatting sqref="C12:H12">
    <cfRule type="cellIs" dxfId="157" priority="6" stopIfTrue="1" operator="equal">
      <formula>"Not Met"</formula>
    </cfRule>
  </conditionalFormatting>
  <conditionalFormatting sqref="C12:H12">
    <cfRule type="expression" dxfId="156" priority="5" stopIfTrue="1">
      <formula>OR(C12="",C12="N/A")</formula>
    </cfRule>
  </conditionalFormatting>
  <dataValidations count="2">
    <dataValidation type="list" allowBlank="1" showInputMessage="1" showErrorMessage="1" sqref="C18:H19 C13:H15" xr:uid="{00000000-0002-0000-1A00-000000000000}">
      <formula1>"YES,NO"</formula1>
    </dataValidation>
    <dataValidation type="list" allowBlank="1" showInputMessage="1" showErrorMessage="1" sqref="C11:H11" xr:uid="{8BBAFE2B-DB5C-4EF2-85B5-FC5D37BDDFDB}">
      <formula1>"YES, NO"</formula1>
    </dataValidation>
  </dataValidations>
  <printOptions horizontalCentered="1"/>
  <pageMargins left="0.2" right="0.2" top="0.3" bottom="0.25" header="0.25" footer="0"/>
  <pageSetup paperSize="5" orientation="landscape" r:id="rId3"/>
  <headerFooter alignWithMargins="0">
    <oddFooter>&amp;L&amp;8&amp;K000000IDD Supervised Living - Moderate Continuation Authorization&amp;R&amp;8&amp;K000000&amp;P</oddFooter>
  </headerFooter>
  <rowBreaks count="1" manualBreakCount="1">
    <brk id="27" max="16383" man="1"/>
  </rowBreaks>
  <drawing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H19"/>
  <sheetViews>
    <sheetView showGridLines="0" zoomScaleNormal="100" workbookViewId="0">
      <pane xSplit="2" ySplit="11" topLeftCell="C12" activePane="bottomRight" state="frozen"/>
      <selection activeCell="H12" sqref="H12"/>
      <selection pane="topRight" activeCell="H12" sqref="H12"/>
      <selection pane="bottomLeft" activeCell="H12" sqref="H12"/>
      <selection pane="bottomRight" activeCell="D18" sqref="D18"/>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313</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21" activePane="bottomRight" state="frozen"/>
      <selection pane="bottomRight" activeCell="C6" sqref="C6"/>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21" activePane="bottomRight" state="frozen"/>
      <selection pane="bottomRight" activeCell="C6" sqref="C6"/>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155" priority="1" operator="equal">
      <formula>"NOT MET"</formula>
    </cfRule>
    <cfRule type="cellIs" dxfId="154" priority="2" operator="equal">
      <formula>"MET"</formula>
    </cfRule>
  </conditionalFormatting>
  <dataValidations count="2">
    <dataValidation type="list" allowBlank="1" showInputMessage="1" showErrorMessage="1" sqref="C7:H7" xr:uid="{00000000-0002-0000-1900-000000000000}">
      <formula1>"ADSN, CDSN"</formula1>
    </dataValidation>
    <dataValidation type="list" allowBlank="1" showInputMessage="1" showErrorMessage="1" sqref="C13:H17" xr:uid="{00000000-0002-0000-1900-000001000000}">
      <formula1>"YES, NO"</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
  <sheetViews>
    <sheetView showGridLines="0" topLeftCell="A22" workbookViewId="0">
      <selection activeCell="A41" sqref="A41:XFD41"/>
    </sheetView>
  </sheetViews>
  <sheetFormatPr defaultColWidth="9.140625" defaultRowHeight="12.75"/>
  <cols>
    <col min="1" max="16384" width="9.140625" style="99"/>
  </cols>
  <sheetData/>
  <sheetProtection sheet="1" objects="1" scenarios="1"/>
  <customSheetViews>
    <customSheetView guid="{2A3E70A9-51A3-4722-9775-16DBEA0F14B3}" showPageBreaks="1" showGridLines="0" printArea="1">
      <selection activeCell="L1" sqref="L1"/>
      <rowBreaks count="1" manualBreakCount="1">
        <brk id="59" max="16383" man="1"/>
      </rowBreaks>
      <colBreaks count="1" manualBreakCount="1">
        <brk id="11" max="1048575" man="1"/>
      </colBreaks>
      <pageMargins left="0.3" right="0.3" top="0.5" bottom="0.5" header="0.3" footer="0.3"/>
      <printOptions horizontalCentered="1"/>
      <pageSetup scale="95" orientation="portrait" r:id="rId1"/>
      <headerFooter>
        <oddFooter>&amp;C&amp;P</oddFooter>
      </headerFooter>
    </customSheetView>
    <customSheetView guid="{A13B25D0-B104-46DD-B5CC-B628EEB53163}" showPageBreaks="1" showGridLines="0" printArea="1">
      <selection activeCell="L1" sqref="L1"/>
      <rowBreaks count="1" manualBreakCount="1">
        <brk id="59" max="16383" man="1"/>
      </rowBreaks>
      <colBreaks count="1" manualBreakCount="1">
        <brk id="11" max="1048575" man="1"/>
      </colBreaks>
      <pageMargins left="0.3" right="0.3" top="0.5" bottom="0.5" header="0.3" footer="0.3"/>
      <printOptions horizontalCentered="1"/>
      <pageSetup scale="95" orientation="portrait" r:id="rId2"/>
      <headerFooter>
        <oddFooter>&amp;C&amp;P</oddFooter>
      </headerFooter>
    </customSheetView>
  </customSheetViews>
  <printOptions horizontalCentered="1"/>
  <pageMargins left="0.3" right="0.3" top="0.5" bottom="0.5" header="0.3" footer="0.3"/>
  <pageSetup scale="95" orientation="portrait" r:id="rId3"/>
  <headerFooter>
    <oddFooter>&amp;C&amp;P</oddFooter>
  </headerFooter>
  <rowBreaks count="1" manualBreakCount="1">
    <brk id="63" max="16383" man="1"/>
  </rowBreaks>
  <colBreaks count="1" manualBreakCount="1">
    <brk id="11" max="1048575" man="1"/>
  </col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249977111117893"/>
  </sheetPr>
  <dimension ref="A1:BF34"/>
  <sheetViews>
    <sheetView zoomScaleNormal="100" zoomScaleSheetLayoutView="50" workbookViewId="0">
      <pane xSplit="2" ySplit="8" topLeftCell="C9" activePane="bottomRight" state="frozen"/>
      <selection activeCell="C3" sqref="C3"/>
      <selection pane="topRight" activeCell="C3" sqref="C3"/>
      <selection pane="bottomLeft" activeCell="C3" sqref="C3"/>
      <selection pane="bottomRight" activeCell="E16" sqref="E16"/>
    </sheetView>
  </sheetViews>
  <sheetFormatPr defaultColWidth="8.85546875" defaultRowHeight="12.75"/>
  <cols>
    <col min="1" max="1" width="3.28515625" style="375" customWidth="1"/>
    <col min="2" max="2" width="75.7109375" style="69" customWidth="1"/>
    <col min="3" max="8" width="7.7109375" style="70" customWidth="1"/>
    <col min="9" max="13" width="7.7109375" style="71" customWidth="1"/>
    <col min="14" max="16384" width="8.85546875" style="3"/>
  </cols>
  <sheetData>
    <row r="1" spans="1:58" ht="18" customHeight="1">
      <c r="A1" s="130"/>
      <c r="B1" s="131"/>
      <c r="C1" s="342" t="s">
        <v>312</v>
      </c>
      <c r="D1" s="340"/>
      <c r="E1" s="340"/>
      <c r="F1" s="340"/>
      <c r="G1" s="340"/>
      <c r="H1" s="340"/>
      <c r="I1" s="131"/>
      <c r="J1" s="131"/>
      <c r="K1" s="131"/>
      <c r="L1" s="131"/>
      <c r="M1" s="246"/>
    </row>
    <row r="2" spans="1:58" ht="18" customHeight="1">
      <c r="A2" s="132"/>
      <c r="B2" s="146" t="s">
        <v>165</v>
      </c>
      <c r="C2" s="145" t="str">
        <f>IF('Workbook Set-up'!$B$4="","[Name of LME-MCO]",'Workbook Set-up'!$B$4)</f>
        <v>Trillium Health Resources</v>
      </c>
      <c r="D2" s="133"/>
      <c r="E2" s="133"/>
      <c r="F2" s="133"/>
      <c r="G2" s="133"/>
      <c r="H2" s="133"/>
      <c r="I2" s="133"/>
      <c r="J2" s="133"/>
      <c r="K2" s="133"/>
      <c r="L2" s="133"/>
      <c r="M2" s="140"/>
    </row>
    <row r="3" spans="1:58"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53"/>
      <c r="J3" s="353"/>
      <c r="K3" s="353"/>
      <c r="L3" s="353"/>
      <c r="M3" s="354"/>
    </row>
    <row r="4" spans="1:58"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6"/>
      <c r="J4" s="141"/>
      <c r="K4" s="141"/>
      <c r="L4" s="141"/>
      <c r="M4" s="142"/>
    </row>
    <row r="5" spans="1:58" s="8" customFormat="1" ht="14.85" customHeight="1">
      <c r="A5" s="18"/>
      <c r="B5" s="148" t="s">
        <v>189</v>
      </c>
      <c r="C5" s="355" t="str">
        <f>IF('Day Activity Cont Eligibilit'!C6="","",'Day Activity Cont Eligibilit'!C6)</f>
        <v/>
      </c>
      <c r="D5" s="356" t="str">
        <f>IF('Day Activity Cont Eligibilit'!D6="","",'Day Activity Cont Eligibilit'!D6)</f>
        <v/>
      </c>
      <c r="E5" s="356" t="str">
        <f>IF('Day Activity Cont Eligibilit'!E6="","",'Day Activity Cont Eligibilit'!E6)</f>
        <v/>
      </c>
      <c r="F5" s="356" t="str">
        <f>IF('Day Activity Cont Eligibilit'!F6="","",'Day Activity Cont Eligibilit'!F6)</f>
        <v/>
      </c>
      <c r="G5" s="356" t="str">
        <f>IF('Day Activity Cont Eligibilit'!G6="","",'Day Activity Cont Eligibilit'!G6)</f>
        <v/>
      </c>
      <c r="H5" s="357" t="str">
        <f>IF('Day Activity Cont Eligibilit'!H6="","",'Day Activity Cont Eligibilit'!H6)</f>
        <v/>
      </c>
      <c r="I5" s="15"/>
      <c r="J5" s="16"/>
      <c r="K5" s="16"/>
      <c r="L5" s="16"/>
      <c r="M5" s="17"/>
    </row>
    <row r="6" spans="1:58" s="8" customFormat="1" ht="14.85" customHeight="1">
      <c r="A6" s="18"/>
      <c r="B6" s="148" t="s">
        <v>190</v>
      </c>
      <c r="C6" s="358" t="str">
        <f>IF('Day Activity Cont Eligibilit'!C7="","",'Day Activity Cont Eligibilit'!C7)</f>
        <v/>
      </c>
      <c r="D6" s="242" t="str">
        <f>IF('Day Activity Cont Eligibilit'!D7="","",'Day Activity Cont Eligibilit'!D7)</f>
        <v/>
      </c>
      <c r="E6" s="242" t="str">
        <f>IF('Day Activity Cont Eligibilit'!E7="","",'Day Activity Cont Eligibilit'!E7)</f>
        <v/>
      </c>
      <c r="F6" s="242" t="str">
        <f>IF('Day Activity Cont Eligibilit'!F7="","",'Day Activity Cont Eligibilit'!F7)</f>
        <v/>
      </c>
      <c r="G6" s="242" t="str">
        <f>IF('Day Activity Cont Eligibilit'!G7="","",'Day Activity Cont Eligibilit'!G7)</f>
        <v/>
      </c>
      <c r="H6" s="308" t="str">
        <f>IF('Day Activity Cont Eligibilit'!H7="","",'Day Activity Cont Eligibilit'!H7)</f>
        <v/>
      </c>
      <c r="I6" s="15"/>
      <c r="J6" s="16"/>
      <c r="K6" s="16"/>
      <c r="L6" s="16"/>
      <c r="M6" s="17"/>
    </row>
    <row r="7" spans="1:58" s="8" customFormat="1" ht="14.85" customHeight="1" thickBot="1">
      <c r="A7" s="18"/>
      <c r="B7" s="148" t="s">
        <v>188</v>
      </c>
      <c r="C7" s="359" t="str">
        <f>IF('Day Activity Cont Eligibilit'!C9="","",'Day Activity Cont Eligibilit'!C9)</f>
        <v/>
      </c>
      <c r="D7" s="360" t="str">
        <f>IF('Day Activity Cont Eligibilit'!D9="","",'Day Activity Cont Eligibilit'!D9)</f>
        <v/>
      </c>
      <c r="E7" s="360" t="str">
        <f>IF('Day Activity Cont Eligibilit'!E9="","",'Day Activity Cont Eligibilit'!E9)</f>
        <v/>
      </c>
      <c r="F7" s="360" t="str">
        <f>IF('Day Activity Cont Eligibilit'!F9="","",'Day Activity Cont Eligibilit'!F9)</f>
        <v/>
      </c>
      <c r="G7" s="360" t="str">
        <f>IF('Day Activity Cont Eligibilit'!G9="","",'Day Activity Cont Eligibilit'!G9)</f>
        <v/>
      </c>
      <c r="H7" s="361" t="str">
        <f>IF('Day Activity Cont Eligibilit'!H9="","",'Day Activity Cont Eligibilit'!H9)</f>
        <v/>
      </c>
      <c r="I7" s="15" t="s">
        <v>10</v>
      </c>
      <c r="J7" s="16"/>
      <c r="K7" s="16"/>
      <c r="L7" s="16"/>
      <c r="M7" s="17"/>
    </row>
    <row r="8" spans="1:58"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58" s="37" customFormat="1" ht="25.5">
      <c r="A9" s="45" t="s">
        <v>18</v>
      </c>
      <c r="B9" s="157" t="s">
        <v>314</v>
      </c>
      <c r="C9" s="174" t="str">
        <f>IF('CAET Continuation Eli'!C12=0,"",'CAET Continuation Eli'!C12)</f>
        <v/>
      </c>
      <c r="D9" s="174" t="str">
        <f>IF('CAET Continuation Eli'!D12=0,"",'CAET Continuation Eli'!D12)</f>
        <v/>
      </c>
      <c r="E9" s="174" t="str">
        <f>IF('CAET Continuation Eli'!E12=0,"",'CAET Continuation Eli'!E12)</f>
        <v/>
      </c>
      <c r="F9" s="174" t="str">
        <f>IF('CAET Continuation Eli'!F12=0,"",'CAET Continuation Eli'!F12)</f>
        <v/>
      </c>
      <c r="G9" s="174" t="str">
        <f>IF('CAET Continuation Eli'!G12=0,"",'CAET Continuation Eli'!G12)</f>
        <v/>
      </c>
      <c r="H9" s="174" t="str">
        <f>IF('CAET Continuation Eli'!H12=0,"",'CAET Continuation Eli'!H12)</f>
        <v/>
      </c>
      <c r="I9" s="437">
        <f>COUNTIF(C9:H9,"=Met")</f>
        <v>0</v>
      </c>
      <c r="J9" s="438">
        <f t="shared" ref="J9" si="0">IF(SUM(I9,K9)=0,0,I9/SUM(I9,K9))</f>
        <v>0</v>
      </c>
      <c r="K9" s="439">
        <f>COUNTIF(C9:H9,"=Not Met")</f>
        <v>0</v>
      </c>
      <c r="L9" s="438">
        <f t="shared" ref="L9" si="1">IF(SUM(I9,K9)=0,0,K9/SUM(I9,K9))</f>
        <v>0</v>
      </c>
      <c r="M9" s="440">
        <f>COUNTIF(C9:H9,"=N/A")</f>
        <v>0</v>
      </c>
    </row>
    <row r="10" spans="1:58" s="37" customFormat="1" ht="25.5">
      <c r="A10" s="362" t="s">
        <v>297</v>
      </c>
      <c r="B10" s="395" t="s">
        <v>207</v>
      </c>
      <c r="C10" s="442" t="str">
        <f>IF(AND(C17="YES",COUNTIF(C11:C12,"YES")=2),"MET",IF(COUNTA(C11:C12,C17)&gt;=1,"","NOT MET"))</f>
        <v/>
      </c>
      <c r="D10" s="442" t="str">
        <f t="shared" ref="D10:H10" si="2">IF(AND(D17="YES",COUNTIF(D11:D12,"YES")=2),"MET",IF(COUNTA(D11:D12,D17)&gt;=1,"","NOT MET"))</f>
        <v/>
      </c>
      <c r="E10" s="442" t="str">
        <f t="shared" si="2"/>
        <v/>
      </c>
      <c r="F10" s="442" t="str">
        <f t="shared" si="2"/>
        <v/>
      </c>
      <c r="G10" s="442" t="str">
        <f t="shared" si="2"/>
        <v/>
      </c>
      <c r="H10" s="474" t="str">
        <f t="shared" si="2"/>
        <v/>
      </c>
      <c r="I10" s="512"/>
      <c r="J10" s="513"/>
      <c r="K10" s="514"/>
      <c r="L10" s="513"/>
      <c r="M10" s="515"/>
    </row>
    <row r="11" spans="1:58" s="37" customFormat="1">
      <c r="A11" s="443" t="s">
        <v>251</v>
      </c>
      <c r="B11" s="395" t="s">
        <v>332</v>
      </c>
      <c r="C11" s="424"/>
      <c r="D11" s="425"/>
      <c r="E11" s="425"/>
      <c r="F11" s="425"/>
      <c r="G11" s="425"/>
      <c r="H11" s="425"/>
      <c r="I11" s="437">
        <f>COUNTIF(C11:H11,"=YES")</f>
        <v>0</v>
      </c>
      <c r="J11" s="438">
        <f t="shared" ref="J11" si="3">IF(SUM(I11,K11)=0,0,I11/SUM(I11,K11))</f>
        <v>0</v>
      </c>
      <c r="K11" s="439">
        <f>COUNTIF(C11:H11,"=No")</f>
        <v>0</v>
      </c>
      <c r="L11" s="438">
        <f t="shared" ref="L11" si="4">IF(SUM(I11,K11)=0,0,K11/SUM(I11,K11))</f>
        <v>0</v>
      </c>
      <c r="M11" s="440">
        <f>COUNTIF(C11:H11,"=N/A")</f>
        <v>0</v>
      </c>
    </row>
    <row r="12" spans="1:58" s="37" customFormat="1">
      <c r="A12" s="385" t="s">
        <v>279</v>
      </c>
      <c r="B12" s="42" t="s">
        <v>298</v>
      </c>
      <c r="C12" s="180"/>
      <c r="D12" s="180" t="str">
        <f t="shared" ref="D12:H12" si="5">IF(COUNTIF(D13:D15,"YES")&gt;=1,"YES",IF(COUNTIF(D13:D15,"NO")&gt;=3,"NO",""))</f>
        <v/>
      </c>
      <c r="E12" s="180" t="str">
        <f t="shared" si="5"/>
        <v/>
      </c>
      <c r="F12" s="180" t="str">
        <f t="shared" si="5"/>
        <v/>
      </c>
      <c r="G12" s="180" t="str">
        <f t="shared" si="5"/>
        <v/>
      </c>
      <c r="H12" s="180" t="str">
        <f t="shared" si="5"/>
        <v/>
      </c>
      <c r="I12" s="437">
        <f>COUNTIF(C12:H12,"=YES")</f>
        <v>0</v>
      </c>
      <c r="J12" s="438">
        <f t="shared" ref="J12" si="6">IF(SUM(I12,K12)=0,0,I12/SUM(I12,K12))</f>
        <v>0</v>
      </c>
      <c r="K12" s="439">
        <f>COUNTIF(C12:H12,"=No")</f>
        <v>0</v>
      </c>
      <c r="L12" s="438">
        <f t="shared" ref="L12" si="7">IF(SUM(I12,K12)=0,0,K12/SUM(I12,K12))</f>
        <v>0</v>
      </c>
      <c r="M12" s="440">
        <f>COUNTIF(C12:H12,"=N/A")</f>
        <v>0</v>
      </c>
    </row>
    <row r="13" spans="1:58" s="37" customFormat="1">
      <c r="A13" s="385" t="s">
        <v>192</v>
      </c>
      <c r="B13" s="387" t="s">
        <v>299</v>
      </c>
      <c r="C13" s="50"/>
      <c r="D13" s="50"/>
      <c r="E13" s="50"/>
      <c r="F13" s="50"/>
      <c r="G13" s="50"/>
      <c r="H13" s="144"/>
      <c r="I13" s="448"/>
      <c r="J13" s="415"/>
      <c r="K13" s="414"/>
      <c r="L13" s="415"/>
      <c r="M13" s="449"/>
    </row>
    <row r="14" spans="1:58" s="37" customFormat="1">
      <c r="A14" s="385" t="s">
        <v>195</v>
      </c>
      <c r="B14" s="387" t="s">
        <v>300</v>
      </c>
      <c r="C14" s="50"/>
      <c r="D14" s="50"/>
      <c r="E14" s="50"/>
      <c r="F14" s="50"/>
      <c r="G14" s="50"/>
      <c r="H14" s="144"/>
      <c r="I14" s="448"/>
      <c r="J14" s="415"/>
      <c r="K14" s="414"/>
      <c r="L14" s="415"/>
      <c r="M14" s="449"/>
    </row>
    <row r="15" spans="1:58" s="37" customFormat="1">
      <c r="A15" s="385" t="s">
        <v>196</v>
      </c>
      <c r="B15" s="387" t="s">
        <v>301</v>
      </c>
      <c r="C15" s="50"/>
      <c r="D15" s="50"/>
      <c r="E15" s="50"/>
      <c r="F15" s="50"/>
      <c r="G15" s="50"/>
      <c r="H15" s="144"/>
      <c r="I15" s="448"/>
      <c r="J15" s="415"/>
      <c r="K15" s="414"/>
      <c r="L15" s="415"/>
      <c r="M15" s="449"/>
    </row>
    <row r="16" spans="1:58" s="43" customFormat="1">
      <c r="A16" s="385"/>
      <c r="B16" s="419" t="s">
        <v>260</v>
      </c>
      <c r="C16" s="388"/>
      <c r="D16" s="388"/>
      <c r="E16" s="388"/>
      <c r="F16" s="388"/>
      <c r="G16" s="388"/>
      <c r="H16" s="471"/>
      <c r="I16" s="448"/>
      <c r="J16" s="415"/>
      <c r="K16" s="414"/>
      <c r="L16" s="415"/>
      <c r="M16" s="449"/>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43" customFormat="1" ht="25.5">
      <c r="A17" s="385" t="s">
        <v>280</v>
      </c>
      <c r="B17" s="387" t="s">
        <v>302</v>
      </c>
      <c r="C17" s="388" t="str">
        <f>IF(COUNTIF(C18:C20,"YES")&gt;=1,"YES",IF(COUNTIF(C18:C20,"NO")&gt;=3,"NO",""))</f>
        <v/>
      </c>
      <c r="D17" s="388" t="str">
        <f t="shared" ref="D17:H17" si="8">IF(COUNTIF(D18:D20,"YES")&gt;=1,"YES",IF(COUNTIF(D18:D20,"NO")&gt;=3,"NO",""))</f>
        <v/>
      </c>
      <c r="E17" s="388" t="str">
        <f t="shared" si="8"/>
        <v/>
      </c>
      <c r="F17" s="388" t="str">
        <f t="shared" si="8"/>
        <v/>
      </c>
      <c r="G17" s="388" t="str">
        <f t="shared" si="8"/>
        <v/>
      </c>
      <c r="H17" s="388" t="str">
        <f t="shared" si="8"/>
        <v/>
      </c>
      <c r="I17" s="437">
        <f>COUNTIF(C17:H17,"=YES")</f>
        <v>0</v>
      </c>
      <c r="J17" s="438">
        <f t="shared" ref="J17" si="9">IF(SUM(I17,K17)=0,0,I17/SUM(I17,K17))</f>
        <v>0</v>
      </c>
      <c r="K17" s="439">
        <f>COUNTIF(C17:H17,"=No")</f>
        <v>0</v>
      </c>
      <c r="L17" s="438">
        <f t="shared" ref="L17" si="10">IF(SUM(I17,K17)=0,0,K17/SUM(I17,K17))</f>
        <v>0</v>
      </c>
      <c r="M17" s="440">
        <f>COUNTIF(C17:H17,"=N/A")</f>
        <v>0</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43" customFormat="1" ht="25.5">
      <c r="A18" s="385" t="s">
        <v>192</v>
      </c>
      <c r="B18" s="387" t="s">
        <v>303</v>
      </c>
      <c r="C18" s="50"/>
      <c r="D18" s="50"/>
      <c r="E18" s="50"/>
      <c r="F18" s="50"/>
      <c r="G18" s="50"/>
      <c r="H18" s="144"/>
      <c r="I18" s="448"/>
      <c r="J18" s="415"/>
      <c r="K18" s="414"/>
      <c r="L18" s="415"/>
      <c r="M18" s="449"/>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1:58" s="73" customFormat="1" ht="25.5">
      <c r="A19" s="385" t="s">
        <v>195</v>
      </c>
      <c r="B19" s="387" t="s">
        <v>304</v>
      </c>
      <c r="C19" s="50"/>
      <c r="D19" s="50"/>
      <c r="E19" s="50"/>
      <c r="F19" s="50"/>
      <c r="G19" s="50"/>
      <c r="H19" s="144"/>
      <c r="I19" s="448"/>
      <c r="J19" s="415"/>
      <c r="K19" s="414"/>
      <c r="L19" s="415"/>
      <c r="M19" s="449"/>
    </row>
    <row r="20" spans="1:58" s="73" customFormat="1" ht="26.25" thickBot="1">
      <c r="A20" s="385" t="s">
        <v>196</v>
      </c>
      <c r="B20" s="387" t="s">
        <v>305</v>
      </c>
      <c r="C20" s="410"/>
      <c r="D20" s="410"/>
      <c r="E20" s="410"/>
      <c r="F20" s="410"/>
      <c r="G20" s="410"/>
      <c r="H20" s="410"/>
      <c r="I20" s="455"/>
      <c r="J20" s="456"/>
      <c r="K20" s="457"/>
      <c r="L20" s="456"/>
      <c r="M20" s="458"/>
    </row>
    <row r="21" spans="1:58" s="10" customFormat="1" ht="13.9" customHeight="1" thickBot="1">
      <c r="A21" s="375"/>
      <c r="B21" s="53" t="s">
        <v>24</v>
      </c>
      <c r="C21" s="122"/>
      <c r="D21" s="123"/>
      <c r="E21" s="123"/>
      <c r="F21" s="123"/>
      <c r="G21" s="123"/>
      <c r="H21" s="124"/>
      <c r="I21" s="54"/>
      <c r="J21" s="54"/>
      <c r="K21" s="54"/>
      <c r="L21" s="54"/>
      <c r="M21" s="54"/>
    </row>
    <row r="22" spans="1:58" s="10" customFormat="1" ht="13.9" customHeight="1" thickBot="1">
      <c r="A22" s="375"/>
      <c r="B22" s="53"/>
      <c r="C22" s="55"/>
      <c r="D22" s="55"/>
      <c r="E22" s="55"/>
      <c r="F22" s="55"/>
      <c r="G22" s="55"/>
      <c r="H22" s="55"/>
      <c r="I22" s="54"/>
      <c r="J22" s="54"/>
      <c r="K22" s="54"/>
      <c r="L22" s="54"/>
      <c r="M22" s="54"/>
    </row>
    <row r="23" spans="1:58" s="10" customFormat="1" ht="13.9" customHeight="1">
      <c r="A23" s="375"/>
      <c r="B23" s="56" t="s">
        <v>25</v>
      </c>
      <c r="C23" s="57">
        <f t="shared" ref="C23:H23" si="11">COUNTIF(C9:C19,"=Met")</f>
        <v>0</v>
      </c>
      <c r="D23" s="58">
        <f t="shared" si="11"/>
        <v>0</v>
      </c>
      <c r="E23" s="58">
        <f t="shared" si="11"/>
        <v>0</v>
      </c>
      <c r="F23" s="58">
        <f t="shared" si="11"/>
        <v>0</v>
      </c>
      <c r="G23" s="58">
        <f t="shared" si="11"/>
        <v>0</v>
      </c>
      <c r="H23" s="150">
        <f t="shared" si="11"/>
        <v>0</v>
      </c>
      <c r="I23" s="59"/>
      <c r="J23" s="60"/>
      <c r="K23" s="60"/>
      <c r="L23" s="60"/>
      <c r="M23" s="60"/>
    </row>
    <row r="24" spans="1:58" s="10" customFormat="1" ht="13.9" customHeight="1">
      <c r="A24" s="375"/>
      <c r="B24" s="56" t="s">
        <v>26</v>
      </c>
      <c r="C24" s="61">
        <f t="shared" ref="C24:H24" si="12">IF(SUM(C23,C25)=0,0,C23/SUM(C23,C25))</f>
        <v>0</v>
      </c>
      <c r="D24" s="62">
        <f t="shared" si="12"/>
        <v>0</v>
      </c>
      <c r="E24" s="62">
        <f t="shared" si="12"/>
        <v>0</v>
      </c>
      <c r="F24" s="62">
        <f t="shared" si="12"/>
        <v>0</v>
      </c>
      <c r="G24" s="62">
        <f t="shared" si="12"/>
        <v>0</v>
      </c>
      <c r="H24" s="151">
        <f t="shared" si="12"/>
        <v>0</v>
      </c>
      <c r="I24" s="59"/>
      <c r="J24" s="60"/>
      <c r="K24" s="60"/>
      <c r="L24" s="60"/>
      <c r="M24" s="60"/>
    </row>
    <row r="25" spans="1:58" s="10" customFormat="1" ht="13.9" customHeight="1">
      <c r="A25" s="375"/>
      <c r="B25" s="56" t="s">
        <v>27</v>
      </c>
      <c r="C25" s="63">
        <f t="shared" ref="C25:H25" si="13">COUNTIF(C9:C19,"=Not Met")</f>
        <v>0</v>
      </c>
      <c r="D25" s="64">
        <f t="shared" si="13"/>
        <v>0</v>
      </c>
      <c r="E25" s="64">
        <f t="shared" si="13"/>
        <v>0</v>
      </c>
      <c r="F25" s="64">
        <f t="shared" si="13"/>
        <v>0</v>
      </c>
      <c r="G25" s="64">
        <f t="shared" si="13"/>
        <v>0</v>
      </c>
      <c r="H25" s="152">
        <f t="shared" si="13"/>
        <v>0</v>
      </c>
      <c r="I25" s="59"/>
      <c r="J25" s="60"/>
      <c r="K25" s="60"/>
      <c r="L25" s="60"/>
      <c r="M25" s="60"/>
    </row>
    <row r="26" spans="1:58" s="10" customFormat="1" ht="13.9" customHeight="1">
      <c r="A26" s="375"/>
      <c r="B26" s="56" t="s">
        <v>28</v>
      </c>
      <c r="C26" s="61">
        <f t="shared" ref="C26:H26" si="14">IF(SUM(C23,C25)=0,0,C25/SUM(C23,C25))</f>
        <v>0</v>
      </c>
      <c r="D26" s="62">
        <f t="shared" si="14"/>
        <v>0</v>
      </c>
      <c r="E26" s="62">
        <f t="shared" si="14"/>
        <v>0</v>
      </c>
      <c r="F26" s="62">
        <f t="shared" si="14"/>
        <v>0</v>
      </c>
      <c r="G26" s="62">
        <f t="shared" si="14"/>
        <v>0</v>
      </c>
      <c r="H26" s="151">
        <f t="shared" si="14"/>
        <v>0</v>
      </c>
      <c r="I26" s="59"/>
      <c r="J26" s="60"/>
      <c r="K26" s="60"/>
      <c r="L26" s="60"/>
      <c r="M26" s="60"/>
    </row>
    <row r="27" spans="1:58" s="10" customFormat="1" ht="13.9" customHeight="1" thickBot="1">
      <c r="A27" s="375"/>
      <c r="B27" s="56" t="s">
        <v>29</v>
      </c>
      <c r="C27" s="65">
        <f t="shared" ref="C27:H27" si="15">COUNTIF(C9:C19,"=N/A")</f>
        <v>0</v>
      </c>
      <c r="D27" s="66">
        <f t="shared" si="15"/>
        <v>0</v>
      </c>
      <c r="E27" s="66">
        <f t="shared" si="15"/>
        <v>0</v>
      </c>
      <c r="F27" s="66">
        <f t="shared" si="15"/>
        <v>0</v>
      </c>
      <c r="G27" s="66">
        <f t="shared" si="15"/>
        <v>0</v>
      </c>
      <c r="H27" s="153">
        <f t="shared" si="15"/>
        <v>0</v>
      </c>
      <c r="I27" s="67"/>
      <c r="J27" s="68"/>
      <c r="K27" s="68"/>
      <c r="L27" s="68"/>
      <c r="M27" s="68"/>
    </row>
    <row r="28" spans="1:58" s="10" customFormat="1" ht="13.9" customHeight="1">
      <c r="A28" s="545"/>
      <c r="B28" s="545"/>
      <c r="C28" s="545"/>
      <c r="D28" s="545"/>
      <c r="E28" s="545"/>
      <c r="F28" s="545"/>
      <c r="G28" s="545"/>
      <c r="H28" s="545"/>
      <c r="I28" s="545"/>
      <c r="J28" s="545"/>
      <c r="K28" s="545"/>
      <c r="L28" s="545"/>
      <c r="M28" s="545"/>
    </row>
    <row r="29" spans="1:58" s="10" customFormat="1" ht="25.15" customHeight="1">
      <c r="A29" s="211"/>
      <c r="B29" s="212" t="s">
        <v>152</v>
      </c>
      <c r="C29" s="215" t="s">
        <v>18</v>
      </c>
      <c r="D29" s="546"/>
      <c r="E29" s="547"/>
      <c r="F29" s="547"/>
      <c r="G29" s="547"/>
      <c r="H29" s="547"/>
      <c r="I29" s="547"/>
      <c r="J29" s="547"/>
      <c r="K29" s="547"/>
      <c r="L29" s="547"/>
      <c r="M29" s="548"/>
    </row>
    <row r="30" spans="1:58" s="10" customFormat="1" ht="25.15" customHeight="1">
      <c r="A30" s="211"/>
      <c r="B30" s="213"/>
      <c r="C30" s="216" t="s">
        <v>19</v>
      </c>
      <c r="D30" s="539"/>
      <c r="E30" s="540"/>
      <c r="F30" s="540"/>
      <c r="G30" s="540"/>
      <c r="H30" s="540"/>
      <c r="I30" s="540"/>
      <c r="J30" s="540"/>
      <c r="K30" s="540"/>
      <c r="L30" s="540"/>
      <c r="M30" s="541"/>
    </row>
    <row r="31" spans="1:58" s="10" customFormat="1" ht="25.15" customHeight="1">
      <c r="A31" s="211"/>
      <c r="B31" s="213"/>
      <c r="C31" s="216" t="s">
        <v>20</v>
      </c>
      <c r="D31" s="539"/>
      <c r="E31" s="540"/>
      <c r="F31" s="540"/>
      <c r="G31" s="540"/>
      <c r="H31" s="540"/>
      <c r="I31" s="540"/>
      <c r="J31" s="540"/>
      <c r="K31" s="540"/>
      <c r="L31" s="540"/>
      <c r="M31" s="541"/>
    </row>
    <row r="32" spans="1:58" s="10" customFormat="1" ht="25.15" customHeight="1">
      <c r="A32" s="211"/>
      <c r="B32" s="213"/>
      <c r="C32" s="216" t="s">
        <v>21</v>
      </c>
      <c r="D32" s="539"/>
      <c r="E32" s="540"/>
      <c r="F32" s="540"/>
      <c r="G32" s="540"/>
      <c r="H32" s="540"/>
      <c r="I32" s="540"/>
      <c r="J32" s="540"/>
      <c r="K32" s="540"/>
      <c r="L32" s="540"/>
      <c r="M32" s="541"/>
    </row>
    <row r="33" spans="1:13" s="10" customFormat="1" ht="25.15" customHeight="1">
      <c r="A33" s="211"/>
      <c r="B33" s="213"/>
      <c r="C33" s="216" t="s">
        <v>22</v>
      </c>
      <c r="D33" s="539"/>
      <c r="E33" s="540"/>
      <c r="F33" s="540"/>
      <c r="G33" s="540"/>
      <c r="H33" s="540"/>
      <c r="I33" s="540"/>
      <c r="J33" s="540"/>
      <c r="K33" s="540"/>
      <c r="L33" s="540"/>
      <c r="M33" s="541"/>
    </row>
    <row r="34" spans="1:13" s="10" customFormat="1" ht="25.15" customHeight="1">
      <c r="A34" s="211"/>
      <c r="B34" s="213"/>
      <c r="C34" s="217" t="s">
        <v>23</v>
      </c>
      <c r="D34" s="542"/>
      <c r="E34" s="543"/>
      <c r="F34" s="543"/>
      <c r="G34" s="543"/>
      <c r="H34" s="543"/>
      <c r="I34" s="543"/>
      <c r="J34" s="543"/>
      <c r="K34" s="543"/>
      <c r="L34" s="543"/>
      <c r="M34" s="544"/>
    </row>
  </sheetData>
  <sheetProtection sheet="1" objects="1" scenarios="1"/>
  <customSheetViews>
    <customSheetView guid="{2A3E70A9-51A3-4722-9775-16DBEA0F14B3}">
      <pane xSplit="2" ySplit="8" topLeftCell="C9" activePane="bottomRight" state="frozen"/>
      <selection pane="bottomRight" activeCell="C10" sqref="C10"/>
      <pageMargins left="0.2" right="0.2" top="0.3" bottom="0.25" header="0.25" footer="0"/>
      <printOptions horizontalCentered="1"/>
      <pageSetup paperSize="5" scale="92" orientation="landscape" r:id="rId1"/>
      <headerFooter alignWithMargins="0">
        <oddFooter>&amp;L&amp;8&amp;K000000IDD Group Living - Moderate/High Continuation&amp;R&amp;8&amp;K000000&amp;P</oddFooter>
      </headerFooter>
    </customSheetView>
    <customSheetView guid="{A13B25D0-B104-46DD-B5CC-B628EEB53163}">
      <pane xSplit="2" ySplit="8" topLeftCell="C9" activePane="bottomRight" state="frozen"/>
      <selection pane="bottomRight" activeCell="C10" sqref="C10"/>
      <pageMargins left="0.2" right="0.2" top="0.3" bottom="0.25" header="0.25" footer="0"/>
      <printOptions horizontalCentered="1"/>
      <pageSetup paperSize="5" scale="92" orientation="landscape" r:id="rId2"/>
      <headerFooter alignWithMargins="0">
        <oddFooter>&amp;L&amp;8&amp;K000000IDD Group Living - Moderate/High Continuation&amp;R&amp;8&amp;K000000&amp;P</oddFooter>
      </headerFooter>
    </customSheetView>
  </customSheetViews>
  <mergeCells count="7">
    <mergeCell ref="D34:M34"/>
    <mergeCell ref="A28:M28"/>
    <mergeCell ref="D29:M29"/>
    <mergeCell ref="D30:M30"/>
    <mergeCell ref="D31:M31"/>
    <mergeCell ref="D32:M32"/>
    <mergeCell ref="D33:M33"/>
  </mergeCells>
  <conditionalFormatting sqref="C20:H20">
    <cfRule type="expression" dxfId="153" priority="12" stopIfTrue="1">
      <formula>AND(C$9&lt;&gt;"",C20="")</formula>
    </cfRule>
    <cfRule type="cellIs" dxfId="152" priority="14" stopIfTrue="1" operator="equal">
      <formula>"N/A"</formula>
    </cfRule>
  </conditionalFormatting>
  <conditionalFormatting sqref="C20:H20">
    <cfRule type="cellIs" dxfId="151" priority="13" stopIfTrue="1" operator="equal">
      <formula>"Not Met"</formula>
    </cfRule>
  </conditionalFormatting>
  <conditionalFormatting sqref="C9:H9">
    <cfRule type="expression" dxfId="150" priority="10" stopIfTrue="1">
      <formula>OR(C9="",C9="N/A")</formula>
    </cfRule>
  </conditionalFormatting>
  <conditionalFormatting sqref="C9:H10 D11:H11 C12:H20">
    <cfRule type="cellIs" dxfId="149" priority="11" stopIfTrue="1" operator="equal">
      <formula>"Not Met"</formula>
    </cfRule>
  </conditionalFormatting>
  <conditionalFormatting sqref="C12:H12">
    <cfRule type="expression" dxfId="148" priority="5" stopIfTrue="1">
      <formula>OR(C12="",C12="N/A")</formula>
    </cfRule>
  </conditionalFormatting>
  <conditionalFormatting sqref="C13:H19">
    <cfRule type="expression" dxfId="147" priority="7" stopIfTrue="1">
      <formula>AND(C$9&lt;&gt;"",C13="")</formula>
    </cfRule>
    <cfRule type="cellIs" dxfId="146" priority="9" stopIfTrue="1" operator="equal">
      <formula>"N/A"</formula>
    </cfRule>
  </conditionalFormatting>
  <conditionalFormatting sqref="C13:H19">
    <cfRule type="cellIs" dxfId="145" priority="8" stopIfTrue="1" operator="equal">
      <formula>"Not Met"</formula>
    </cfRule>
  </conditionalFormatting>
  <conditionalFormatting sqref="C12:H12">
    <cfRule type="cellIs" dxfId="144" priority="6" stopIfTrue="1" operator="equal">
      <formula>"Not Met"</formula>
    </cfRule>
  </conditionalFormatting>
  <dataValidations count="2">
    <dataValidation type="list" allowBlank="1" showInputMessage="1" showErrorMessage="1" sqref="C11:H11" xr:uid="{D0AF6A72-0A52-4387-B455-53D7701C2532}">
      <formula1>"YES, NO"</formula1>
    </dataValidation>
    <dataValidation type="list" allowBlank="1" showInputMessage="1" showErrorMessage="1" sqref="C13:H15 C18:H20" xr:uid="{0C9B1E96-8837-4B4B-A8F4-A1E652CFC176}">
      <formula1>"YES,NO"</formula1>
    </dataValidation>
  </dataValidations>
  <printOptions horizontalCentered="1"/>
  <pageMargins left="0.2" right="0.2" top="0.3" bottom="0.25" header="0.25" footer="0"/>
  <pageSetup paperSize="5" scale="92" orientation="landscape" r:id="rId3"/>
  <headerFooter alignWithMargins="0">
    <oddFooter>&amp;L&amp;8&amp;K000000IDD Group Living - Moderate/High Continuation&amp;R&amp;8&amp;K000000&amp;P</oddFooter>
  </headerFooter>
  <drawing r:id="rId4"/>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1">
    <tabColor rgb="FFFF99FF"/>
  </sheetPr>
  <dimension ref="A1:O222"/>
  <sheetViews>
    <sheetView topLeftCell="A76" zoomScaleNormal="100" workbookViewId="0">
      <selection activeCell="E120" sqref="E120"/>
    </sheetView>
  </sheetViews>
  <sheetFormatPr defaultRowHeight="15.75"/>
  <cols>
    <col min="1" max="1" width="2.7109375" style="99" customWidth="1"/>
    <col min="2" max="2" width="3.7109375" style="100" customWidth="1"/>
    <col min="3" max="3" width="18.7109375" style="162" customWidth="1"/>
    <col min="4" max="4" width="73.85546875" style="162" customWidth="1"/>
    <col min="5" max="5" width="5.7109375" style="265" customWidth="1"/>
    <col min="6" max="6" width="10.42578125" style="266" customWidth="1"/>
    <col min="10" max="11" width="9.140625" hidden="1" customWidth="1"/>
  </cols>
  <sheetData>
    <row r="1" spans="1:8" ht="15.95" customHeight="1">
      <c r="A1" s="170"/>
      <c r="B1" s="170"/>
      <c r="C1" s="170"/>
      <c r="D1" s="170"/>
      <c r="E1" s="281"/>
      <c r="F1" s="285"/>
      <c r="G1" s="286"/>
      <c r="H1" s="286"/>
    </row>
    <row r="2" spans="1:8" ht="15.95" customHeight="1">
      <c r="A2" s="170"/>
      <c r="B2" s="170"/>
      <c r="C2" s="170"/>
      <c r="D2" s="170"/>
      <c r="E2" s="281"/>
      <c r="F2" s="285"/>
      <c r="G2" s="286"/>
      <c r="H2" s="286"/>
    </row>
    <row r="3" spans="1:8" ht="15.95" customHeight="1">
      <c r="A3" s="170"/>
      <c r="B3" s="170"/>
      <c r="C3" s="170"/>
      <c r="D3" s="170"/>
      <c r="E3" s="281"/>
      <c r="F3" s="285"/>
      <c r="G3" s="286"/>
      <c r="H3" s="286"/>
    </row>
    <row r="4" spans="1:8" ht="15.95" customHeight="1">
      <c r="A4" s="170"/>
      <c r="B4" s="170"/>
      <c r="C4" s="170"/>
      <c r="D4" s="170"/>
      <c r="E4" s="281"/>
      <c r="F4" s="285"/>
      <c r="G4" s="286"/>
      <c r="H4" s="286"/>
    </row>
    <row r="5" spans="1:8" ht="15.95" customHeight="1">
      <c r="A5" s="170"/>
      <c r="B5" s="170"/>
      <c r="C5" s="170"/>
      <c r="D5" s="282"/>
      <c r="E5" s="281"/>
      <c r="F5" s="285"/>
      <c r="G5" s="286"/>
      <c r="H5" s="286"/>
    </row>
    <row r="6" spans="1:8" ht="15.95" customHeight="1">
      <c r="A6" s="170"/>
      <c r="B6" s="170"/>
      <c r="C6" s="170"/>
      <c r="D6" s="170"/>
      <c r="E6" s="281"/>
      <c r="F6" s="285"/>
      <c r="G6" s="286"/>
      <c r="H6" s="286"/>
    </row>
    <row r="7" spans="1:8" ht="15">
      <c r="A7" s="170"/>
      <c r="B7" s="171"/>
      <c r="C7" s="172"/>
      <c r="D7" s="172"/>
      <c r="E7" s="281"/>
      <c r="F7" s="285"/>
      <c r="G7" s="286"/>
      <c r="H7" s="286"/>
    </row>
    <row r="8" spans="1:8" ht="15">
      <c r="A8" s="170"/>
      <c r="B8" s="171"/>
      <c r="C8" s="172"/>
      <c r="D8" s="172"/>
      <c r="E8" s="281"/>
      <c r="F8" s="285"/>
      <c r="G8" s="286"/>
      <c r="H8" s="286"/>
    </row>
    <row r="9" spans="1:8" ht="15">
      <c r="A9" s="170"/>
      <c r="B9" s="171"/>
      <c r="C9" s="172"/>
      <c r="D9" s="172"/>
      <c r="E9" s="281"/>
      <c r="F9" s="285"/>
      <c r="G9" s="286"/>
      <c r="H9" s="286"/>
    </row>
    <row r="10" spans="1:8" ht="15">
      <c r="A10" s="170"/>
      <c r="B10" s="171"/>
      <c r="C10" s="172"/>
      <c r="D10" s="172"/>
      <c r="E10" s="281"/>
      <c r="F10" s="285"/>
      <c r="G10" s="286"/>
      <c r="H10" s="286"/>
    </row>
    <row r="11" spans="1:8" ht="15">
      <c r="A11" s="170"/>
      <c r="B11" s="171"/>
      <c r="C11" s="172"/>
      <c r="D11" s="172"/>
      <c r="E11" s="281"/>
      <c r="F11" s="285"/>
      <c r="G11" s="286"/>
      <c r="H11" s="286"/>
    </row>
    <row r="12" spans="1:8" ht="15">
      <c r="A12" s="170"/>
      <c r="B12" s="171"/>
      <c r="C12" s="172"/>
      <c r="D12" s="172"/>
      <c r="E12" s="281"/>
      <c r="F12" s="285"/>
      <c r="G12" s="286"/>
      <c r="H12" s="286"/>
    </row>
    <row r="13" spans="1:8" ht="18">
      <c r="A13" s="555" t="s">
        <v>167</v>
      </c>
      <c r="B13" s="555"/>
      <c r="C13" s="555"/>
      <c r="D13" s="555"/>
      <c r="E13" s="555"/>
      <c r="F13" s="555"/>
      <c r="G13" s="555"/>
      <c r="H13" s="555"/>
    </row>
    <row r="14" spans="1:8" ht="15.95" customHeight="1">
      <c r="A14" s="551"/>
      <c r="B14" s="551"/>
      <c r="C14" s="551"/>
      <c r="D14" s="551"/>
      <c r="E14" s="281"/>
      <c r="F14" s="285"/>
      <c r="G14" s="286"/>
      <c r="H14" s="286"/>
    </row>
    <row r="15" spans="1:8" ht="12.75">
      <c r="A15" s="551" t="s">
        <v>162</v>
      </c>
      <c r="B15" s="551"/>
      <c r="C15" s="551"/>
      <c r="D15" s="551"/>
      <c r="E15" s="551"/>
      <c r="F15" s="551"/>
      <c r="G15" s="551"/>
      <c r="H15" s="551"/>
    </row>
    <row r="16" spans="1:8" ht="15">
      <c r="A16" s="170"/>
      <c r="B16" s="171"/>
      <c r="C16" s="172"/>
      <c r="D16" s="172"/>
      <c r="E16" s="281"/>
      <c r="F16" s="285"/>
      <c r="G16" s="286"/>
      <c r="H16" s="286"/>
    </row>
    <row r="17" spans="1:8" ht="15">
      <c r="A17" s="170"/>
      <c r="B17" s="171"/>
      <c r="C17" s="172"/>
      <c r="D17" s="172"/>
      <c r="E17" s="281"/>
      <c r="F17" s="285"/>
      <c r="G17" s="286"/>
      <c r="H17" s="286"/>
    </row>
    <row r="18" spans="1:8" ht="15">
      <c r="A18" s="170"/>
      <c r="B18" s="171"/>
      <c r="C18" s="172"/>
      <c r="D18" s="172"/>
      <c r="E18" s="281"/>
      <c r="F18" s="285"/>
      <c r="G18" s="286"/>
      <c r="H18" s="286"/>
    </row>
    <row r="19" spans="1:8" ht="26.25">
      <c r="A19" s="552" t="s">
        <v>306</v>
      </c>
      <c r="B19" s="552"/>
      <c r="C19" s="552"/>
      <c r="D19" s="552"/>
      <c r="E19" s="552"/>
      <c r="F19" s="552"/>
      <c r="G19" s="552"/>
      <c r="H19" s="552"/>
    </row>
    <row r="20" spans="1:8" ht="15">
      <c r="A20" s="172"/>
      <c r="B20" s="171"/>
      <c r="C20" s="172"/>
      <c r="D20" s="172"/>
      <c r="E20" s="281"/>
      <c r="F20" s="285"/>
      <c r="G20" s="286"/>
      <c r="H20" s="286"/>
    </row>
    <row r="21" spans="1:8" ht="26.25">
      <c r="A21" s="552" t="s">
        <v>224</v>
      </c>
      <c r="B21" s="552"/>
      <c r="C21" s="552"/>
      <c r="D21" s="552"/>
      <c r="E21" s="552"/>
      <c r="F21" s="552"/>
      <c r="G21" s="552"/>
      <c r="H21" s="552"/>
    </row>
    <row r="22" spans="1:8" ht="15.95" customHeight="1">
      <c r="A22" s="551" t="s">
        <v>181</v>
      </c>
      <c r="B22" s="551"/>
      <c r="C22" s="551"/>
      <c r="D22" s="551"/>
      <c r="E22" s="551"/>
      <c r="F22" s="551"/>
      <c r="G22" s="551"/>
      <c r="H22" s="551"/>
    </row>
    <row r="23" spans="1:8" ht="15.95" customHeight="1">
      <c r="A23" s="551" t="s">
        <v>182</v>
      </c>
      <c r="B23" s="551"/>
      <c r="C23" s="551"/>
      <c r="D23" s="551"/>
      <c r="E23" s="551"/>
      <c r="F23" s="551"/>
      <c r="G23" s="551"/>
      <c r="H23" s="551"/>
    </row>
    <row r="24" spans="1:8" ht="20.25">
      <c r="A24" s="280"/>
      <c r="B24" s="171"/>
      <c r="C24" s="172"/>
      <c r="D24" s="172"/>
      <c r="E24" s="281"/>
      <c r="F24" s="285"/>
      <c r="G24" s="286"/>
      <c r="H24" s="286"/>
    </row>
    <row r="25" spans="1:8" ht="20.25">
      <c r="A25" s="280"/>
      <c r="B25" s="171"/>
      <c r="C25" s="172"/>
      <c r="D25" s="172"/>
      <c r="E25" s="281"/>
      <c r="F25" s="285"/>
      <c r="G25" s="286"/>
      <c r="H25" s="286"/>
    </row>
    <row r="26" spans="1:8" ht="20.25">
      <c r="A26" s="553" t="s">
        <v>39</v>
      </c>
      <c r="B26" s="553"/>
      <c r="C26" s="553"/>
      <c r="D26" s="553"/>
      <c r="E26" s="553"/>
      <c r="F26" s="553"/>
      <c r="G26" s="553"/>
      <c r="H26" s="553"/>
    </row>
    <row r="27" spans="1:8" ht="15">
      <c r="A27" s="170"/>
      <c r="B27" s="171"/>
      <c r="C27" s="172"/>
      <c r="D27" s="172"/>
      <c r="E27" s="281"/>
      <c r="F27" s="285"/>
      <c r="G27" s="286"/>
      <c r="H27" s="286"/>
    </row>
    <row r="28" spans="1:8" ht="23.25">
      <c r="A28" s="554" t="str">
        <f>IF('Workbook Set-up'!B4="","",'Workbook Set-up'!B4)</f>
        <v>Trillium Health Resources</v>
      </c>
      <c r="B28" s="554"/>
      <c r="C28" s="554"/>
      <c r="D28" s="554"/>
      <c r="E28" s="554"/>
      <c r="F28" s="554"/>
      <c r="G28" s="554"/>
      <c r="H28" s="554"/>
    </row>
    <row r="29" spans="1:8" ht="15">
      <c r="A29" s="170"/>
      <c r="B29" s="171"/>
      <c r="C29" s="172"/>
      <c r="D29" s="172"/>
      <c r="E29" s="281"/>
      <c r="F29" s="285"/>
      <c r="G29" s="286"/>
      <c r="H29" s="286"/>
    </row>
    <row r="30" spans="1:8" ht="15">
      <c r="A30" s="170"/>
      <c r="B30" s="171"/>
      <c r="C30" s="172"/>
      <c r="D30" s="172"/>
      <c r="E30" s="281"/>
      <c r="F30" s="285"/>
      <c r="G30" s="286"/>
      <c r="H30" s="286"/>
    </row>
    <row r="31" spans="1:8" ht="15">
      <c r="A31" s="170"/>
      <c r="B31" s="171"/>
      <c r="C31" s="172"/>
      <c r="D31" s="172"/>
      <c r="E31" s="281"/>
      <c r="F31" s="285"/>
      <c r="G31" s="286"/>
      <c r="H31" s="286"/>
    </row>
    <row r="32" spans="1:8" ht="18">
      <c r="A32" s="555" t="s">
        <v>163</v>
      </c>
      <c r="B32" s="555"/>
      <c r="C32" s="555"/>
      <c r="D32" s="555"/>
      <c r="E32" s="555"/>
      <c r="F32" s="555"/>
      <c r="G32" s="555"/>
      <c r="H32" s="555"/>
    </row>
    <row r="33" spans="1:8" ht="18">
      <c r="A33" s="279"/>
      <c r="B33" s="279"/>
      <c r="C33" s="279"/>
      <c r="D33" s="279"/>
      <c r="E33" s="279"/>
      <c r="F33" s="279"/>
      <c r="G33" s="279"/>
      <c r="H33" s="279"/>
    </row>
    <row r="34" spans="1:8" ht="15">
      <c r="A34" s="170"/>
      <c r="B34" s="171"/>
      <c r="C34" s="172"/>
      <c r="D34" s="172"/>
      <c r="E34" s="281"/>
      <c r="F34" s="285"/>
      <c r="G34" s="286"/>
      <c r="H34" s="286"/>
    </row>
    <row r="35" spans="1:8" ht="15">
      <c r="A35" s="170"/>
      <c r="B35" s="171"/>
      <c r="C35" s="172"/>
      <c r="D35" s="172"/>
      <c r="E35" s="281"/>
      <c r="F35" s="285"/>
      <c r="G35" s="286"/>
      <c r="H35" s="286"/>
    </row>
    <row r="36" spans="1:8" ht="20.25">
      <c r="A36" s="287" t="s">
        <v>180</v>
      </c>
      <c r="B36" s="287"/>
      <c r="C36" s="287"/>
      <c r="D36" s="287"/>
      <c r="E36" s="288"/>
      <c r="F36" s="289"/>
      <c r="G36" s="290"/>
      <c r="H36" s="290"/>
    </row>
    <row r="37" spans="1:8" ht="16.7" customHeight="1">
      <c r="A37" s="72"/>
      <c r="B37" s="94"/>
      <c r="C37" s="164"/>
      <c r="D37" s="164"/>
    </row>
    <row r="38" spans="1:8" ht="12.75" customHeight="1">
      <c r="A38" s="72"/>
      <c r="B38" s="94"/>
      <c r="C38" s="569" t="s">
        <v>186</v>
      </c>
      <c r="D38" s="569"/>
      <c r="E38" s="569"/>
      <c r="F38" s="569"/>
      <c r="G38" s="569"/>
      <c r="H38" s="569"/>
    </row>
    <row r="39" spans="1:8" ht="16.7" customHeight="1">
      <c r="A39" s="72"/>
      <c r="B39" s="94"/>
      <c r="C39" s="72"/>
      <c r="D39" s="72"/>
    </row>
    <row r="40" spans="1:8" ht="12.75">
      <c r="A40" s="72"/>
      <c r="B40" s="94"/>
      <c r="C40" s="87" t="s">
        <v>165</v>
      </c>
      <c r="D40" s="165" t="str">
        <f>IF('Workbook Set-up'!B4="","",'Workbook Set-up'!B4)</f>
        <v>Trillium Health Resources</v>
      </c>
    </row>
    <row r="41" spans="1:8" ht="12.75">
      <c r="A41" s="72"/>
      <c r="B41" s="94"/>
      <c r="C41" s="87" t="s">
        <v>161</v>
      </c>
      <c r="D41" s="166" t="str">
        <f>IF(AND('Workbook Set-up'!$B$13="",'Workbook Set-up'!$B$14=""),"",IF('Workbook Set-up'!$B$13='Workbook Set-up'!$B$14,TEXT('Workbook Set-up'!$B$13,"m/d/yyyy"),IF('Workbook Set-up'!$B$13&lt;&gt;'Workbook Set-up'!$B$14,TEXT('Workbook Set-up'!$B$13,"m/d/yyyy")&amp;" to "&amp;TEXT('Workbook Set-up'!$B$14,"m/d/yyyy"),"")))</f>
        <v>7/15/2019</v>
      </c>
    </row>
    <row r="42" spans="1:8" ht="12.75">
      <c r="A42" s="72"/>
      <c r="B42" s="94"/>
      <c r="C42" s="87" t="s">
        <v>154</v>
      </c>
      <c r="D42" s="165" t="str">
        <f>IF('Workbook Set-up'!B5="","",'Workbook Set-up'!B5)</f>
        <v>LaToya Chancey</v>
      </c>
    </row>
    <row r="43" spans="1:8" ht="12.75">
      <c r="A43" s="72"/>
      <c r="B43" s="94"/>
      <c r="C43" s="87" t="s">
        <v>153</v>
      </c>
      <c r="D43" s="255" t="str">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Rachel Noell, Mya Lewis</v>
      </c>
    </row>
    <row r="44" spans="1:8" ht="16.7" customHeight="1" thickBot="1">
      <c r="A44" s="72"/>
      <c r="B44" s="94"/>
      <c r="C44" s="72"/>
      <c r="D44" s="72"/>
    </row>
    <row r="45" spans="1:8" ht="16.7" customHeight="1">
      <c r="A45" s="72"/>
      <c r="B45" s="72"/>
      <c r="C45" s="94"/>
      <c r="D45" s="167"/>
      <c r="E45" s="269"/>
      <c r="F45" s="265"/>
      <c r="G45" s="266"/>
    </row>
    <row r="46" spans="1:8" ht="12.75">
      <c r="A46" s="72"/>
      <c r="B46" s="72"/>
      <c r="C46" s="94"/>
      <c r="D46" s="168" t="s">
        <v>166</v>
      </c>
      <c r="E46" s="270"/>
      <c r="F46" s="265"/>
      <c r="G46" s="266"/>
    </row>
    <row r="47" spans="1:8" ht="12.75">
      <c r="A47" s="72"/>
      <c r="B47" s="72"/>
      <c r="C47" s="94"/>
      <c r="D47" s="168"/>
      <c r="E47" s="270"/>
      <c r="F47" s="265"/>
      <c r="G47" s="266"/>
    </row>
    <row r="48" spans="1:8" ht="12.75">
      <c r="A48" s="72"/>
      <c r="B48" s="72"/>
      <c r="C48" s="94"/>
      <c r="D48" s="283" t="str">
        <f>IF(ISNA(MATCH(1,'Workbook Set-up'!$D$21:$D$32,0)),"",INDEX('Workbook Set-up'!$A$21:$A$32,MATCH(1,'Workbook Set-up'!$D$21:$D$32,0)))</f>
        <v>IDD Supported Employment Initial Authorization</v>
      </c>
      <c r="E48" s="271"/>
      <c r="F48" s="265"/>
      <c r="G48" s="266"/>
    </row>
    <row r="49" spans="1:8" ht="12.75">
      <c r="A49" s="72"/>
      <c r="B49" s="72"/>
      <c r="C49" s="94"/>
      <c r="D49" s="283" t="str">
        <f>IF(ISNA(MATCH(2,'Workbook Set-up'!$D$21:$D$32,0)),"",INDEX('Workbook Set-up'!$A$21:$A$32,MATCH(2,'Workbook Set-up'!$D$21:$D$32,0)))</f>
        <v>IDD Supported Employment Continuation Authorization</v>
      </c>
      <c r="E49" s="271"/>
      <c r="F49" s="265"/>
      <c r="G49" s="266"/>
    </row>
    <row r="50" spans="1:8" ht="12.75">
      <c r="A50" s="72"/>
      <c r="B50" s="72"/>
      <c r="C50" s="94"/>
      <c r="D50" s="283" t="str">
        <f>IF(ISNA(MATCH(3,'Workbook Set-up'!$D$21:$D$32,0)),"",INDEX('Workbook Set-up'!$A$21:$A$32,MATCH(3,'Workbook Set-up'!$D$21:$D$32,0)))</f>
        <v>IDD Developmental Day Initial Authorization</v>
      </c>
      <c r="E50" s="271"/>
      <c r="F50" s="265"/>
      <c r="G50" s="266"/>
    </row>
    <row r="51" spans="1:8" ht="12.75">
      <c r="A51" s="72"/>
      <c r="B51" s="72"/>
      <c r="C51" s="94"/>
      <c r="D51" s="283" t="str">
        <f>IF(ISNA(MATCH(4,'Workbook Set-up'!$D$21:$D$32,0)),"",INDEX('Workbook Set-up'!$A$21:$A$32,MATCH(4,'Workbook Set-up'!$D$21:$D$32,0)))</f>
        <v>IDD Developmental Day Continuation</v>
      </c>
      <c r="E51" s="271"/>
      <c r="F51" s="265"/>
      <c r="G51" s="266"/>
    </row>
    <row r="52" spans="1:8" ht="12.75">
      <c r="A52" s="72"/>
      <c r="B52" s="72"/>
      <c r="C52" s="94"/>
      <c r="D52" s="283" t="str">
        <f>IF(ISNA(MATCH(5,'Workbook Set-up'!$D$21:$D$32,0)),"",INDEX('Workbook Set-up'!$A$21:$A$32,MATCH(5,'Workbook Set-up'!$D$21:$D$32,0)))</f>
        <v>IDD Day Activity Initial Authorization</v>
      </c>
      <c r="E52" s="271"/>
      <c r="F52" s="265"/>
      <c r="G52" s="266"/>
    </row>
    <row r="53" spans="1:8" ht="12.75">
      <c r="A53" s="72"/>
      <c r="B53" s="72"/>
      <c r="C53" s="94"/>
      <c r="D53" s="283" t="str">
        <f>IF(ISNA(MATCH(6,'Workbook Set-up'!$D$21:$D$32,0)),"",INDEX('Workbook Set-up'!$A$21:$A$32,MATCH(6,'Workbook Set-up'!$D$21:$D$32,0)))</f>
        <v>IDD Day Activity Continuation Authorization</v>
      </c>
      <c r="E53" s="271"/>
      <c r="F53" s="265"/>
      <c r="G53" s="266"/>
    </row>
    <row r="54" spans="1:8" ht="12.75">
      <c r="A54" s="72"/>
      <c r="B54" s="72"/>
      <c r="C54" s="94"/>
      <c r="D54" s="283" t="str">
        <f>IF(ISNA(MATCH(7,'Workbook Set-up'!$D$21:$D$32,0)),"",INDEX('Workbook Set-up'!$A$21:$A$32,MATCH(7,'Workbook Set-up'!$D$21:$D$32,0)))</f>
        <v>IDD Day Supports Initial Authorization</v>
      </c>
      <c r="E54" s="271"/>
      <c r="F54" s="265"/>
      <c r="G54" s="266"/>
    </row>
    <row r="55" spans="1:8" ht="12.75">
      <c r="A55" s="72"/>
      <c r="B55" s="72"/>
      <c r="C55" s="94"/>
      <c r="D55" s="283" t="str">
        <f>IF(ISNA(MATCH(8,'Workbook Set-up'!$D$21:$D$32,0)),"",INDEX('Workbook Set-up'!$A$21:$A$32,MATCH(8,'Workbook Set-up'!$D$21:$D$32,0)))</f>
        <v>IDD Day Supports Continuation Authorization</v>
      </c>
      <c r="E55" s="271"/>
      <c r="F55" s="265"/>
      <c r="G55" s="266"/>
    </row>
    <row r="56" spans="1:8" ht="12.75">
      <c r="A56" s="72"/>
      <c r="B56" s="72"/>
      <c r="C56" s="94"/>
      <c r="D56" s="283" t="str">
        <f>IF(ISNA(MATCH(9,'Workbook Set-up'!$D$21:$D$32,0)),"",INDEX('Workbook Set-up'!$A$21:$A$32,MATCH(9,'Workbook Set-up'!$D$21:$D$32,0)))</f>
        <v>IDD CAET-Community Activity and Employment Transitions Initial Authorization</v>
      </c>
      <c r="E56" s="271"/>
      <c r="F56" s="265"/>
      <c r="G56" s="266"/>
    </row>
    <row r="57" spans="1:8" ht="12.75">
      <c r="A57" s="72"/>
      <c r="B57" s="72"/>
      <c r="C57" s="94"/>
      <c r="D57" s="283" t="str">
        <f>IF(ISNA(MATCH(10,'Workbook Set-up'!$D$21:$D$32,0)),"",INDEX('Workbook Set-up'!$A$21:$A$32,MATCH(10,'Workbook Set-up'!$D$21:$D$32,0)))</f>
        <v>IDD CAET-Community Activity and Employment Transitions Continuation Authorization</v>
      </c>
      <c r="E57" s="271"/>
      <c r="F57" s="265"/>
      <c r="G57" s="266"/>
    </row>
    <row r="58" spans="1:8" ht="12.75">
      <c r="A58" s="72"/>
      <c r="B58" s="72"/>
      <c r="C58" s="94"/>
      <c r="D58" s="283" t="str">
        <f>IF(ISNA(MATCH(11,'Workbook Set-up'!$D$21:$D$32,0)),"",INDEX('Workbook Set-up'!$A$21:$A$32,MATCH(11,'Workbook Set-up'!$D$21:$D$32,0)))</f>
        <v/>
      </c>
      <c r="E58" s="271"/>
      <c r="F58" s="265"/>
      <c r="G58" s="266"/>
    </row>
    <row r="59" spans="1:8" ht="12.75">
      <c r="A59" s="72"/>
      <c r="B59" s="72"/>
      <c r="C59" s="94"/>
      <c r="D59" s="283" t="str">
        <f>IF(ISNA(MATCH(12,'Workbook Set-up'!$D$21:$D$32,0)),"",INDEX('Workbook Set-up'!$A$21:$A$32,MATCH(12,'Workbook Set-up'!$D$21:$D$32,0)))</f>
        <v/>
      </c>
      <c r="E59" s="271"/>
      <c r="F59" s="265"/>
      <c r="G59" s="266"/>
    </row>
    <row r="60" spans="1:8" ht="12.75">
      <c r="A60" s="72"/>
      <c r="B60" s="72"/>
      <c r="C60" s="94"/>
      <c r="D60" s="283" t="str">
        <f>IF(ISNA(MATCH(13,'Workbook Set-up'!$D$21:$D$32,0)),"",INDEX('Workbook Set-up'!$A$21:$A$32,MATCH(13,'Workbook Set-up'!$D$21:$D$32,0)))</f>
        <v/>
      </c>
      <c r="E60" s="271"/>
      <c r="F60" s="265"/>
      <c r="G60" s="266"/>
    </row>
    <row r="61" spans="1:8" ht="12.75">
      <c r="A61" s="72"/>
      <c r="B61" s="72"/>
      <c r="C61" s="94"/>
      <c r="D61" s="283" t="str">
        <f>IF(ISNA(MATCH(14,'Workbook Set-up'!$D$21:$D$32,0)),"",INDEX('Workbook Set-up'!$A$21:$A$32,MATCH(14,'Workbook Set-up'!$D$21:$D$32,0)))</f>
        <v/>
      </c>
      <c r="E61" s="271"/>
      <c r="F61" s="265"/>
      <c r="G61" s="266"/>
    </row>
    <row r="62" spans="1:8" ht="16.7" customHeight="1" thickBot="1">
      <c r="A62" s="72"/>
      <c r="B62" s="72"/>
      <c r="C62" s="94"/>
      <c r="D62" s="169"/>
      <c r="E62" s="272"/>
      <c r="F62" s="265"/>
      <c r="G62" s="266"/>
    </row>
    <row r="63" spans="1:8" ht="12.75">
      <c r="A63" s="72"/>
      <c r="B63" s="94"/>
      <c r="C63" s="72"/>
      <c r="D63" s="72"/>
    </row>
    <row r="64" spans="1:8" ht="30.4" customHeight="1">
      <c r="A64" s="569" t="s">
        <v>164</v>
      </c>
      <c r="B64" s="569"/>
      <c r="C64" s="569"/>
      <c r="D64" s="569"/>
      <c r="E64" s="569"/>
      <c r="F64" s="569"/>
      <c r="G64" s="569"/>
      <c r="H64" s="569"/>
    </row>
    <row r="65" spans="1:8" ht="12.75">
      <c r="A65" s="72"/>
      <c r="B65" s="94"/>
      <c r="C65" s="173"/>
      <c r="D65" s="72"/>
    </row>
    <row r="66" spans="1:8" s="99" customFormat="1" ht="80.25" customHeight="1">
      <c r="A66" s="569" t="s">
        <v>307</v>
      </c>
      <c r="B66" s="569"/>
      <c r="C66" s="569"/>
      <c r="D66" s="569"/>
      <c r="E66" s="569"/>
      <c r="F66" s="569"/>
      <c r="G66" s="569"/>
      <c r="H66" s="569"/>
    </row>
    <row r="67" spans="1:8" ht="15">
      <c r="A67" s="72"/>
      <c r="B67" s="94"/>
      <c r="C67" s="164"/>
      <c r="D67" s="164"/>
    </row>
    <row r="68" spans="1:8" s="106" customFormat="1" ht="30.4" customHeight="1">
      <c r="A68" s="556" t="s">
        <v>187</v>
      </c>
      <c r="B68" s="556"/>
      <c r="C68" s="556"/>
      <c r="D68" s="556"/>
      <c r="E68" s="556"/>
      <c r="F68" s="556"/>
      <c r="G68" s="556"/>
      <c r="H68" s="556"/>
    </row>
    <row r="69" spans="1:8" ht="16.7" customHeight="1">
      <c r="A69" s="72"/>
      <c r="B69" s="94"/>
      <c r="C69" s="164"/>
      <c r="D69" s="164"/>
    </row>
    <row r="70" spans="1:8" ht="20.25">
      <c r="A70" s="287" t="s">
        <v>180</v>
      </c>
      <c r="B70" s="287"/>
      <c r="C70" s="287"/>
      <c r="D70" s="287"/>
      <c r="E70" s="288"/>
      <c r="F70" s="289"/>
      <c r="G70" s="290"/>
      <c r="H70" s="290"/>
    </row>
    <row r="71" spans="1:8" ht="10.15" customHeight="1">
      <c r="A71" s="284"/>
      <c r="B71" s="94"/>
      <c r="C71" s="164"/>
      <c r="D71" s="164"/>
    </row>
    <row r="72" spans="1:8" ht="12.75">
      <c r="A72" s="284"/>
      <c r="B72" s="94"/>
      <c r="C72" s="87" t="s">
        <v>165</v>
      </c>
      <c r="D72" s="165" t="str">
        <f>IF('Workbook Set-up'!B4="","",'Workbook Set-up'!B4)</f>
        <v>Trillium Health Resources</v>
      </c>
    </row>
    <row r="73" spans="1:8" ht="12.75">
      <c r="A73" s="284"/>
      <c r="B73" s="94"/>
      <c r="C73" s="87" t="s">
        <v>161</v>
      </c>
      <c r="D73" s="166" t="str">
        <f>IF(AND('Workbook Set-up'!$B$13="",'Workbook Set-up'!$B$14=""),"",IF('Workbook Set-up'!$B$13='Workbook Set-up'!$B$14,TEXT('Workbook Set-up'!$B$13,"m/d/yyyy"),IF('Workbook Set-up'!$B$13&lt;&gt;'Workbook Set-up'!$B$14,TEXT('Workbook Set-up'!$B$13,"m/d/yyyy")&amp;" to "&amp;TEXT('Workbook Set-up'!$B$14,"m/d/yyyy"),"")))</f>
        <v>7/15/2019</v>
      </c>
    </row>
    <row r="74" spans="1:8" ht="12.75">
      <c r="A74" s="284"/>
      <c r="B74" s="94"/>
      <c r="C74" s="87" t="s">
        <v>154</v>
      </c>
      <c r="D74" s="165" t="str">
        <f>IF('Workbook Set-up'!B5="","",'Workbook Set-up'!B5)</f>
        <v>LaToya Chancey</v>
      </c>
    </row>
    <row r="75" spans="1:8" ht="12.75">
      <c r="A75" s="284"/>
      <c r="B75" s="94"/>
      <c r="C75" s="87" t="s">
        <v>153</v>
      </c>
      <c r="D75" s="255" t="str">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Rachel Noell, Mya Lewis</v>
      </c>
    </row>
    <row r="76" spans="1:8" ht="15">
      <c r="A76" s="284"/>
      <c r="B76" s="94"/>
      <c r="C76" s="164"/>
      <c r="D76" s="164"/>
    </row>
    <row r="77" spans="1:8" ht="15">
      <c r="A77" s="284"/>
      <c r="B77" s="94"/>
      <c r="C77" s="173" t="s">
        <v>156</v>
      </c>
      <c r="D77" s="164"/>
    </row>
    <row r="78" spans="1:8" ht="15">
      <c r="A78" s="284"/>
      <c r="B78" s="94"/>
      <c r="C78" s="173" t="s">
        <v>157</v>
      </c>
      <c r="D78" s="164"/>
    </row>
    <row r="79" spans="1:8" ht="15">
      <c r="A79" s="284"/>
      <c r="B79" s="94"/>
      <c r="C79" s="173" t="s">
        <v>155</v>
      </c>
      <c r="D79" s="164"/>
    </row>
    <row r="80" spans="1:8" ht="15">
      <c r="A80" s="284"/>
      <c r="B80" s="94"/>
      <c r="C80" s="164"/>
      <c r="D80" s="164"/>
    </row>
    <row r="82" spans="1:11" s="8" customFormat="1">
      <c r="A82" s="557" t="s">
        <v>263</v>
      </c>
      <c r="B82" s="558"/>
      <c r="C82" s="558"/>
      <c r="D82" s="558"/>
      <c r="E82" s="559"/>
      <c r="F82" s="267"/>
    </row>
    <row r="83" spans="1:11" s="8" customFormat="1" ht="12.75">
      <c r="A83" s="80"/>
      <c r="B83" s="72"/>
      <c r="C83" s="72"/>
      <c r="D83" s="72"/>
      <c r="E83" s="273"/>
      <c r="F83" s="267"/>
    </row>
    <row r="84" spans="1:11" s="8" customFormat="1" ht="13.5" thickBot="1">
      <c r="A84" s="80"/>
      <c r="B84" s="87"/>
      <c r="C84" s="72"/>
      <c r="D84" s="72"/>
      <c r="E84" s="274" t="s">
        <v>36</v>
      </c>
      <c r="F84" s="267"/>
    </row>
    <row r="85" spans="1:11" s="8" customFormat="1" ht="13.5" thickTop="1">
      <c r="A85" s="80">
        <v>1</v>
      </c>
      <c r="B85" s="83" t="s">
        <v>222</v>
      </c>
      <c r="C85" s="90"/>
      <c r="D85" s="72"/>
      <c r="E85" s="275" t="str">
        <f>IF(SUM('Support Employ Initial'!I9,'Support Employ Initial'!K9)=0,"",'Support Employ Initial'!I9/SUM('Support Employ Initial'!I9,'Support Employ Initial'!K9))</f>
        <v/>
      </c>
      <c r="F85" s="268" t="str">
        <f>IF(E85=0,"POC Required",IF(E85&gt;=0.83,"POC Not Required","POC Required"))</f>
        <v>POC Not Required</v>
      </c>
      <c r="J85" s="291" t="str">
        <f>IF(F85="POC Required",ROW(),"")</f>
        <v/>
      </c>
      <c r="K85" s="291" t="str">
        <f>IF(J85="","",RANK(J85,$J$85:$J$88,-1))</f>
        <v/>
      </c>
    </row>
    <row r="86" spans="1:11" s="8" customFormat="1" ht="12.75">
      <c r="A86" s="80">
        <v>2</v>
      </c>
      <c r="B86" s="83" t="s">
        <v>216</v>
      </c>
      <c r="C86" s="90"/>
      <c r="D86" s="72"/>
      <c r="E86" s="275" t="str">
        <f>IF(SUM('Support Employ Initial'!I10,'Support Employ Initial'!K10)=0,"",'Support Employ Initial'!I10/SUM('Support Employ Initial'!I10,'Support Employ Initial'!K10))</f>
        <v/>
      </c>
      <c r="F86" s="268" t="str">
        <f>IF(E86=0,"POC Required",IF(E86&gt;=0.83,"POC Not Required","POC Required"))</f>
        <v>POC Not Required</v>
      </c>
      <c r="J86" s="291"/>
      <c r="K86" s="291"/>
    </row>
    <row r="87" spans="1:11" s="8" customFormat="1" ht="12.75">
      <c r="A87" s="80">
        <v>3</v>
      </c>
      <c r="B87" s="83" t="s">
        <v>220</v>
      </c>
      <c r="C87" s="90"/>
      <c r="D87" s="72"/>
      <c r="E87" s="275" t="str">
        <f>IF(SUM('Support Employ Initial'!I12,'Support Employ Initial'!K12)=0,"",'Support Employ Initial'!I12/SUM('Support Employ Initial'!I12,'Support Employ Initial'!K12))</f>
        <v/>
      </c>
      <c r="F87" s="268" t="str">
        <f>IF(E87=0,"POC Required",IF(E87&gt;=0.83,"POC Not Required","POC Required"))</f>
        <v>POC Not Required</v>
      </c>
      <c r="J87" s="291"/>
      <c r="K87" s="291"/>
    </row>
    <row r="88" spans="1:11" s="8" customFormat="1" ht="43.9" customHeight="1">
      <c r="A88" s="80">
        <v>4</v>
      </c>
      <c r="B88" s="560" t="s">
        <v>333</v>
      </c>
      <c r="C88" s="560"/>
      <c r="D88" s="561"/>
      <c r="E88" s="275" t="str">
        <f>IF(SUM('Support Employ Initial'!I13,'Support Employ Initial'!K13)=0,"",'Support Employ Initial'!I13/SUM('Support Employ Initial'!I13,'Support Employ Initial'!K13))</f>
        <v/>
      </c>
      <c r="F88" s="268" t="str">
        <f>IF(E88=0,"POC Required",IF(E88&gt;=0.83,"POC Not Required","POC Required"))</f>
        <v>POC Not Required</v>
      </c>
      <c r="J88" s="291" t="str">
        <f t="shared" ref="J88" si="0">IF(F88="POC Required",ROW(),"")</f>
        <v/>
      </c>
      <c r="K88" s="291" t="str">
        <f>IF(J88="","",RANK(J88,$J$85:$J$88,-1))</f>
        <v/>
      </c>
    </row>
    <row r="89" spans="1:11" s="8" customFormat="1" ht="12.75">
      <c r="A89" s="80"/>
      <c r="B89" s="93"/>
      <c r="C89" s="72"/>
      <c r="D89" s="72"/>
      <c r="E89" s="273"/>
      <c r="F89" s="267"/>
    </row>
    <row r="90" spans="1:11" s="8" customFormat="1" ht="12.75">
      <c r="A90" s="80"/>
      <c r="B90" s="72"/>
      <c r="C90" s="72"/>
      <c r="D90" s="104" t="s">
        <v>37</v>
      </c>
      <c r="E90" s="276">
        <f>'OVERALL SUMMARY'!L20</f>
        <v>0</v>
      </c>
      <c r="F90" s="267"/>
    </row>
    <row r="91" spans="1:11" s="8" customFormat="1" ht="12.75">
      <c r="A91" s="84"/>
      <c r="B91" s="85"/>
      <c r="C91" s="85"/>
      <c r="D91" s="85"/>
      <c r="E91" s="277"/>
      <c r="F91" s="267"/>
    </row>
    <row r="92" spans="1:11" s="8" customFormat="1" ht="12.75">
      <c r="A92" s="85"/>
      <c r="B92" s="72"/>
      <c r="C92" s="72"/>
      <c r="D92" s="72"/>
      <c r="E92" s="278"/>
      <c r="F92" s="267"/>
    </row>
    <row r="93" spans="1:11" s="8" customFormat="1">
      <c r="A93" s="557" t="s">
        <v>264</v>
      </c>
      <c r="B93" s="558"/>
      <c r="C93" s="558"/>
      <c r="D93" s="558"/>
      <c r="E93" s="559"/>
      <c r="F93" s="267"/>
    </row>
    <row r="94" spans="1:11" s="8" customFormat="1" ht="12.75">
      <c r="A94" s="80"/>
      <c r="B94" s="72"/>
      <c r="C94" s="72"/>
      <c r="D94" s="72"/>
      <c r="E94" s="273"/>
      <c r="F94" s="267"/>
    </row>
    <row r="95" spans="1:11" s="8" customFormat="1" ht="13.5" thickBot="1">
      <c r="A95" s="80"/>
      <c r="B95" s="87"/>
      <c r="C95" s="72"/>
      <c r="D95" s="72"/>
      <c r="E95" s="274" t="s">
        <v>36</v>
      </c>
      <c r="F95" s="267"/>
    </row>
    <row r="96" spans="1:11" s="8" customFormat="1" ht="13.5" thickTop="1">
      <c r="A96" s="80">
        <v>1</v>
      </c>
      <c r="B96" s="83" t="s">
        <v>222</v>
      </c>
      <c r="C96" s="90"/>
      <c r="D96" s="72"/>
      <c r="E96" s="275" t="str">
        <f>IF(SUM('Support Employ Continuation'!I9,'Support Employ Continuation'!K9)=0,"",'Support Employ Continuation'!I9/SUM('Support Employ Continuation'!I9,'Support Employ Continuation'!K9))</f>
        <v/>
      </c>
      <c r="F96" s="268" t="str">
        <f>IF(E96=0,"POC Required",IF(E96&gt;=0.83,"POC Not Required","POC Required"))</f>
        <v>POC Not Required</v>
      </c>
      <c r="J96" s="291" t="str">
        <f>IF(F96="POC Required",ROW(),"")</f>
        <v/>
      </c>
      <c r="K96" s="291" t="str">
        <f>IF(J96="","",RANK(J96,$J$96:$J$98,-1))</f>
        <v/>
      </c>
    </row>
    <row r="97" spans="1:15" s="8" customFormat="1" ht="12.75">
      <c r="A97" s="80">
        <v>2</v>
      </c>
      <c r="B97" s="83" t="s">
        <v>220</v>
      </c>
      <c r="C97" s="90"/>
      <c r="D97" s="72"/>
      <c r="E97" s="275" t="str">
        <f>IF(SUM('Support Employ Continuation'!I12,'Support Employ Continuation'!K12)=0,"",'Support Employ Continuation'!I12/SUM('Support Employ Continuation'!I12,'Support Employ Continuation'!K12))</f>
        <v/>
      </c>
      <c r="F97" s="268" t="str">
        <f>IF(E97=0,"POC Required",IF(E97&gt;=0.83,"POC Not Required","POC Required"))</f>
        <v>POC Not Required</v>
      </c>
      <c r="J97" s="291" t="str">
        <f>IF(F97="POC Required",ROW(),"")</f>
        <v/>
      </c>
      <c r="K97" s="291" t="str">
        <f>IF(J97="","",RANK(J97,$J$96:$J$98,-1))</f>
        <v/>
      </c>
    </row>
    <row r="98" spans="1:15" s="8" customFormat="1" ht="32.1" customHeight="1">
      <c r="A98" s="80">
        <v>3</v>
      </c>
      <c r="B98" s="564" t="s">
        <v>364</v>
      </c>
      <c r="C98" s="565"/>
      <c r="D98" s="566"/>
      <c r="E98" s="275" t="str">
        <f>IF(SUM('Support Employ Continuation'!I13,'Support Employ Continuation'!K13)=0,"",'Support Employ Continuation'!I13/SUM('Support Employ Continuation'!I13,'Support Employ Continuation'!K13))</f>
        <v/>
      </c>
      <c r="F98" s="268"/>
      <c r="J98" s="291"/>
      <c r="K98" s="291"/>
      <c r="O98" s="72"/>
    </row>
    <row r="99" spans="1:15" s="8" customFormat="1" ht="12.75">
      <c r="A99" s="80"/>
      <c r="B99" s="93"/>
      <c r="C99" s="72"/>
      <c r="D99" s="72"/>
      <c r="E99" s="273"/>
      <c r="F99" s="267"/>
      <c r="O99" s="72"/>
    </row>
    <row r="100" spans="1:15" s="8" customFormat="1" ht="12.75">
      <c r="A100" s="80"/>
      <c r="B100" s="72"/>
      <c r="C100" s="72"/>
      <c r="D100" s="104" t="s">
        <v>37</v>
      </c>
      <c r="E100" s="276">
        <f>'OVERALL SUMMARY'!L29</f>
        <v>0</v>
      </c>
      <c r="F100" s="267"/>
      <c r="O100" s="72"/>
    </row>
    <row r="101" spans="1:15" s="8" customFormat="1" ht="12.75">
      <c r="A101" s="84"/>
      <c r="B101" s="85"/>
      <c r="C101" s="85"/>
      <c r="D101" s="85"/>
      <c r="E101" s="277"/>
      <c r="F101" s="267"/>
      <c r="O101" s="492"/>
    </row>
    <row r="102" spans="1:15" s="8" customFormat="1" ht="12.75">
      <c r="A102" s="85"/>
      <c r="B102" s="72"/>
      <c r="C102" s="72"/>
      <c r="D102" s="72"/>
      <c r="E102" s="278"/>
      <c r="F102" s="267"/>
      <c r="O102" s="526"/>
    </row>
    <row r="103" spans="1:15" s="8" customFormat="1">
      <c r="A103" s="557" t="s">
        <v>383</v>
      </c>
      <c r="B103" s="558"/>
      <c r="C103" s="558"/>
      <c r="D103" s="558"/>
      <c r="E103" s="559"/>
      <c r="F103" s="267"/>
      <c r="O103" s="492"/>
    </row>
    <row r="104" spans="1:15" s="8" customFormat="1" ht="12.75">
      <c r="A104" s="80"/>
      <c r="B104" s="72"/>
      <c r="C104" s="72"/>
      <c r="D104" s="72"/>
      <c r="E104" s="273"/>
      <c r="F104" s="267"/>
      <c r="O104" s="72"/>
    </row>
    <row r="105" spans="1:15" s="8" customFormat="1" ht="12.75">
      <c r="A105" s="80"/>
      <c r="B105" s="87"/>
      <c r="C105" s="72"/>
      <c r="D105" s="72"/>
      <c r="E105" s="531" t="s">
        <v>36</v>
      </c>
      <c r="F105" s="267"/>
      <c r="O105" s="72"/>
    </row>
    <row r="106" spans="1:15" s="8" customFormat="1" ht="12.75">
      <c r="A106" s="80">
        <v>1</v>
      </c>
      <c r="B106" s="83" t="s">
        <v>222</v>
      </c>
      <c r="C106" s="90"/>
      <c r="D106" s="72"/>
      <c r="E106" s="532" t="str">
        <f>IF(SUM('LTVS Initial'!I9,'LTVS Initial'!K9)=0,"",'LTVS Initial'!I9/SUM('LTVS Initial'!I9,'LTVS Initial'!K9))</f>
        <v/>
      </c>
      <c r="F106" s="268" t="str">
        <f>IF(E106=0,"POC Required",IF(E106&gt;=0.83,"POC Not Required","POC Required"))</f>
        <v>POC Not Required</v>
      </c>
    </row>
    <row r="107" spans="1:15" s="8" customFormat="1" ht="12.75">
      <c r="A107" s="72">
        <v>2</v>
      </c>
      <c r="B107" s="83" t="s">
        <v>220</v>
      </c>
      <c r="C107" s="90"/>
      <c r="D107" s="72"/>
      <c r="E107" s="532" t="str">
        <f>IF(SUM('LTVS Initial'!I12,'LTVS Initial'!K12)=0,"",'LTVS Initial'!I12/SUM('LTVS Initial'!I12,'LTVS Initial'!K12))</f>
        <v/>
      </c>
      <c r="F107" s="268" t="str">
        <f>IF(E107=0,"POC Required",IF(E107&gt;=0.83,"POC Not Required","POC Required"))</f>
        <v>POC Not Required</v>
      </c>
    </row>
    <row r="108" spans="1:15" s="8" customFormat="1" ht="17.100000000000001" customHeight="1">
      <c r="A108" s="72">
        <v>3</v>
      </c>
      <c r="B108" s="570" t="s">
        <v>381</v>
      </c>
      <c r="C108" s="570"/>
      <c r="D108" s="570"/>
      <c r="E108" s="532" t="str">
        <f>IF(SUM('LTVS Initial'!I13,'LTVS Initial'!K13)=0,"",'LTVS Initial'!I13/SUM('LTVS Initial'!I13,'LTVS Initial'!K13))</f>
        <v/>
      </c>
      <c r="F108" s="268" t="str">
        <f>IF(E108=0,"POC Required",IF(E108&gt;=0.83,"POC Not Required","POC Required"))</f>
        <v>POC Not Required</v>
      </c>
    </row>
    <row r="109" spans="1:15" s="8" customFormat="1" ht="32.85" customHeight="1">
      <c r="A109" s="72">
        <v>4</v>
      </c>
      <c r="B109" s="560" t="s">
        <v>382</v>
      </c>
      <c r="C109" s="560"/>
      <c r="D109" s="560"/>
      <c r="E109" s="532" t="str">
        <f>IF(SUM('LTVS Initial'!I14,'LTVS Initial'!K14)=0,"",'LTVS Initial'!I14/SUM('LTVS Initial'!I14,'LTVS Initial'!K14))</f>
        <v/>
      </c>
      <c r="F109" s="268" t="str">
        <f>IF(E109=0,"POC Required",IF(E109&gt;=0.83,"POC Not Required","POC Required"))</f>
        <v>POC Not Required</v>
      </c>
    </row>
    <row r="110" spans="1:15" s="8" customFormat="1" ht="12.75">
      <c r="A110" s="80"/>
      <c r="B110" s="93"/>
      <c r="C110" s="72"/>
      <c r="D110" s="72"/>
      <c r="E110" s="273"/>
      <c r="F110" s="267"/>
    </row>
    <row r="111" spans="1:15" s="8" customFormat="1" ht="12.75">
      <c r="A111" s="80"/>
      <c r="B111" s="72"/>
      <c r="C111" s="72"/>
      <c r="D111" s="104" t="s">
        <v>37</v>
      </c>
      <c r="E111" s="276">
        <f>'OVERALL SUMMARY'!L66</f>
        <v>0</v>
      </c>
      <c r="F111" s="267"/>
    </row>
    <row r="112" spans="1:15" s="8" customFormat="1" ht="12.75">
      <c r="A112" s="84"/>
      <c r="B112" s="85"/>
      <c r="C112" s="85"/>
      <c r="D112" s="85"/>
      <c r="E112" s="277"/>
      <c r="F112" s="267"/>
    </row>
    <row r="113" spans="1:11" s="8" customFormat="1">
      <c r="A113" s="557" t="s">
        <v>384</v>
      </c>
      <c r="B113" s="558"/>
      <c r="C113" s="558"/>
      <c r="D113" s="558"/>
      <c r="E113" s="559"/>
      <c r="F113" s="267"/>
    </row>
    <row r="114" spans="1:11" s="8" customFormat="1" ht="12.75">
      <c r="A114" s="80"/>
      <c r="B114" s="72"/>
      <c r="C114" s="72"/>
      <c r="D114" s="72"/>
      <c r="E114" s="273"/>
      <c r="F114" s="267"/>
    </row>
    <row r="115" spans="1:11" s="8" customFormat="1" ht="12.75">
      <c r="A115" s="80"/>
      <c r="B115" s="87"/>
      <c r="C115" s="72"/>
      <c r="D115" s="72"/>
      <c r="E115" s="531" t="s">
        <v>36</v>
      </c>
      <c r="F115" s="267"/>
    </row>
    <row r="116" spans="1:11" s="8" customFormat="1" ht="12.75">
      <c r="A116" s="80">
        <v>1</v>
      </c>
      <c r="B116" s="83" t="s">
        <v>222</v>
      </c>
      <c r="C116" s="90"/>
      <c r="D116" s="72"/>
      <c r="E116" s="532" t="str">
        <f>IF(SUM('LTVS Continuation'!I9,'LTVS Continuation'!K9)=0,"",'LTVS Continuation'!I9/SUM('LTVS Continuation'!I9,'LTVS Continuation'!K9))</f>
        <v/>
      </c>
      <c r="F116" s="268" t="str">
        <f>IF(E116=0,"POC Required",IF(E116&gt;=0.83,"POC Not Required","POC Required"))</f>
        <v>POC Not Required</v>
      </c>
    </row>
    <row r="117" spans="1:11" s="8" customFormat="1" ht="12.75">
      <c r="A117" s="72">
        <v>2</v>
      </c>
      <c r="B117" s="83" t="s">
        <v>220</v>
      </c>
      <c r="C117" s="90"/>
      <c r="D117" s="72"/>
      <c r="E117" s="532" t="str">
        <f>IF(SUM('LTVS Continuation'!I12,'LTVS Continuation'!K12)=0,"",'LTVS Continuation'!I12/SUM('LTVS Continuation'!I12,'LTVS Continuation'!K12))</f>
        <v/>
      </c>
      <c r="F117" s="268" t="str">
        <f>IF(E117=0,"POC Required",IF(E117&gt;=0.83,"POC Not Required","POC Required"))</f>
        <v>POC Not Required</v>
      </c>
    </row>
    <row r="118" spans="1:11" s="8" customFormat="1" ht="12.75">
      <c r="A118" s="72">
        <v>3</v>
      </c>
      <c r="B118" s="570" t="s">
        <v>381</v>
      </c>
      <c r="C118" s="570"/>
      <c r="D118" s="570"/>
      <c r="E118" s="532" t="str">
        <f>IF(SUM('LTVS Continuation'!I13,'LTVS Continuation'!K13)=0,"",'LTVS Continuation'!I13/SUM('LTVS Continuation'!I13,'LTVS Continuation'!K13))</f>
        <v/>
      </c>
      <c r="F118" s="268" t="str">
        <f>IF(E118=0,"POC Required",IF(E118&gt;=0.83,"POC Not Required","POC Required"))</f>
        <v>POC Not Required</v>
      </c>
    </row>
    <row r="119" spans="1:11" s="8" customFormat="1" ht="12.75">
      <c r="A119" s="72">
        <v>4</v>
      </c>
      <c r="B119" s="560" t="s">
        <v>382</v>
      </c>
      <c r="C119" s="560"/>
      <c r="D119" s="560"/>
      <c r="E119" s="532" t="str">
        <f>IF(SUM('LTVS Continuation'!I14,'LTVS Continuation'!K14)=0,"",'LTVS Continuation'!I14/SUM('LTVS Continuation'!I14,'LTVS Continuation'!K14))</f>
        <v/>
      </c>
      <c r="F119" s="268"/>
    </row>
    <row r="120" spans="1:11" s="8" customFormat="1" ht="32.1" customHeight="1">
      <c r="A120" s="72">
        <v>5</v>
      </c>
      <c r="B120" s="560" t="s">
        <v>385</v>
      </c>
      <c r="C120" s="560"/>
      <c r="D120" s="560"/>
      <c r="E120" s="532" t="str">
        <f>IF(SUM('LTVS Continuation'!I15,'LTVS Continuation'!K15)=0,"",'LTVS Continuation'!I15/SUM('LTVS Continuation'!I15,'LTVS Continuation'!K15))</f>
        <v/>
      </c>
      <c r="F120" s="268" t="str">
        <f>IF(E120=0,"POC Required",IF(E120&gt;=0.83,"POC Not Required","POC Required"))</f>
        <v>POC Not Required</v>
      </c>
    </row>
    <row r="121" spans="1:11" s="8" customFormat="1" ht="12.75">
      <c r="A121" s="80"/>
      <c r="B121" s="93"/>
      <c r="C121" s="72"/>
      <c r="D121" s="72"/>
      <c r="E121" s="273"/>
      <c r="F121" s="267"/>
    </row>
    <row r="122" spans="1:11" s="8" customFormat="1" ht="12.75">
      <c r="A122" s="80"/>
      <c r="B122" s="72"/>
      <c r="C122" s="72"/>
      <c r="D122" s="104" t="s">
        <v>37</v>
      </c>
      <c r="E122" s="276">
        <f>'OVERALL SUMMARY'!L76</f>
        <v>0</v>
      </c>
      <c r="F122" s="267"/>
    </row>
    <row r="123" spans="1:11" s="8" customFormat="1" ht="12.75">
      <c r="A123" s="85"/>
      <c r="B123" s="72"/>
      <c r="C123" s="72"/>
      <c r="D123" s="72"/>
      <c r="E123" s="278"/>
      <c r="F123" s="267"/>
    </row>
    <row r="124" spans="1:11" s="8" customFormat="1">
      <c r="A124" s="557" t="s">
        <v>265</v>
      </c>
      <c r="B124" s="558"/>
      <c r="C124" s="558"/>
      <c r="D124" s="558"/>
      <c r="E124" s="559"/>
      <c r="F124" s="267"/>
    </row>
    <row r="125" spans="1:11" s="8" customFormat="1" ht="12.75">
      <c r="A125" s="80"/>
      <c r="B125" s="72"/>
      <c r="C125" s="72"/>
      <c r="D125" s="72"/>
      <c r="E125" s="273"/>
      <c r="F125" s="267"/>
    </row>
    <row r="126" spans="1:11" s="8" customFormat="1" ht="13.5" thickBot="1">
      <c r="A126" s="80"/>
      <c r="B126" s="87"/>
      <c r="C126" s="72"/>
      <c r="D126" s="72"/>
      <c r="E126" s="274" t="s">
        <v>36</v>
      </c>
      <c r="F126" s="267"/>
    </row>
    <row r="127" spans="1:11" s="8" customFormat="1" ht="13.5" thickTop="1">
      <c r="A127" s="80">
        <v>1</v>
      </c>
      <c r="B127" s="83" t="s">
        <v>222</v>
      </c>
      <c r="C127" s="90"/>
      <c r="D127" s="72"/>
      <c r="E127" s="275" t="str">
        <f>IF(SUM('Dev Day Initial'!I11,'Dev Day Initial'!K11)=0,"",'Dev Day Initial'!I11/SUM('Dev Day Initial'!I11,'Dev Day Initial'!K11))</f>
        <v/>
      </c>
      <c r="F127" s="268" t="str">
        <f>IF(E127=0,"POC Required",IF(E127&gt;=0.83,"POC Not Required","POC Required"))</f>
        <v>POC Not Required</v>
      </c>
      <c r="J127" s="291" t="str">
        <f>IF(F127="POC Required",ROW(),"")</f>
        <v/>
      </c>
      <c r="K127" s="291" t="str">
        <f>IF(J127="","",RANK(J127,$J$127:$J$129,-1))</f>
        <v/>
      </c>
    </row>
    <row r="128" spans="1:11" s="8" customFormat="1" ht="12.75">
      <c r="A128" s="80">
        <v>2</v>
      </c>
      <c r="B128" s="83" t="s">
        <v>220</v>
      </c>
      <c r="C128" s="90"/>
      <c r="D128" s="72"/>
      <c r="E128" s="275" t="str">
        <f>IF(SUM('Dev Day Initial'!I12,'Dev Day Initial'!K12)=0,"",'Dev Day Initial'!I12/SUM('Dev Day Initial'!I12,'Dev Day Initial'!K12))</f>
        <v/>
      </c>
      <c r="F128" s="268" t="str">
        <f>IF(E128=0,"POC Required",IF(E128&gt;=0.83,"POC Not Required","POC Required"))</f>
        <v>POC Not Required</v>
      </c>
      <c r="J128" s="291"/>
      <c r="K128" s="291"/>
    </row>
    <row r="129" spans="1:11" s="8" customFormat="1" ht="12.75">
      <c r="A129" s="80">
        <v>3</v>
      </c>
      <c r="B129" s="83" t="s">
        <v>216</v>
      </c>
      <c r="C129" s="90"/>
      <c r="D129" s="72"/>
      <c r="E129" s="275" t="str">
        <f>IF(SUM('Dev Day Initial'!I13,'Dev Day Initial'!K13)=0,"",'Dev Day Initial'!I13/SUM('Dev Day Initial'!I13,'Dev Day Initial'!K13))</f>
        <v/>
      </c>
      <c r="F129" s="268" t="str">
        <f>IF(E129=0,"POC Required",IF(E129&gt;=0.83,"POC Not Required","POC Required"))</f>
        <v>POC Not Required</v>
      </c>
      <c r="J129" s="291" t="str">
        <f t="shared" ref="J129" si="1">IF(F129="POC Required",ROW(),"")</f>
        <v/>
      </c>
      <c r="K129" s="291" t="str">
        <f>IF(J129="","",RANK(J129,$J$127:$J$129,-1))</f>
        <v/>
      </c>
    </row>
    <row r="130" spans="1:11" s="8" customFormat="1" ht="12.75">
      <c r="A130" s="80"/>
      <c r="B130" s="93"/>
      <c r="C130" s="72"/>
      <c r="D130" s="72"/>
      <c r="E130" s="273"/>
      <c r="F130" s="267"/>
    </row>
    <row r="131" spans="1:11" s="8" customFormat="1" ht="12.75">
      <c r="A131" s="80"/>
      <c r="B131" s="72"/>
      <c r="C131" s="72"/>
      <c r="D131" s="104" t="s">
        <v>37</v>
      </c>
      <c r="E131" s="276">
        <f>'OVERALL SUMMARY'!L63</f>
        <v>0</v>
      </c>
      <c r="F131" s="267"/>
    </row>
    <row r="132" spans="1:11" s="8" customFormat="1" ht="12.75">
      <c r="A132" s="84"/>
      <c r="B132" s="85"/>
      <c r="C132" s="85"/>
      <c r="D132" s="85"/>
      <c r="E132" s="277"/>
      <c r="F132" s="267"/>
    </row>
    <row r="133" spans="1:11" s="8" customFormat="1" ht="12.75">
      <c r="A133" s="85"/>
      <c r="B133" s="72"/>
      <c r="C133" s="72"/>
      <c r="D133" s="72"/>
      <c r="E133" s="278"/>
      <c r="F133" s="267"/>
    </row>
    <row r="134" spans="1:11" s="8" customFormat="1">
      <c r="A134" s="557" t="s">
        <v>308</v>
      </c>
      <c r="B134" s="558"/>
      <c r="C134" s="558"/>
      <c r="D134" s="558"/>
      <c r="E134" s="559"/>
      <c r="F134" s="267"/>
    </row>
    <row r="135" spans="1:11" s="8" customFormat="1" ht="12.75">
      <c r="A135" s="80"/>
      <c r="B135" s="72"/>
      <c r="C135" s="72"/>
      <c r="D135" s="72"/>
      <c r="E135" s="273"/>
      <c r="F135" s="267"/>
    </row>
    <row r="136" spans="1:11" s="8" customFormat="1" ht="13.5" thickBot="1">
      <c r="A136" s="80"/>
      <c r="B136" s="87"/>
      <c r="C136" s="72"/>
      <c r="D136" s="72"/>
      <c r="E136" s="274" t="s">
        <v>36</v>
      </c>
      <c r="F136" s="267"/>
    </row>
    <row r="137" spans="1:11" s="8" customFormat="1" ht="13.5" thickTop="1">
      <c r="A137" s="80">
        <v>1</v>
      </c>
      <c r="B137" s="83" t="s">
        <v>222</v>
      </c>
      <c r="C137" s="90"/>
      <c r="D137" s="72"/>
      <c r="E137" s="275" t="str">
        <f>IF(SUM('Day Activity Continuation'!I11,'Day Activity Continuation'!K11)=0,"",'Day Activity Continuation'!I11/SUM('Day Activity Continuation'!I11,'Day Activity Continuation'!K11))</f>
        <v/>
      </c>
      <c r="F137" s="268" t="str">
        <f>IF(E137=0,"POC Required",IF(E137&gt;=0.83,"POC Not Required","POC Required"))</f>
        <v>POC Not Required</v>
      </c>
      <c r="J137" s="291" t="str">
        <f>IF(F137="POC Required",ROW(),"")</f>
        <v/>
      </c>
      <c r="K137" s="291" t="str">
        <f>IF(J137="","",RANK(J137,$J$137:$J$140,-1))</f>
        <v/>
      </c>
    </row>
    <row r="138" spans="1:11" s="8" customFormat="1" ht="12.75">
      <c r="A138" s="80">
        <v>2</v>
      </c>
      <c r="B138" s="83" t="s">
        <v>220</v>
      </c>
      <c r="C138" s="90"/>
      <c r="D138" s="72"/>
      <c r="E138" s="275" t="str">
        <f>IF(SUM('Day Activity Continuation'!I12,'Day Activity Continuation'!K12)=0,"",'Day Activity Continuation'!I12/SUM('Day Activity Continuation'!I12,'Day Activity Continuation'!K12))</f>
        <v/>
      </c>
      <c r="F138" s="268" t="str">
        <f>IF(E138=0,"POC Required",IF(E138&gt;=0.83,"POC Not Required","POC Required"))</f>
        <v>POC Not Required</v>
      </c>
      <c r="J138" s="291" t="str">
        <f t="shared" ref="J138:J140" si="2">IF(F138="POC Required",ROW(),"")</f>
        <v/>
      </c>
      <c r="K138" s="291" t="str">
        <f t="shared" ref="K138:K140" si="3">IF(J138="","",RANK(J138,$J$137:$J$140,-1))</f>
        <v/>
      </c>
    </row>
    <row r="139" spans="1:11" s="8" customFormat="1" ht="12.75">
      <c r="A139" s="80">
        <v>3</v>
      </c>
      <c r="B139" s="83" t="s">
        <v>334</v>
      </c>
      <c r="C139" s="90"/>
      <c r="D139" s="72"/>
      <c r="E139" s="275" t="str">
        <f>IF(SUM('Day Activity Continuation'!I13,'Day Activity Continuation'!K13)=0,"",'Day Activity Continuation'!I13/SUM('Day Activity Continuation'!I13,'Day Activity Continuation'!K13))</f>
        <v/>
      </c>
      <c r="F139" s="268"/>
      <c r="J139" s="291"/>
      <c r="K139" s="291"/>
    </row>
    <row r="140" spans="1:11" s="8" customFormat="1" ht="28.9" customHeight="1">
      <c r="A140" s="80">
        <v>4</v>
      </c>
      <c r="B140" s="567" t="s">
        <v>261</v>
      </c>
      <c r="C140" s="562"/>
      <c r="D140" s="563"/>
      <c r="E140" s="275" t="str">
        <f>IF(SUM('Day Activity Continuation'!I16,'Day Activity Continuation'!K16)=0,"",'Day Activity Continuation'!I16/SUM('Day Activity Continuation'!I16,'Day Activity Continuation'!K16))</f>
        <v/>
      </c>
      <c r="F140" s="268" t="str">
        <f>IF(E140=0,"POC Required",IF(E140&gt;=0.83,"POC Not Required","POC Required"))</f>
        <v>POC Not Required</v>
      </c>
      <c r="J140" s="291" t="str">
        <f t="shared" si="2"/>
        <v/>
      </c>
      <c r="K140" s="291" t="str">
        <f t="shared" si="3"/>
        <v/>
      </c>
    </row>
    <row r="141" spans="1:11" s="8" customFormat="1" ht="12.75">
      <c r="A141" s="80"/>
      <c r="B141" s="93"/>
      <c r="C141" s="72"/>
      <c r="D141" s="72"/>
      <c r="E141" s="273"/>
      <c r="F141" s="267"/>
    </row>
    <row r="142" spans="1:11" s="8" customFormat="1" ht="12.75">
      <c r="A142" s="80"/>
      <c r="B142" s="72"/>
      <c r="C142" s="72"/>
      <c r="D142" s="104" t="s">
        <v>37</v>
      </c>
      <c r="E142" s="276">
        <f>'OVERALL SUMMARY'!L73</f>
        <v>0</v>
      </c>
      <c r="F142" s="267"/>
    </row>
    <row r="143" spans="1:11" s="8" customFormat="1" ht="12.75">
      <c r="A143" s="84"/>
      <c r="B143" s="85"/>
      <c r="C143" s="85"/>
      <c r="D143" s="85"/>
      <c r="E143" s="277"/>
      <c r="F143" s="267"/>
    </row>
    <row r="144" spans="1:11" s="8" customFormat="1" ht="12.75">
      <c r="A144" s="85"/>
      <c r="B144" s="72"/>
      <c r="C144" s="72"/>
      <c r="D144" s="72"/>
      <c r="E144" s="278"/>
      <c r="F144" s="267"/>
    </row>
    <row r="145" spans="1:11" s="8" customFormat="1">
      <c r="A145" s="557" t="s">
        <v>267</v>
      </c>
      <c r="B145" s="558"/>
      <c r="C145" s="558"/>
      <c r="D145" s="558"/>
      <c r="E145" s="559"/>
      <c r="F145" s="267"/>
    </row>
    <row r="146" spans="1:11" s="8" customFormat="1" ht="12.75">
      <c r="A146" s="80"/>
      <c r="B146" s="72"/>
      <c r="C146" s="72"/>
      <c r="D146" s="72"/>
      <c r="E146" s="273"/>
      <c r="F146" s="267"/>
    </row>
    <row r="147" spans="1:11" s="8" customFormat="1" ht="13.5" thickBot="1">
      <c r="A147" s="80"/>
      <c r="B147" s="87"/>
      <c r="C147" s="72"/>
      <c r="D147" s="72"/>
      <c r="E147" s="274" t="s">
        <v>36</v>
      </c>
      <c r="F147" s="267"/>
    </row>
    <row r="148" spans="1:11" s="8" customFormat="1" ht="13.5" thickTop="1">
      <c r="A148" s="80">
        <v>1</v>
      </c>
      <c r="B148" s="83" t="s">
        <v>222</v>
      </c>
      <c r="C148" s="90"/>
      <c r="D148" s="72"/>
      <c r="E148" s="275" t="str">
        <f>IF(SUM('Day Activity Initial'!I11,'Day Activity Initial'!K11)=0,"",'Day Activity Initial'!I11/SUM('Day Activity Initial'!I11,'Day Activity Initial'!K11))</f>
        <v/>
      </c>
      <c r="F148" s="268" t="str">
        <f>IF(E148=0,"POC Required",IF(E148&gt;=0.83,"POC Not Required","POC Required"))</f>
        <v>POC Not Required</v>
      </c>
      <c r="J148" s="291" t="str">
        <f>IF(F148="POC Required",ROW(),"")</f>
        <v/>
      </c>
      <c r="K148" s="291" t="str">
        <f>IF(J148="","",RANK(J148,$J$148:$J$150,-1))</f>
        <v/>
      </c>
    </row>
    <row r="149" spans="1:11" s="8" customFormat="1" ht="12.75">
      <c r="A149" s="80">
        <v>2</v>
      </c>
      <c r="B149" s="83" t="s">
        <v>220</v>
      </c>
      <c r="C149" s="90"/>
      <c r="D149" s="72"/>
      <c r="E149" s="275" t="str">
        <f>IF(SUM('Day Activity Initial'!I12,'Day Activity Initial'!K12)=0,"",'Day Activity Initial'!I12/SUM('Day Activity Initial'!I12,'Day Activity Initial'!K12))</f>
        <v/>
      </c>
      <c r="F149" s="268"/>
      <c r="J149" s="291"/>
      <c r="K149" s="291"/>
    </row>
    <row r="150" spans="1:11" s="8" customFormat="1" ht="12.75">
      <c r="A150" s="80">
        <v>3</v>
      </c>
      <c r="B150" s="83" t="s">
        <v>216</v>
      </c>
      <c r="C150" s="90"/>
      <c r="D150" s="72"/>
      <c r="E150" s="275" t="str">
        <f>IF(SUM('Day Activity Initial'!I13,'Day Activity Initial'!K13)=0,"",'Day Activity Initial'!I13/SUM('Day Activity Initial'!I13,'Day Activity Initial'!K13))</f>
        <v/>
      </c>
      <c r="F150" s="268"/>
      <c r="J150" s="291"/>
      <c r="K150" s="291"/>
    </row>
    <row r="151" spans="1:11" s="8" customFormat="1" ht="12.75">
      <c r="A151" s="80"/>
      <c r="B151" s="93"/>
      <c r="C151" s="72"/>
      <c r="D151" s="72"/>
      <c r="E151" s="273"/>
      <c r="F151" s="267"/>
    </row>
    <row r="152" spans="1:11" s="8" customFormat="1" ht="12.75">
      <c r="A152" s="80"/>
      <c r="B152" s="72"/>
      <c r="C152" s="72"/>
      <c r="D152" s="104" t="s">
        <v>37</v>
      </c>
      <c r="E152" s="276">
        <f>'OVERALL SUMMARY'!L83</f>
        <v>0</v>
      </c>
      <c r="F152" s="267"/>
    </row>
    <row r="153" spans="1:11" s="8" customFormat="1" ht="12.75">
      <c r="A153" s="84"/>
      <c r="B153" s="85"/>
      <c r="C153" s="85"/>
      <c r="D153" s="85"/>
      <c r="E153" s="277"/>
      <c r="F153" s="267"/>
    </row>
    <row r="154" spans="1:11" s="8" customFormat="1" ht="12.75">
      <c r="A154" s="85"/>
      <c r="B154" s="72"/>
      <c r="C154" s="72"/>
      <c r="D154" s="72"/>
      <c r="E154" s="278"/>
      <c r="F154" s="267"/>
    </row>
    <row r="155" spans="1:11" s="8" customFormat="1">
      <c r="A155" s="557" t="s">
        <v>268</v>
      </c>
      <c r="B155" s="558"/>
      <c r="C155" s="558"/>
      <c r="D155" s="558"/>
      <c r="E155" s="559"/>
      <c r="F155" s="267"/>
    </row>
    <row r="156" spans="1:11" s="8" customFormat="1" ht="12.75">
      <c r="A156" s="80"/>
      <c r="B156" s="72"/>
      <c r="C156" s="72"/>
      <c r="D156" s="72"/>
      <c r="E156" s="273"/>
      <c r="F156" s="267"/>
    </row>
    <row r="157" spans="1:11" s="8" customFormat="1" ht="13.5" thickBot="1">
      <c r="A157" s="80"/>
      <c r="B157" s="87"/>
      <c r="C157" s="72"/>
      <c r="D157" s="72"/>
      <c r="E157" s="274" t="s">
        <v>36</v>
      </c>
      <c r="F157" s="267"/>
    </row>
    <row r="158" spans="1:11" s="8" customFormat="1" ht="13.5" thickTop="1">
      <c r="A158" s="80">
        <v>1</v>
      </c>
      <c r="B158" s="83" t="s">
        <v>222</v>
      </c>
      <c r="C158" s="90"/>
      <c r="D158" s="72"/>
      <c r="E158" s="275" t="str">
        <f>IF(SUM('Day Activity Continuation'!I11)=0,"",'Day Activity Continuation'!I11/SUM('Day Activity Continuation'!I11,'Day Activity Continuation'!K11))</f>
        <v/>
      </c>
      <c r="F158" s="268" t="str">
        <f>IF(E158=0,"POC Required",IF(E158&gt;=0.83,"POC Not Required","POC Required"))</f>
        <v>POC Not Required</v>
      </c>
      <c r="J158" s="291" t="str">
        <f>IF(F158="POC Required",ROW(),"")</f>
        <v/>
      </c>
      <c r="K158" s="291" t="str">
        <f>IF(J158="","",RANK(J158,$J$158:$J$161,-1))</f>
        <v/>
      </c>
    </row>
    <row r="159" spans="1:11" s="8" customFormat="1" ht="12.75">
      <c r="A159" s="80">
        <v>2</v>
      </c>
      <c r="B159" s="83" t="s">
        <v>220</v>
      </c>
      <c r="C159" s="90"/>
      <c r="D159" s="72"/>
      <c r="E159" s="275" t="str">
        <f>IF(SUM('Day Activity Continuation'!I12)=0,"",'Day Activity Continuation'!I12/SUM('Day Activity Continuation'!I12,'Day Activity Continuation'!K12))</f>
        <v/>
      </c>
      <c r="F159" s="268" t="str">
        <f>IF(E159=0,"POC Required",IF(E159&gt;=0.83,"POC Not Required","POC Required"))</f>
        <v>POC Not Required</v>
      </c>
      <c r="J159" s="291" t="str">
        <f t="shared" ref="J159:J161" si="4">IF(F159="POC Required",ROW(),"")</f>
        <v/>
      </c>
      <c r="K159" s="291" t="str">
        <f>IF(J159="","",RANK(J159,$J$158:$J$161,-1))</f>
        <v/>
      </c>
    </row>
    <row r="160" spans="1:11" s="8" customFormat="1" ht="12.75">
      <c r="A160" s="80">
        <v>3</v>
      </c>
      <c r="B160" s="83" t="s">
        <v>335</v>
      </c>
      <c r="C160" s="90"/>
      <c r="D160" s="72"/>
      <c r="E160" s="275" t="str">
        <f>IF(SUM('Day Activity Continuation'!I13)=0,"",'Day Activity Continuation'!I13/SUM('Day Activity Continuation'!I13,'Day Activity Continuation'!K13))</f>
        <v/>
      </c>
      <c r="F160" s="268"/>
      <c r="J160" s="291"/>
      <c r="K160" s="291"/>
    </row>
    <row r="161" spans="1:11" s="8" customFormat="1" ht="32.1" customHeight="1">
      <c r="A161" s="72">
        <v>4</v>
      </c>
      <c r="B161" s="568" t="s">
        <v>372</v>
      </c>
      <c r="C161" s="568"/>
      <c r="D161" s="568"/>
      <c r="E161" s="517" t="str">
        <f>IF(SUM('Day Activity Continuation'!I22)=0,"",'Day Activity Continuation'!I22/SUM('Day Activity Continuation'!I22,'Day Activity Continuation'!K22))</f>
        <v/>
      </c>
      <c r="F161" s="268" t="str">
        <f>IF(E161=0,"POC Required",IF(E161&gt;=0.83,"POC Not Required","POC Required"))</f>
        <v>POC Not Required</v>
      </c>
      <c r="J161" s="291" t="str">
        <f t="shared" si="4"/>
        <v/>
      </c>
      <c r="K161" s="291" t="str">
        <f>IF(J161="","",RANK(J161,$J$158:$J$161,-1))</f>
        <v/>
      </c>
    </row>
    <row r="162" spans="1:11" s="8" customFormat="1" ht="12.75">
      <c r="A162" s="80"/>
      <c r="B162" s="93"/>
      <c r="C162" s="72"/>
      <c r="D162" s="72"/>
      <c r="E162" s="273"/>
      <c r="F162" s="267"/>
    </row>
    <row r="163" spans="1:11" s="8" customFormat="1" ht="12.75">
      <c r="A163" s="80"/>
      <c r="B163" s="72"/>
      <c r="C163" s="72"/>
      <c r="D163" s="104" t="s">
        <v>37</v>
      </c>
      <c r="E163" s="276">
        <f>'OVERALL SUMMARY'!L93</f>
        <v>0</v>
      </c>
      <c r="F163" s="267"/>
    </row>
    <row r="164" spans="1:11" s="8" customFormat="1" ht="12.75">
      <c r="A164" s="84"/>
      <c r="B164" s="85"/>
      <c r="C164" s="85"/>
      <c r="D164" s="85"/>
      <c r="E164" s="277"/>
      <c r="F164" s="267"/>
    </row>
    <row r="165" spans="1:11" s="8" customFormat="1" ht="12.75">
      <c r="A165" s="85"/>
      <c r="B165" s="72"/>
      <c r="C165" s="72"/>
      <c r="D165" s="72"/>
      <c r="E165" s="278"/>
      <c r="F165" s="267"/>
    </row>
    <row r="166" spans="1:11" s="8" customFormat="1">
      <c r="A166" s="557" t="s">
        <v>269</v>
      </c>
      <c r="B166" s="558"/>
      <c r="C166" s="558"/>
      <c r="D166" s="558"/>
      <c r="E166" s="559"/>
      <c r="F166" s="267"/>
    </row>
    <row r="167" spans="1:11" s="8" customFormat="1" ht="12.75">
      <c r="A167" s="80"/>
      <c r="B167" s="72"/>
      <c r="C167" s="72"/>
      <c r="D167" s="72"/>
      <c r="E167" s="273"/>
      <c r="F167" s="267"/>
    </row>
    <row r="168" spans="1:11" s="8" customFormat="1" ht="13.5" thickBot="1">
      <c r="A168" s="80"/>
      <c r="B168" s="87"/>
      <c r="C168" s="72"/>
      <c r="D168" s="72"/>
      <c r="E168" s="274" t="s">
        <v>36</v>
      </c>
      <c r="F168" s="267"/>
    </row>
    <row r="169" spans="1:11" s="8" customFormat="1" ht="13.5" thickTop="1">
      <c r="A169" s="80">
        <v>1</v>
      </c>
      <c r="B169" s="83" t="s">
        <v>179</v>
      </c>
      <c r="C169" s="90"/>
      <c r="D169" s="72"/>
      <c r="E169" s="275" t="str">
        <f>IF(SUM('Day Supports Initial'!I11,'Day Supports Initial'!K11)=0,"",'Day Supports Initial'!I11/SUM('Day Supports Initial'!I11,'Day Supports Initial'!K11))</f>
        <v/>
      </c>
      <c r="F169" s="268" t="str">
        <f>IF(E169=0,"POC Required",IF(E169&gt;=0.83,"POC Not Required","POC Required"))</f>
        <v>POC Not Required</v>
      </c>
      <c r="J169" s="291" t="str">
        <f>IF(F169="POC Required",ROW(),"")</f>
        <v/>
      </c>
      <c r="K169" s="291" t="str">
        <f>IF(J169="","",RANK(J169,$J$169,-1))</f>
        <v/>
      </c>
    </row>
    <row r="170" spans="1:11" s="8" customFormat="1" ht="17.100000000000001" customHeight="1">
      <c r="A170" s="80">
        <v>2</v>
      </c>
      <c r="B170" s="562" t="s">
        <v>205</v>
      </c>
      <c r="C170" s="562"/>
      <c r="D170" s="562"/>
      <c r="E170" s="275" t="str">
        <f>IF(SUM('Day Supports Initial'!I12,'Day Supports Initial'!K12)=0,"",'Day Supports Initial'!I12/SUM('Day Supports Initial'!I12,'Day Supports Initial'!K12))</f>
        <v/>
      </c>
      <c r="F170" s="268" t="str">
        <f t="shared" ref="F170:F171" si="5">IF(E170=0,"POC Required",IF(E170&gt;=0.83,"POC Not Required","POC Required"))</f>
        <v>POC Not Required</v>
      </c>
      <c r="J170" s="291"/>
      <c r="K170" s="291"/>
    </row>
    <row r="171" spans="1:11" s="8" customFormat="1" ht="12.75">
      <c r="A171" s="80">
        <v>3</v>
      </c>
      <c r="B171" s="83" t="s">
        <v>373</v>
      </c>
      <c r="C171" s="90"/>
      <c r="D171" s="72"/>
      <c r="E171" s="275" t="str">
        <f>IF(SUM('Day Supports Initial'!I13,'Day Supports Initial'!K13)=0,"",'Day Supports Initial'!I13/SUM('Day Supports Initial'!I13,'Day Supports Initial'!K13))</f>
        <v/>
      </c>
      <c r="F171" s="268" t="str">
        <f t="shared" si="5"/>
        <v>POC Not Required</v>
      </c>
      <c r="J171" s="291"/>
      <c r="K171" s="291"/>
    </row>
    <row r="172" spans="1:11" s="8" customFormat="1" ht="12.75">
      <c r="A172" s="80"/>
      <c r="B172" s="93"/>
      <c r="C172" s="72"/>
      <c r="D172" s="72"/>
      <c r="E172" s="273"/>
      <c r="F172" s="267"/>
    </row>
    <row r="173" spans="1:11" s="8" customFormat="1" ht="12.75">
      <c r="A173" s="80"/>
      <c r="B173" s="72"/>
      <c r="C173" s="72"/>
      <c r="D173" s="104" t="s">
        <v>37</v>
      </c>
      <c r="E173" s="276">
        <f>'OVERALL SUMMARY'!L102</f>
        <v>0</v>
      </c>
      <c r="F173" s="267"/>
    </row>
    <row r="174" spans="1:11" s="8" customFormat="1" ht="12.75">
      <c r="A174" s="84"/>
      <c r="B174" s="85"/>
      <c r="C174" s="85"/>
      <c r="D174" s="85"/>
      <c r="E174" s="277"/>
      <c r="F174" s="267"/>
    </row>
    <row r="175" spans="1:11" s="8" customFormat="1" ht="12.75">
      <c r="A175" s="85"/>
      <c r="B175" s="72"/>
      <c r="C175" s="72"/>
      <c r="D175" s="72"/>
      <c r="E175" s="278"/>
      <c r="F175" s="267"/>
    </row>
    <row r="176" spans="1:11" s="8" customFormat="1">
      <c r="A176" s="557" t="s">
        <v>270</v>
      </c>
      <c r="B176" s="558"/>
      <c r="C176" s="558"/>
      <c r="D176" s="558"/>
      <c r="E176" s="559"/>
      <c r="F176" s="267"/>
    </row>
    <row r="177" spans="1:11" s="8" customFormat="1" ht="12.75">
      <c r="A177" s="80"/>
      <c r="B177" s="72"/>
      <c r="C177" s="72"/>
      <c r="D177" s="72"/>
      <c r="E177" s="273"/>
      <c r="F177" s="267"/>
    </row>
    <row r="178" spans="1:11" s="8" customFormat="1" ht="13.5" thickBot="1">
      <c r="A178" s="80"/>
      <c r="B178" s="87"/>
      <c r="C178" s="72"/>
      <c r="D178" s="72"/>
      <c r="E178" s="274" t="s">
        <v>36</v>
      </c>
      <c r="F178" s="267"/>
    </row>
    <row r="179" spans="1:11" s="8" customFormat="1" ht="13.5" thickTop="1">
      <c r="A179" s="80">
        <v>1</v>
      </c>
      <c r="B179" s="83" t="s">
        <v>222</v>
      </c>
      <c r="C179" s="90"/>
      <c r="D179" s="72"/>
      <c r="E179" s="275" t="str">
        <f>IF(SUM('Day Supports Continuation)'!I9,'Day Supports Continuation)'!K9)=0,"",'Day Supports Continuation)'!I9/SUM('Day Supports Continuation)'!I9,'Day Supports Continuation)'!K9))</f>
        <v/>
      </c>
      <c r="F179" s="268" t="str">
        <f>IF(E179=0,"POC Required",IF(E179&gt;=0.83,"POC Not Required","POC Required"))</f>
        <v>POC Not Required</v>
      </c>
      <c r="J179" s="291" t="str">
        <f>IF(F179="POC Required",ROW(),"")</f>
        <v/>
      </c>
      <c r="K179" s="291" t="str">
        <f>IF(J179="","",RANK(J179,$J$179,-1))</f>
        <v/>
      </c>
    </row>
    <row r="180" spans="1:11" s="8" customFormat="1" ht="14.45" customHeight="1">
      <c r="A180" s="80">
        <v>2</v>
      </c>
      <c r="B180" s="562" t="s">
        <v>220</v>
      </c>
      <c r="C180" s="562"/>
      <c r="D180" s="563"/>
      <c r="E180" s="275" t="str">
        <f>IF(SUM('Day Supports Continuation)'!I12,'Day Supports Continuation)'!K12)=0,"",'Day Supports Continuation)'!I12/SUM('Day Supports Continuation)'!I12,'Day Supports Continuation)'!K12))</f>
        <v/>
      </c>
      <c r="F180" s="268" t="str">
        <f>IF(E180=0,"POC Required",IF(E180&gt;=0.83,"POC Not Required","POC Required"))</f>
        <v>POC Not Required</v>
      </c>
      <c r="J180" s="291"/>
      <c r="K180" s="291"/>
    </row>
    <row r="181" spans="1:11" s="8" customFormat="1" ht="14.45" customHeight="1">
      <c r="A181" s="80">
        <v>3</v>
      </c>
      <c r="B181" s="562" t="s">
        <v>374</v>
      </c>
      <c r="C181" s="562"/>
      <c r="D181" s="562"/>
      <c r="E181" s="275" t="str">
        <f>IF(SUM('Day Supports Continuation)'!I13,'Day Supports Continuation)'!K13)=0,"",'Day Supports Continuation)'!I13/SUM('Day Supports Continuation)'!I13,'Day Supports Continuation)'!K13))</f>
        <v/>
      </c>
      <c r="F181" s="516"/>
      <c r="J181" s="291"/>
      <c r="K181" s="291"/>
    </row>
    <row r="182" spans="1:11" s="8" customFormat="1" ht="45.2" customHeight="1">
      <c r="A182" s="80">
        <v>4</v>
      </c>
      <c r="B182" s="562" t="s">
        <v>376</v>
      </c>
      <c r="C182" s="562"/>
      <c r="D182" s="562"/>
      <c r="E182" s="275" t="str">
        <f>IF(SUM('Day Supports Continuation)'!I16,'Day Supports Continuation)'!K16)=0,"",'Day Supports Continuation)'!I16/SUM('Day Supports Continuation)'!I16,'Day Supports Continuation)'!K16))</f>
        <v/>
      </c>
      <c r="F182" s="516"/>
      <c r="J182" s="291"/>
      <c r="K182" s="291"/>
    </row>
    <row r="183" spans="1:11" s="8" customFormat="1" ht="12.75">
      <c r="A183" s="80"/>
      <c r="B183" s="93"/>
      <c r="C183" s="72"/>
      <c r="D183" s="72"/>
      <c r="E183" s="273"/>
      <c r="F183" s="267"/>
    </row>
    <row r="184" spans="1:11" s="8" customFormat="1" ht="12.75">
      <c r="A184" s="80"/>
      <c r="B184" s="72"/>
      <c r="C184" s="72"/>
      <c r="D184" s="104" t="s">
        <v>37</v>
      </c>
      <c r="E184" s="276">
        <f>'OVERALL SUMMARY'!L112</f>
        <v>0</v>
      </c>
      <c r="F184" s="267"/>
    </row>
    <row r="185" spans="1:11" s="8" customFormat="1" ht="12.75">
      <c r="A185" s="84"/>
      <c r="B185" s="85"/>
      <c r="C185" s="85"/>
      <c r="D185" s="85"/>
      <c r="E185" s="277"/>
      <c r="F185" s="267"/>
    </row>
    <row r="186" spans="1:11" s="8" customFormat="1">
      <c r="A186" s="557" t="s">
        <v>309</v>
      </c>
      <c r="B186" s="558"/>
      <c r="C186" s="558"/>
      <c r="D186" s="558"/>
      <c r="E186" s="559"/>
      <c r="F186" s="267"/>
    </row>
    <row r="187" spans="1:11" s="8" customFormat="1" ht="12.75">
      <c r="A187" s="80"/>
      <c r="B187" s="72"/>
      <c r="C187" s="72"/>
      <c r="D187" s="72"/>
      <c r="E187" s="273"/>
      <c r="F187" s="267"/>
    </row>
    <row r="188" spans="1:11" s="8" customFormat="1" ht="13.5" thickBot="1">
      <c r="A188" s="80"/>
      <c r="B188" s="87"/>
      <c r="C188" s="72"/>
      <c r="D188" s="72"/>
      <c r="E188" s="274" t="s">
        <v>36</v>
      </c>
      <c r="F188" s="267"/>
    </row>
    <row r="189" spans="1:11" s="8" customFormat="1" ht="13.5" thickTop="1">
      <c r="A189" s="80">
        <v>1</v>
      </c>
      <c r="B189" s="83" t="s">
        <v>179</v>
      </c>
      <c r="C189" s="90"/>
      <c r="D189" s="72"/>
      <c r="E189" s="275" t="str">
        <f>IF(SUM('CAET Initial'!I9,'CAET Initial'!K9)=0,"",'CAET Initial'!I9/SUM('CAET Initial'!I9,'CAET Initial'!K9))</f>
        <v/>
      </c>
      <c r="F189" s="268" t="str">
        <f>IF(E189=0,"POC Required",IF(E189&gt;=0.83,"POC Not Required","POC Required"))</f>
        <v>POC Not Required</v>
      </c>
      <c r="J189" s="291" t="str">
        <f>IF(F189="POC Required",ROW(),"")</f>
        <v/>
      </c>
      <c r="K189" s="291" t="str">
        <f>IF(J189="","",RANK(J189,$J$189:$J$192,-1))</f>
        <v/>
      </c>
    </row>
    <row r="190" spans="1:11" s="8" customFormat="1" ht="12.75">
      <c r="A190" s="80">
        <v>2</v>
      </c>
      <c r="B190" s="83" t="s">
        <v>331</v>
      </c>
      <c r="C190" s="90"/>
      <c r="D190" s="72"/>
      <c r="E190" s="275" t="str">
        <f>IF(SUM('CAET Initial'!I11,'CAET Initial'!K11)=0,"",'CAET Initial'!I11/SUM('CAET Initial'!I11,'CAET Initial'!K11))</f>
        <v/>
      </c>
      <c r="F190" s="268" t="str">
        <f>IF(E190=0,"POC Required",IF(E190&gt;=0.83,"POC Not Required","POC Required"))</f>
        <v>POC Not Required</v>
      </c>
      <c r="J190" s="291"/>
      <c r="K190" s="291"/>
    </row>
    <row r="191" spans="1:11" s="8" customFormat="1" ht="12.75">
      <c r="A191" s="80">
        <v>3</v>
      </c>
      <c r="B191" s="83" t="s">
        <v>377</v>
      </c>
      <c r="C191" s="90"/>
      <c r="D191" s="72"/>
      <c r="E191" s="275" t="str">
        <f>IF(SUM('CAET Initial'!I12,'CAET Initial'!K12)=0,"",'CAET Initial'!I12/SUM('CAET Initial'!I12,'CAET Initial'!K12))</f>
        <v/>
      </c>
      <c r="F191" s="268"/>
      <c r="J191" s="291"/>
      <c r="K191" s="291"/>
    </row>
    <row r="192" spans="1:11" s="8" customFormat="1" ht="12.75">
      <c r="A192" s="80">
        <v>4</v>
      </c>
      <c r="B192" s="83" t="s">
        <v>378</v>
      </c>
      <c r="C192" s="90"/>
      <c r="D192" s="72"/>
      <c r="E192" s="275" t="str">
        <f>IF(SUM('CAET Initial'!I17,'CAET Initial'!K17)=0,"",'CAET Initial'!I17/SUM('CAET Initial'!I17,'CAET Initial'!K17))</f>
        <v/>
      </c>
      <c r="F192" s="268" t="str">
        <f>IF(E192=0,"POC Required",IF(E192&gt;=0.83,"POC Not Required","POC Required"))</f>
        <v>POC Not Required</v>
      </c>
      <c r="J192" s="291" t="str">
        <f t="shared" ref="J192" si="6">IF(F192="POC Required",ROW(),"")</f>
        <v/>
      </c>
      <c r="K192" s="291" t="str">
        <f>IF(J192="","",RANK(J192,$J$189:$J$192,-1))</f>
        <v/>
      </c>
    </row>
    <row r="193" spans="1:11" s="8" customFormat="1" ht="12.75">
      <c r="A193" s="80"/>
      <c r="B193" s="93"/>
      <c r="C193" s="72"/>
      <c r="D193" s="72"/>
      <c r="E193" s="273"/>
      <c r="F193" s="267"/>
    </row>
    <row r="194" spans="1:11" s="8" customFormat="1" ht="12.75">
      <c r="A194" s="80"/>
      <c r="B194" s="72"/>
      <c r="C194" s="72"/>
      <c r="D194" s="104" t="s">
        <v>37</v>
      </c>
      <c r="E194" s="276">
        <f>'OVERALL SUMMARY'!L122</f>
        <v>0</v>
      </c>
      <c r="F194" s="267"/>
    </row>
    <row r="195" spans="1:11" s="8" customFormat="1" ht="12.75">
      <c r="A195" s="84"/>
      <c r="B195" s="85"/>
      <c r="C195" s="85"/>
      <c r="D195" s="85"/>
      <c r="E195" s="277"/>
      <c r="F195" s="267"/>
    </row>
    <row r="196" spans="1:11" s="8" customFormat="1" ht="12.75">
      <c r="A196" s="85"/>
      <c r="B196" s="72"/>
      <c r="C196" s="72"/>
      <c r="D196" s="72"/>
      <c r="E196" s="278"/>
      <c r="F196" s="267"/>
    </row>
    <row r="197" spans="1:11" s="8" customFormat="1">
      <c r="A197" s="557" t="s">
        <v>310</v>
      </c>
      <c r="B197" s="558"/>
      <c r="C197" s="558"/>
      <c r="D197" s="558"/>
      <c r="E197" s="559"/>
      <c r="F197" s="267"/>
    </row>
    <row r="198" spans="1:11" s="8" customFormat="1" ht="12.75">
      <c r="A198" s="80"/>
      <c r="B198" s="72"/>
      <c r="C198" s="72"/>
      <c r="D198" s="72"/>
      <c r="E198" s="273"/>
      <c r="F198" s="267"/>
    </row>
    <row r="199" spans="1:11" s="8" customFormat="1" ht="13.5" thickBot="1">
      <c r="A199" s="80"/>
      <c r="B199" s="87"/>
      <c r="C199" s="72"/>
      <c r="D199" s="72"/>
      <c r="E199" s="274" t="s">
        <v>36</v>
      </c>
      <c r="F199" s="267"/>
    </row>
    <row r="200" spans="1:11" s="8" customFormat="1" ht="13.5" thickTop="1">
      <c r="A200" s="80">
        <v>1</v>
      </c>
      <c r="B200" s="83" t="s">
        <v>179</v>
      </c>
      <c r="C200" s="90"/>
      <c r="D200" s="72"/>
      <c r="E200" s="275" t="str">
        <f>IF(SUM('CAET Continuation'!I9,'CAET Continuation'!K9)=0,"",'CAET Continuation'!I9/SUM('CAET Continuation'!I9,'CAET Continuation'!K9))</f>
        <v/>
      </c>
      <c r="F200" s="268" t="str">
        <f>IF(E200=0,"POC Required",IF(E200&gt;=0.83,"POC Not Required","POC Required"))</f>
        <v>POC Not Required</v>
      </c>
      <c r="J200" s="291" t="str">
        <f>IF(F200="POC Required",ROW(),"")</f>
        <v/>
      </c>
      <c r="K200" s="291" t="str">
        <f>IF(J200="","",RANK(J200,$J$200:$J$203,-1))</f>
        <v/>
      </c>
    </row>
    <row r="201" spans="1:11" s="8" customFormat="1" ht="12.75">
      <c r="A201" s="80">
        <v>2</v>
      </c>
      <c r="B201" s="83" t="s">
        <v>331</v>
      </c>
      <c r="C201" s="90"/>
      <c r="D201" s="72"/>
      <c r="E201" s="275" t="str">
        <f>IF(SUM('CAET Continuation'!I11,'CAET Continuation'!K11)=0,"",'CAET Continuation'!I11/SUM('CAET Continuation'!I11,'CAET Continuation'!K11))</f>
        <v/>
      </c>
      <c r="F201" s="268" t="str">
        <f>IF(E201=0,"POC Required",IF(E201&gt;=0.83,"POC Not Required","POC Required"))</f>
        <v>POC Not Required</v>
      </c>
      <c r="J201" s="291"/>
      <c r="K201" s="291"/>
    </row>
    <row r="202" spans="1:11" s="8" customFormat="1" ht="12.75">
      <c r="A202" s="80">
        <v>3</v>
      </c>
      <c r="B202" s="83" t="s">
        <v>377</v>
      </c>
      <c r="C202" s="90"/>
      <c r="D202" s="72"/>
      <c r="E202" s="275" t="str">
        <f>IF(SUM('CAET Continuation'!I12,'CAET Continuation'!K12)=0,"",'CAET Continuation'!I12/SUM('CAET Continuation'!I12,'CAET Continuation'!K12))</f>
        <v/>
      </c>
      <c r="F202" s="268"/>
      <c r="J202" s="291"/>
      <c r="K202" s="291"/>
    </row>
    <row r="203" spans="1:11" s="8" customFormat="1" ht="12.75">
      <c r="A203" s="80">
        <v>4</v>
      </c>
      <c r="B203" s="83" t="s">
        <v>378</v>
      </c>
      <c r="C203" s="90"/>
      <c r="D203" s="72"/>
      <c r="E203" s="275" t="str">
        <f>IF(SUM('CAET Continuation'!I17,'CAET Continuation'!K17)=0,"",'CAET Continuation'!I17/SUM('CAET Continuation'!I17,'CAET Continuation'!K17))</f>
        <v/>
      </c>
      <c r="F203" s="268" t="str">
        <f>IF(E203=0,"POC Required",IF(E203&gt;=0.83,"POC Not Required","POC Required"))</f>
        <v>POC Not Required</v>
      </c>
      <c r="J203" s="291" t="str">
        <f>IF(F203="POC Required",ROW(),"")</f>
        <v/>
      </c>
      <c r="K203" s="291" t="str">
        <f>IF(J203="","",RANK(J203,$J$200:$J$203,-1))</f>
        <v/>
      </c>
    </row>
    <row r="204" spans="1:11" s="8" customFormat="1" ht="12.75">
      <c r="A204" s="80"/>
      <c r="B204" s="93"/>
      <c r="C204" s="72"/>
      <c r="D204" s="72"/>
      <c r="E204" s="273"/>
      <c r="F204" s="267"/>
    </row>
    <row r="205" spans="1:11" s="8" customFormat="1" ht="12.75">
      <c r="A205" s="80"/>
      <c r="B205" s="72"/>
      <c r="C205" s="72"/>
      <c r="D205" s="104" t="s">
        <v>37</v>
      </c>
      <c r="E205" s="276">
        <f>'OVERALL SUMMARY'!L132</f>
        <v>0</v>
      </c>
      <c r="F205" s="267"/>
    </row>
    <row r="206" spans="1:11" s="8" customFormat="1" ht="12.75">
      <c r="A206" s="84"/>
      <c r="B206" s="85"/>
      <c r="C206" s="85"/>
      <c r="D206" s="85"/>
      <c r="E206" s="277"/>
      <c r="F206" s="267"/>
    </row>
    <row r="209" spans="1:4" ht="12.75">
      <c r="A209" s="284"/>
      <c r="B209" s="94"/>
      <c r="C209" s="87" t="s">
        <v>158</v>
      </c>
      <c r="D209" s="72"/>
    </row>
    <row r="210" spans="1:4" ht="12.75">
      <c r="A210" s="284"/>
      <c r="B210" s="203"/>
      <c r="C210" s="206" t="s">
        <v>159</v>
      </c>
      <c r="D210" s="207"/>
    </row>
    <row r="211" spans="1:4" ht="12.75">
      <c r="A211" s="284"/>
      <c r="B211" s="204"/>
      <c r="C211" s="72"/>
      <c r="D211" s="81"/>
    </row>
    <row r="212" spans="1:4" ht="30.4" customHeight="1">
      <c r="A212" s="284"/>
      <c r="B212" s="204">
        <v>1</v>
      </c>
      <c r="C212" s="549"/>
      <c r="D212" s="550"/>
    </row>
    <row r="213" spans="1:4" ht="10.15" customHeight="1">
      <c r="A213" s="284"/>
      <c r="B213" s="204"/>
      <c r="C213" s="208"/>
      <c r="D213" s="81"/>
    </row>
    <row r="214" spans="1:4" ht="30.4" customHeight="1">
      <c r="A214" s="284"/>
      <c r="B214" s="204">
        <v>2</v>
      </c>
      <c r="C214" s="549"/>
      <c r="D214" s="550"/>
    </row>
    <row r="215" spans="1:4" ht="10.15" customHeight="1">
      <c r="A215" s="284"/>
      <c r="B215" s="204"/>
      <c r="C215" s="208"/>
      <c r="D215" s="81"/>
    </row>
    <row r="216" spans="1:4" ht="30.4" customHeight="1">
      <c r="A216" s="284"/>
      <c r="B216" s="204">
        <v>3</v>
      </c>
      <c r="C216" s="549"/>
      <c r="D216" s="550"/>
    </row>
    <row r="217" spans="1:4" ht="10.15" customHeight="1">
      <c r="A217" s="284"/>
      <c r="B217" s="204"/>
      <c r="C217" s="208"/>
      <c r="D217" s="81"/>
    </row>
    <row r="218" spans="1:4" ht="30.4" customHeight="1">
      <c r="A218" s="284"/>
      <c r="B218" s="204">
        <v>4</v>
      </c>
      <c r="C218" s="549"/>
      <c r="D218" s="550"/>
    </row>
    <row r="219" spans="1:4" ht="10.15" customHeight="1">
      <c r="A219" s="284"/>
      <c r="B219" s="204"/>
      <c r="C219" s="208"/>
      <c r="D219" s="81"/>
    </row>
    <row r="220" spans="1:4" ht="30.4" customHeight="1">
      <c r="A220" s="284"/>
      <c r="B220" s="204">
        <v>5</v>
      </c>
      <c r="C220" s="549"/>
      <c r="D220" s="550"/>
    </row>
    <row r="221" spans="1:4" ht="14.85" customHeight="1">
      <c r="A221" s="284"/>
      <c r="B221" s="205"/>
      <c r="C221" s="209"/>
      <c r="D221" s="210"/>
    </row>
    <row r="222" spans="1:4" ht="15">
      <c r="A222" s="284"/>
      <c r="B222" s="94"/>
      <c r="C222" s="164"/>
      <c r="D222" s="164"/>
    </row>
  </sheetData>
  <sheetProtection sheet="1" objects="1" scenarios="1"/>
  <customSheetViews>
    <customSheetView guid="{2A3E70A9-51A3-4722-9775-16DBEA0F14B3}" hiddenColumns="1" topLeftCell="A46">
      <selection activeCell="F63" sqref="F63"/>
      <rowBreaks count="2" manualBreakCount="2">
        <brk id="128" max="16383" man="1"/>
        <brk id="172" max="16383" man="1"/>
      </rowBreaks>
      <pageMargins left="0.2" right="0.2" top="0.3" bottom="0.3" header="0" footer="0"/>
      <printOptions horizontalCentered="1"/>
      <pageSetup orientation="landscape" r:id="rId1"/>
      <headerFooter differentFirst="1">
        <oddFooter>&amp;C&amp;P of &amp;N</oddFooter>
      </headerFooter>
    </customSheetView>
    <customSheetView guid="{A13B25D0-B104-46DD-B5CC-B628EEB53163}" hiddenColumns="1" topLeftCell="A46">
      <selection activeCell="F63" sqref="F63"/>
      <rowBreaks count="2" manualBreakCount="2">
        <brk id="128" max="16383" man="1"/>
        <brk id="172" max="16383" man="1"/>
      </rowBreaks>
      <pageMargins left="0.2" right="0.2" top="0.3" bottom="0.3" header="0" footer="0"/>
      <printOptions horizontalCentered="1"/>
      <pageSetup orientation="landscape" r:id="rId2"/>
      <headerFooter differentFirst="1">
        <oddFooter>&amp;C&amp;P of &amp;N</oddFooter>
      </headerFooter>
    </customSheetView>
  </customSheetViews>
  <mergeCells count="44">
    <mergeCell ref="A13:H13"/>
    <mergeCell ref="C38:H38"/>
    <mergeCell ref="A64:H64"/>
    <mergeCell ref="A66:H66"/>
    <mergeCell ref="B182:D182"/>
    <mergeCell ref="B181:D181"/>
    <mergeCell ref="A103:E103"/>
    <mergeCell ref="B109:D109"/>
    <mergeCell ref="B108:D108"/>
    <mergeCell ref="A113:E113"/>
    <mergeCell ref="B118:D118"/>
    <mergeCell ref="B120:D120"/>
    <mergeCell ref="B119:D119"/>
    <mergeCell ref="C218:D218"/>
    <mergeCell ref="A82:E82"/>
    <mergeCell ref="A93:E93"/>
    <mergeCell ref="A186:E186"/>
    <mergeCell ref="A134:E134"/>
    <mergeCell ref="A197:E197"/>
    <mergeCell ref="A155:E155"/>
    <mergeCell ref="A166:E166"/>
    <mergeCell ref="A176:E176"/>
    <mergeCell ref="A145:E145"/>
    <mergeCell ref="B170:D170"/>
    <mergeCell ref="B180:D180"/>
    <mergeCell ref="B98:D98"/>
    <mergeCell ref="B140:D140"/>
    <mergeCell ref="B161:D161"/>
    <mergeCell ref="C220:D220"/>
    <mergeCell ref="A14:D14"/>
    <mergeCell ref="C214:D214"/>
    <mergeCell ref="A15:H15"/>
    <mergeCell ref="A19:H19"/>
    <mergeCell ref="A21:H21"/>
    <mergeCell ref="A22:H22"/>
    <mergeCell ref="A23:H23"/>
    <mergeCell ref="A26:H26"/>
    <mergeCell ref="A28:H28"/>
    <mergeCell ref="A32:H32"/>
    <mergeCell ref="C216:D216"/>
    <mergeCell ref="C212:D212"/>
    <mergeCell ref="A68:H68"/>
    <mergeCell ref="A124:E124"/>
    <mergeCell ref="B88:D88"/>
  </mergeCells>
  <conditionalFormatting sqref="E85:E88 E96:E98 E148:E150 E189:E192">
    <cfRule type="cellIs" dxfId="143" priority="195" stopIfTrue="1" operator="greaterThanOrEqual">
      <formula>0.83</formula>
    </cfRule>
    <cfRule type="cellIs" dxfId="142" priority="196" stopIfTrue="1" operator="lessThan">
      <formula>0.83</formula>
    </cfRule>
  </conditionalFormatting>
  <conditionalFormatting sqref="E100">
    <cfRule type="cellIs" dxfId="141" priority="182" stopIfTrue="1" operator="greaterThanOrEqual">
      <formula>0.83</formula>
    </cfRule>
    <cfRule type="cellIs" dxfId="140" priority="183" stopIfTrue="1" operator="lessThan">
      <formula>0.83</formula>
    </cfRule>
  </conditionalFormatting>
  <conditionalFormatting sqref="E194">
    <cfRule type="cellIs" dxfId="139" priority="171" stopIfTrue="1" operator="greaterThanOrEqual">
      <formula>0.83</formula>
    </cfRule>
    <cfRule type="cellIs" dxfId="138" priority="172" stopIfTrue="1" operator="lessThan">
      <formula>0.83</formula>
    </cfRule>
  </conditionalFormatting>
  <conditionalFormatting sqref="E90">
    <cfRule type="cellIs" dxfId="137" priority="123" stopIfTrue="1" operator="greaterThanOrEqual">
      <formula>0.83</formula>
    </cfRule>
    <cfRule type="cellIs" dxfId="136" priority="124" stopIfTrue="1" operator="lessThan">
      <formula>0.83</formula>
    </cfRule>
  </conditionalFormatting>
  <conditionalFormatting sqref="F85:F88 F148:F150">
    <cfRule type="cellIs" dxfId="135" priority="105" operator="equal">
      <formula>"POC Required"</formula>
    </cfRule>
    <cfRule type="cellIs" dxfId="134" priority="106" operator="equal">
      <formula>"POC Not Required"</formula>
    </cfRule>
  </conditionalFormatting>
  <conditionalFormatting sqref="F96:F98">
    <cfRule type="cellIs" dxfId="133" priority="97" operator="equal">
      <formula>"POC Required"</formula>
    </cfRule>
    <cfRule type="cellIs" dxfId="132" priority="98" operator="equal">
      <formula>"POC Not Required"</formula>
    </cfRule>
  </conditionalFormatting>
  <conditionalFormatting sqref="F189:F192">
    <cfRule type="cellIs" dxfId="131" priority="91" operator="equal">
      <formula>"POC Required"</formula>
    </cfRule>
    <cfRule type="cellIs" dxfId="130" priority="92" operator="equal">
      <formula>"POC Not Required"</formula>
    </cfRule>
  </conditionalFormatting>
  <conditionalFormatting sqref="E137:E140">
    <cfRule type="cellIs" dxfId="129" priority="55" stopIfTrue="1" operator="greaterThanOrEqual">
      <formula>0.83</formula>
    </cfRule>
    <cfRule type="cellIs" dxfId="128" priority="56" stopIfTrue="1" operator="lessThan">
      <formula>0.83</formula>
    </cfRule>
  </conditionalFormatting>
  <conditionalFormatting sqref="E142">
    <cfRule type="cellIs" dxfId="127" priority="53" stopIfTrue="1" operator="greaterThanOrEqual">
      <formula>0.83</formula>
    </cfRule>
    <cfRule type="cellIs" dxfId="126" priority="54" stopIfTrue="1" operator="lessThan">
      <formula>0.83</formula>
    </cfRule>
  </conditionalFormatting>
  <conditionalFormatting sqref="F137:F140">
    <cfRule type="cellIs" dxfId="125" priority="51" operator="equal">
      <formula>"POC Required"</formula>
    </cfRule>
    <cfRule type="cellIs" dxfId="124" priority="52" operator="equal">
      <formula>"POC Not Required"</formula>
    </cfRule>
  </conditionalFormatting>
  <conditionalFormatting sqref="E200:E203">
    <cfRule type="cellIs" dxfId="123" priority="49" stopIfTrue="1" operator="greaterThanOrEqual">
      <formula>0.83</formula>
    </cfRule>
    <cfRule type="cellIs" dxfId="122" priority="50" stopIfTrue="1" operator="lessThan">
      <formula>0.83</formula>
    </cfRule>
  </conditionalFormatting>
  <conditionalFormatting sqref="E205">
    <cfRule type="cellIs" dxfId="121" priority="47" stopIfTrue="1" operator="greaterThanOrEqual">
      <formula>0.83</formula>
    </cfRule>
    <cfRule type="cellIs" dxfId="120" priority="48" stopIfTrue="1" operator="lessThan">
      <formula>0.83</formula>
    </cfRule>
  </conditionalFormatting>
  <conditionalFormatting sqref="F200:F203">
    <cfRule type="cellIs" dxfId="119" priority="45" operator="equal">
      <formula>"POC Required"</formula>
    </cfRule>
    <cfRule type="cellIs" dxfId="118" priority="46" operator="equal">
      <formula>"POC Not Required"</formula>
    </cfRule>
  </conditionalFormatting>
  <conditionalFormatting sqref="E158:E161">
    <cfRule type="cellIs" dxfId="117" priority="43" stopIfTrue="1" operator="greaterThanOrEqual">
      <formula>0.83</formula>
    </cfRule>
    <cfRule type="cellIs" dxfId="116" priority="44" stopIfTrue="1" operator="lessThan">
      <formula>0.83</formula>
    </cfRule>
  </conditionalFormatting>
  <conditionalFormatting sqref="E163">
    <cfRule type="cellIs" dxfId="115" priority="41" stopIfTrue="1" operator="greaterThanOrEqual">
      <formula>0.83</formula>
    </cfRule>
    <cfRule type="cellIs" dxfId="114" priority="42" stopIfTrue="1" operator="lessThan">
      <formula>0.83</formula>
    </cfRule>
  </conditionalFormatting>
  <conditionalFormatting sqref="F158:F161">
    <cfRule type="cellIs" dxfId="113" priority="39" operator="equal">
      <formula>"POC Required"</formula>
    </cfRule>
    <cfRule type="cellIs" dxfId="112" priority="40" operator="equal">
      <formula>"POC Not Required"</formula>
    </cfRule>
  </conditionalFormatting>
  <conditionalFormatting sqref="E173">
    <cfRule type="cellIs" dxfId="111" priority="35" stopIfTrue="1" operator="greaterThanOrEqual">
      <formula>0.83</formula>
    </cfRule>
    <cfRule type="cellIs" dxfId="110" priority="36" stopIfTrue="1" operator="lessThan">
      <formula>0.83</formula>
    </cfRule>
  </conditionalFormatting>
  <conditionalFormatting sqref="F169:F171">
    <cfRule type="cellIs" dxfId="109" priority="33" operator="equal">
      <formula>"POC Required"</formula>
    </cfRule>
    <cfRule type="cellIs" dxfId="108" priority="34" operator="equal">
      <formula>"POC Not Required"</formula>
    </cfRule>
  </conditionalFormatting>
  <conditionalFormatting sqref="E179:E182">
    <cfRule type="cellIs" dxfId="107" priority="31" stopIfTrue="1" operator="greaterThanOrEqual">
      <formula>0.83</formula>
    </cfRule>
    <cfRule type="cellIs" dxfId="106" priority="32" stopIfTrue="1" operator="lessThan">
      <formula>0.83</formula>
    </cfRule>
  </conditionalFormatting>
  <conditionalFormatting sqref="E184">
    <cfRule type="cellIs" dxfId="105" priority="29" stopIfTrue="1" operator="greaterThanOrEqual">
      <formula>0.83</formula>
    </cfRule>
    <cfRule type="cellIs" dxfId="104" priority="30" stopIfTrue="1" operator="lessThan">
      <formula>0.83</formula>
    </cfRule>
  </conditionalFormatting>
  <conditionalFormatting sqref="F179:F180">
    <cfRule type="cellIs" dxfId="103" priority="27" operator="equal">
      <formula>"POC Required"</formula>
    </cfRule>
    <cfRule type="cellIs" dxfId="102" priority="28" operator="equal">
      <formula>"POC Not Required"</formula>
    </cfRule>
  </conditionalFormatting>
  <conditionalFormatting sqref="E127:E129">
    <cfRule type="cellIs" dxfId="101" priority="25" stopIfTrue="1" operator="greaterThanOrEqual">
      <formula>0.83</formula>
    </cfRule>
    <cfRule type="cellIs" dxfId="100" priority="26" stopIfTrue="1" operator="lessThan">
      <formula>0.83</formula>
    </cfRule>
  </conditionalFormatting>
  <conditionalFormatting sqref="E131">
    <cfRule type="cellIs" dxfId="99" priority="23" stopIfTrue="1" operator="greaterThanOrEqual">
      <formula>0.83</formula>
    </cfRule>
    <cfRule type="cellIs" dxfId="98" priority="24" stopIfTrue="1" operator="lessThan">
      <formula>0.83</formula>
    </cfRule>
  </conditionalFormatting>
  <conditionalFormatting sqref="F127:F129">
    <cfRule type="cellIs" dxfId="97" priority="21" operator="equal">
      <formula>"POC Required"</formula>
    </cfRule>
    <cfRule type="cellIs" dxfId="96" priority="22" operator="equal">
      <formula>"POC Not Required"</formula>
    </cfRule>
  </conditionalFormatting>
  <conditionalFormatting sqref="E152">
    <cfRule type="cellIs" dxfId="95" priority="17" stopIfTrue="1" operator="greaterThanOrEqual">
      <formula>0.83</formula>
    </cfRule>
    <cfRule type="cellIs" dxfId="94" priority="18" stopIfTrue="1" operator="lessThan">
      <formula>0.83</formula>
    </cfRule>
  </conditionalFormatting>
  <conditionalFormatting sqref="E169:E171">
    <cfRule type="cellIs" dxfId="93" priority="13" stopIfTrue="1" operator="greaterThanOrEqual">
      <formula>0.83</formula>
    </cfRule>
    <cfRule type="cellIs" dxfId="92" priority="14" stopIfTrue="1" operator="lessThan">
      <formula>0.83</formula>
    </cfRule>
  </conditionalFormatting>
  <conditionalFormatting sqref="E106:E109">
    <cfRule type="cellIs" dxfId="91" priority="11" stopIfTrue="1" operator="greaterThanOrEqual">
      <formula>0.83</formula>
    </cfRule>
    <cfRule type="cellIs" dxfId="90" priority="12" stopIfTrue="1" operator="lessThan">
      <formula>0.83</formula>
    </cfRule>
  </conditionalFormatting>
  <conditionalFormatting sqref="E111">
    <cfRule type="cellIs" dxfId="89" priority="9" stopIfTrue="1" operator="greaterThanOrEqual">
      <formula>0.83</formula>
    </cfRule>
    <cfRule type="cellIs" dxfId="88" priority="10" stopIfTrue="1" operator="lessThan">
      <formula>0.83</formula>
    </cfRule>
  </conditionalFormatting>
  <conditionalFormatting sqref="F106:F109">
    <cfRule type="cellIs" dxfId="87" priority="7" operator="equal">
      <formula>"POC Required"</formula>
    </cfRule>
    <cfRule type="cellIs" dxfId="86" priority="8" operator="equal">
      <formula>"POC Not Required"</formula>
    </cfRule>
  </conditionalFormatting>
  <conditionalFormatting sqref="E116:E120">
    <cfRule type="cellIs" dxfId="85" priority="5" stopIfTrue="1" operator="greaterThanOrEqual">
      <formula>0.83</formula>
    </cfRule>
    <cfRule type="cellIs" dxfId="84" priority="6" stopIfTrue="1" operator="lessThan">
      <formula>0.83</formula>
    </cfRule>
  </conditionalFormatting>
  <conditionalFormatting sqref="E122">
    <cfRule type="cellIs" dxfId="83" priority="3" stopIfTrue="1" operator="greaterThanOrEqual">
      <formula>0.83</formula>
    </cfRule>
    <cfRule type="cellIs" dxfId="82" priority="4" stopIfTrue="1" operator="lessThan">
      <formula>0.83</formula>
    </cfRule>
  </conditionalFormatting>
  <conditionalFormatting sqref="F116:F120">
    <cfRule type="cellIs" dxfId="81" priority="1" operator="equal">
      <formula>"POC Required"</formula>
    </cfRule>
    <cfRule type="cellIs" dxfId="80" priority="2" operator="equal">
      <formula>"POC Not Required"</formula>
    </cfRule>
  </conditionalFormatting>
  <printOptions horizontalCentered="1"/>
  <pageMargins left="0.2" right="0.2" top="0.3" bottom="0.3" header="0" footer="0"/>
  <pageSetup orientation="landscape" r:id="rId3"/>
  <headerFooter differentFirst="1">
    <oddFooter>&amp;C&amp;P of &amp;N</oddFooter>
  </headerFooter>
  <rowBreaks count="2" manualBreakCount="2">
    <brk id="154" max="16383" man="1"/>
    <brk id="208" max="16383" man="1"/>
  </rowBreaks>
  <ignoredErrors>
    <ignoredError sqref="E191" 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8369" r:id="rId6" name="Check Box 1">
              <controlPr defaultSize="0" autoFill="0" autoLine="0" autoPict="0">
                <anchor moveWithCells="1">
                  <from>
                    <xdr:col>1</xdr:col>
                    <xdr:colOff>19050</xdr:colOff>
                    <xdr:row>76</xdr:row>
                    <xdr:rowOff>9525</xdr:rowOff>
                  </from>
                  <to>
                    <xdr:col>2</xdr:col>
                    <xdr:colOff>0</xdr:colOff>
                    <xdr:row>77</xdr:row>
                    <xdr:rowOff>0</xdr:rowOff>
                  </to>
                </anchor>
              </controlPr>
            </control>
          </mc:Choice>
        </mc:AlternateContent>
        <mc:AlternateContent xmlns:mc="http://schemas.openxmlformats.org/markup-compatibility/2006">
          <mc:Choice Requires="x14">
            <control shapeId="58370" r:id="rId7" name="Check Box 2">
              <controlPr defaultSize="0" autoFill="0" autoLine="0" autoPict="0">
                <anchor moveWithCells="1">
                  <from>
                    <xdr:col>1</xdr:col>
                    <xdr:colOff>19050</xdr:colOff>
                    <xdr:row>77</xdr:row>
                    <xdr:rowOff>19050</xdr:rowOff>
                  </from>
                  <to>
                    <xdr:col>1</xdr:col>
                    <xdr:colOff>238125</xdr:colOff>
                    <xdr:row>78</xdr:row>
                    <xdr:rowOff>0</xdr:rowOff>
                  </to>
                </anchor>
              </controlPr>
            </control>
          </mc:Choice>
        </mc:AlternateContent>
        <mc:AlternateContent xmlns:mc="http://schemas.openxmlformats.org/markup-compatibility/2006">
          <mc:Choice Requires="x14">
            <control shapeId="58371" r:id="rId8" name="Check Box 3">
              <controlPr defaultSize="0" autoFill="0" autoLine="0" autoPict="0">
                <anchor moveWithCells="1">
                  <from>
                    <xdr:col>1</xdr:col>
                    <xdr:colOff>19050</xdr:colOff>
                    <xdr:row>78</xdr:row>
                    <xdr:rowOff>9525</xdr:rowOff>
                  </from>
                  <to>
                    <xdr:col>1</xdr:col>
                    <xdr:colOff>228600</xdr:colOff>
                    <xdr:row>79</xdr:row>
                    <xdr:rowOff>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
    <tabColor indexed="22"/>
  </sheetPr>
  <dimension ref="A1:N133"/>
  <sheetViews>
    <sheetView showGridLines="0" workbookViewId="0">
      <pane ySplit="4" topLeftCell="A143" activePane="bottomLeft" state="frozen"/>
      <selection pane="bottomLeft" activeCell="H85" sqref="H85"/>
    </sheetView>
  </sheetViews>
  <sheetFormatPr defaultColWidth="9.140625" defaultRowHeight="12.75"/>
  <cols>
    <col min="1" max="1" width="3.28515625" style="106" customWidth="1"/>
    <col min="2" max="3" width="10.7109375" style="106" customWidth="1"/>
    <col min="4" max="4" width="40.7109375" style="106" customWidth="1"/>
    <col min="5" max="5" width="10.7109375" style="106" customWidth="1"/>
    <col min="6" max="6" width="8.7109375" style="106" customWidth="1"/>
    <col min="7" max="7" width="10.42578125" style="106" customWidth="1"/>
    <col min="8" max="8" width="10.7109375" style="106" customWidth="1"/>
    <col min="9" max="9" width="8.7109375" style="106" hidden="1" customWidth="1"/>
    <col min="10" max="12" width="8.7109375" style="106" customWidth="1"/>
    <col min="13" max="13" width="16.5703125" style="107" customWidth="1"/>
    <col min="14" max="16384" width="9.140625" style="106"/>
  </cols>
  <sheetData>
    <row r="1" spans="1:14" s="78" customFormat="1" ht="20.100000000000001" customHeight="1">
      <c r="A1" s="185" t="s">
        <v>183</v>
      </c>
      <c r="B1" s="186"/>
      <c r="C1" s="186"/>
      <c r="D1" s="187"/>
      <c r="E1" s="187"/>
      <c r="F1" s="187"/>
      <c r="G1" s="187"/>
      <c r="H1" s="187"/>
      <c r="I1" s="187"/>
      <c r="J1" s="187"/>
      <c r="K1" s="187"/>
      <c r="L1" s="191"/>
      <c r="M1" s="79"/>
    </row>
    <row r="2" spans="1:14" s="78" customFormat="1" ht="20.100000000000001" customHeight="1">
      <c r="A2" s="188" t="str">
        <f>IF('Workbook Set-up'!$B$4="","[Name of LME-MCO]",'Workbook Set-up'!$B$4)</f>
        <v>Trillium Health Resources</v>
      </c>
      <c r="B2" s="189"/>
      <c r="C2" s="189"/>
      <c r="D2" s="190"/>
      <c r="E2" s="190"/>
      <c r="F2" s="190"/>
      <c r="G2" s="190"/>
      <c r="H2" s="190"/>
      <c r="I2" s="190"/>
      <c r="J2" s="190"/>
      <c r="K2" s="190"/>
      <c r="L2" s="192"/>
      <c r="M2" s="79"/>
    </row>
    <row r="3" spans="1:14" s="78" customFormat="1" ht="20.100000000000001" customHeight="1">
      <c r="A3" s="188"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B3" s="189"/>
      <c r="C3" s="189"/>
      <c r="D3" s="190"/>
      <c r="E3" s="190"/>
      <c r="F3" s="190"/>
      <c r="G3" s="190"/>
      <c r="H3" s="190"/>
      <c r="I3" s="190"/>
      <c r="J3" s="190"/>
      <c r="K3" s="190"/>
      <c r="L3" s="192"/>
      <c r="M3" s="79"/>
    </row>
    <row r="4" spans="1:14" s="78" customFormat="1" ht="20.100000000000001" customHeight="1">
      <c r="A4" s="188" t="str">
        <f>IF(AND('Workbook Set-up'!$B$13="",'Workbook Set-up'!$B$14=""),"",IF('Workbook Set-up'!$B$13='Workbook Set-up'!$B$14,TEXT('Workbook Set-up'!$B$13,"m/d/yyyy"),IF('Workbook Set-up'!$B$13&lt;&gt;'Workbook Set-up'!$B$14,TEXT('Workbook Set-up'!$B$13,"m/d/yyyy")&amp;" to "&amp;TEXT('Workbook Set-up'!$B$14,"m/d/yyyy"),"")))</f>
        <v>7/15/2019</v>
      </c>
      <c r="B4" s="189"/>
      <c r="C4" s="189"/>
      <c r="D4" s="190"/>
      <c r="E4" s="190"/>
      <c r="F4" s="190"/>
      <c r="G4" s="190"/>
      <c r="H4" s="190"/>
      <c r="I4" s="190"/>
      <c r="J4" s="190"/>
      <c r="K4" s="190"/>
      <c r="L4" s="192"/>
      <c r="M4" s="79"/>
    </row>
    <row r="5" spans="1:14" s="8" customFormat="1" ht="13.9" customHeight="1">
      <c r="A5" s="101"/>
      <c r="B5" s="102"/>
      <c r="C5" s="102"/>
      <c r="D5" s="102"/>
      <c r="E5" s="102"/>
      <c r="F5" s="102"/>
      <c r="G5" s="102"/>
      <c r="H5" s="102"/>
      <c r="I5" s="102"/>
      <c r="J5" s="102"/>
      <c r="K5" s="102"/>
      <c r="L5" s="127"/>
      <c r="M5" s="311" t="s">
        <v>33</v>
      </c>
      <c r="N5" s="72"/>
    </row>
    <row r="6" spans="1:14" s="8" customFormat="1" ht="18">
      <c r="A6" s="181"/>
      <c r="B6" s="182" t="s">
        <v>217</v>
      </c>
      <c r="C6" s="183"/>
      <c r="D6" s="183"/>
      <c r="E6" s="183"/>
      <c r="F6" s="183"/>
      <c r="G6" s="183"/>
      <c r="H6" s="183"/>
      <c r="I6" s="183"/>
      <c r="J6" s="183"/>
      <c r="K6" s="183"/>
      <c r="L6" s="184"/>
      <c r="M6" s="312" t="s">
        <v>34</v>
      </c>
    </row>
    <row r="7" spans="1:14" s="99" customFormat="1">
      <c r="A7" s="80"/>
      <c r="B7" s="72"/>
      <c r="C7" s="72"/>
      <c r="D7" s="72"/>
      <c r="E7" s="72"/>
      <c r="F7" s="72"/>
      <c r="G7" s="72"/>
      <c r="H7" s="72"/>
      <c r="I7" s="72"/>
      <c r="J7" s="72"/>
      <c r="K7" s="72"/>
      <c r="L7" s="81"/>
      <c r="M7" s="100" t="s">
        <v>8</v>
      </c>
    </row>
    <row r="8" spans="1:14" s="8" customFormat="1">
      <c r="A8" s="128"/>
      <c r="B8" s="125"/>
      <c r="C8" s="125"/>
      <c r="D8" s="125"/>
      <c r="E8" s="125"/>
      <c r="F8" s="125"/>
      <c r="G8" s="125"/>
      <c r="H8" s="125"/>
      <c r="I8" s="125"/>
      <c r="J8" s="125"/>
      <c r="K8" s="125"/>
      <c r="L8" s="126"/>
      <c r="M8" s="100" t="s">
        <v>8</v>
      </c>
    </row>
    <row r="9" spans="1:14" s="8" customFormat="1" ht="39" thickBot="1">
      <c r="A9" s="80"/>
      <c r="B9" s="72"/>
      <c r="C9" s="72"/>
      <c r="D9" s="72"/>
      <c r="E9" s="72"/>
      <c r="F9" s="72"/>
      <c r="G9" s="72"/>
      <c r="H9" s="88" t="s">
        <v>38</v>
      </c>
      <c r="I9" s="89" t="s">
        <v>17</v>
      </c>
      <c r="J9" s="89" t="s">
        <v>31</v>
      </c>
      <c r="K9" s="89" t="s">
        <v>32</v>
      </c>
      <c r="L9" s="98" t="s">
        <v>36</v>
      </c>
      <c r="M9" s="100" t="s">
        <v>8</v>
      </c>
    </row>
    <row r="10" spans="1:14" ht="13.5" thickTop="1">
      <c r="A10" s="80"/>
      <c r="B10" s="87" t="s">
        <v>47</v>
      </c>
      <c r="C10" s="72"/>
      <c r="D10" s="103"/>
      <c r="E10" s="72"/>
      <c r="F10" s="72"/>
      <c r="G10" s="72"/>
      <c r="H10" s="120">
        <f>H20+H29+H73+H122</f>
        <v>0</v>
      </c>
      <c r="I10" s="121">
        <f>I20+I29+I73+I122</f>
        <v>0</v>
      </c>
      <c r="J10" s="121">
        <f>J20+J29+J73+J122</f>
        <v>0</v>
      </c>
      <c r="K10" s="121">
        <f>K20+K29+K73+K122</f>
        <v>0</v>
      </c>
      <c r="L10" s="105" t="str">
        <f>IF(SUM(J10:K10)=0,"",J10/SUM(J10:K10))</f>
        <v/>
      </c>
      <c r="M10" s="100" t="s">
        <v>8</v>
      </c>
    </row>
    <row r="11" spans="1:14" s="8" customFormat="1" ht="12.75" customHeight="1">
      <c r="A11" s="80"/>
      <c r="B11" s="72"/>
      <c r="C11" s="72"/>
      <c r="D11" s="72"/>
      <c r="E11" s="72"/>
      <c r="F11" s="72"/>
      <c r="G11" s="72"/>
      <c r="H11" s="72"/>
      <c r="I11" s="72"/>
      <c r="J11" s="72"/>
      <c r="K11" s="72"/>
      <c r="L11" s="81"/>
      <c r="M11" s="100" t="s">
        <v>8</v>
      </c>
    </row>
    <row r="12" spans="1:14" s="8" customFormat="1" ht="12.75" customHeight="1">
      <c r="A12" s="84"/>
      <c r="B12" s="85"/>
      <c r="C12" s="85"/>
      <c r="D12" s="85"/>
      <c r="E12" s="85"/>
      <c r="F12" s="85"/>
      <c r="G12" s="85"/>
      <c r="H12" s="85"/>
      <c r="I12" s="85"/>
      <c r="J12" s="85"/>
      <c r="K12" s="85"/>
      <c r="L12" s="86"/>
      <c r="M12" s="100" t="s">
        <v>8</v>
      </c>
    </row>
    <row r="13" spans="1:14" s="8" customFormat="1">
      <c r="A13" s="84"/>
      <c r="B13" s="72"/>
      <c r="C13" s="72"/>
      <c r="D13" s="72"/>
      <c r="E13" s="72"/>
      <c r="F13" s="72"/>
      <c r="G13" s="72"/>
      <c r="H13" s="72"/>
      <c r="I13" s="72"/>
      <c r="J13" s="72"/>
      <c r="K13" s="72"/>
      <c r="L13" s="86"/>
      <c r="M13" s="82" t="str">
        <f>'Workbook Set-up'!$B$21</f>
        <v>Yes</v>
      </c>
    </row>
    <row r="14" spans="1:14" s="8" customFormat="1" ht="15.75">
      <c r="A14" s="557" t="s">
        <v>263</v>
      </c>
      <c r="B14" s="571"/>
      <c r="C14" s="571"/>
      <c r="D14" s="571"/>
      <c r="E14" s="571"/>
      <c r="F14" s="571"/>
      <c r="G14" s="571"/>
      <c r="H14" s="571"/>
      <c r="I14" s="571"/>
      <c r="J14" s="571"/>
      <c r="K14" s="571"/>
      <c r="L14" s="572"/>
      <c r="M14" s="82" t="str">
        <f>'Workbook Set-up'!$B$21</f>
        <v>Yes</v>
      </c>
    </row>
    <row r="15" spans="1:14" s="8" customFormat="1" ht="13.9" customHeight="1">
      <c r="A15" s="80"/>
      <c r="B15" s="72"/>
      <c r="C15" s="72"/>
      <c r="D15" s="72"/>
      <c r="E15" s="72"/>
      <c r="F15" s="72"/>
      <c r="G15" s="72"/>
      <c r="H15" s="72"/>
      <c r="I15" s="72"/>
      <c r="J15" s="72"/>
      <c r="K15" s="72"/>
      <c r="L15" s="81"/>
      <c r="M15" s="82" t="str">
        <f>'Workbook Set-up'!$B$21</f>
        <v>Yes</v>
      </c>
    </row>
    <row r="16" spans="1:14" s="8" customFormat="1" ht="26.25" thickBot="1">
      <c r="A16" s="80"/>
      <c r="B16" s="87"/>
      <c r="C16" s="72"/>
      <c r="D16" s="72"/>
      <c r="E16" s="72"/>
      <c r="F16" s="72"/>
      <c r="G16" s="72"/>
      <c r="H16" s="88" t="s">
        <v>35</v>
      </c>
      <c r="I16" s="89" t="s">
        <v>17</v>
      </c>
      <c r="J16" s="89" t="s">
        <v>31</v>
      </c>
      <c r="K16" s="89" t="s">
        <v>32</v>
      </c>
      <c r="L16" s="89" t="s">
        <v>36</v>
      </c>
      <c r="M16" s="82" t="str">
        <f>'Workbook Set-up'!$B$21</f>
        <v>Yes</v>
      </c>
    </row>
    <row r="17" spans="1:13" s="8" customFormat="1" ht="13.5" thickTop="1">
      <c r="A17" s="80">
        <v>1</v>
      </c>
      <c r="B17" s="83" t="s">
        <v>222</v>
      </c>
      <c r="C17" s="90"/>
      <c r="D17" s="72"/>
      <c r="E17" s="72"/>
      <c r="F17" s="72"/>
      <c r="G17" s="72"/>
      <c r="H17" s="91">
        <f>J17+K17</f>
        <v>0</v>
      </c>
      <c r="I17" s="91">
        <f>'Support Employ Initial'!M9</f>
        <v>0</v>
      </c>
      <c r="J17" s="91">
        <f>'Support Employ Initial'!I9</f>
        <v>0</v>
      </c>
      <c r="K17" s="91">
        <f>'Support Employ Initial'!K9</f>
        <v>0</v>
      </c>
      <c r="L17" s="92">
        <f>'Support Employ Initial'!J9</f>
        <v>0</v>
      </c>
      <c r="M17" s="82" t="str">
        <f>'Workbook Set-up'!$B$21</f>
        <v>Yes</v>
      </c>
    </row>
    <row r="18" spans="1:13" s="8" customFormat="1">
      <c r="A18" s="80">
        <v>2</v>
      </c>
      <c r="B18" s="83" t="s">
        <v>216</v>
      </c>
      <c r="C18" s="90"/>
      <c r="D18" s="72"/>
      <c r="E18" s="72"/>
      <c r="F18" s="72"/>
      <c r="G18" s="72"/>
      <c r="H18" s="91">
        <f>J18+K18</f>
        <v>0</v>
      </c>
      <c r="I18" s="91">
        <f>'Support Employ Initial'!M10</f>
        <v>0</v>
      </c>
      <c r="J18" s="91">
        <f>'Support Employ Initial'!I10</f>
        <v>0</v>
      </c>
      <c r="K18" s="91">
        <f>'Support Employ Initial'!K10</f>
        <v>0</v>
      </c>
      <c r="L18" s="92">
        <f>'Support Employ Initial'!J10</f>
        <v>0</v>
      </c>
      <c r="M18" s="82"/>
    </row>
    <row r="19" spans="1:13" s="8" customFormat="1" ht="43.15" customHeight="1" thickBot="1">
      <c r="A19" s="80">
        <v>3</v>
      </c>
      <c r="B19" s="560" t="s">
        <v>316</v>
      </c>
      <c r="C19" s="560"/>
      <c r="D19" s="560"/>
      <c r="E19" s="560"/>
      <c r="F19" s="560"/>
      <c r="G19" s="561"/>
      <c r="H19" s="306">
        <f t="shared" ref="H19" si="0">J19+K19</f>
        <v>0</v>
      </c>
      <c r="I19" s="306">
        <f>'Support Employ Initial'!M13</f>
        <v>0</v>
      </c>
      <c r="J19" s="306">
        <f>'Support Employ Initial'!I13</f>
        <v>0</v>
      </c>
      <c r="K19" s="306">
        <f>'Support Employ Initial'!K13</f>
        <v>0</v>
      </c>
      <c r="L19" s="307">
        <f>'Support Employ Initial'!J13</f>
        <v>0</v>
      </c>
      <c r="M19" s="82" t="str">
        <f>'Workbook Set-up'!$B$21</f>
        <v>Yes</v>
      </c>
    </row>
    <row r="20" spans="1:13" s="8" customFormat="1">
      <c r="A20" s="80"/>
      <c r="B20" s="72"/>
      <c r="C20" s="72"/>
      <c r="D20" s="72"/>
      <c r="E20" s="72"/>
      <c r="F20" s="72"/>
      <c r="G20" s="95" t="s">
        <v>37</v>
      </c>
      <c r="H20" s="96">
        <f>SUM(H17:H19)</f>
        <v>0</v>
      </c>
      <c r="I20" s="96">
        <f>SUM(I17:I19)</f>
        <v>0</v>
      </c>
      <c r="J20" s="96">
        <f>SUM(J17:J19)</f>
        <v>0</v>
      </c>
      <c r="K20" s="96">
        <f>SUM(K17:K19)</f>
        <v>0</v>
      </c>
      <c r="L20" s="97">
        <f>IF(SUM(J20:K20)=0,0,J20/SUM(J20:K20))</f>
        <v>0</v>
      </c>
      <c r="M20" s="82" t="str">
        <f>'Workbook Set-up'!$B$21</f>
        <v>Yes</v>
      </c>
    </row>
    <row r="21" spans="1:13" s="8" customFormat="1">
      <c r="A21" s="84"/>
      <c r="B21" s="85"/>
      <c r="C21" s="85"/>
      <c r="D21" s="85"/>
      <c r="E21" s="85"/>
      <c r="F21" s="85"/>
      <c r="G21" s="85"/>
      <c r="H21" s="85"/>
      <c r="I21" s="85"/>
      <c r="J21" s="85"/>
      <c r="K21" s="85"/>
      <c r="L21" s="86"/>
      <c r="M21" s="82" t="str">
        <f>'Workbook Set-up'!$B$21</f>
        <v>Yes</v>
      </c>
    </row>
    <row r="22" spans="1:13" s="8" customFormat="1">
      <c r="A22" s="84"/>
      <c r="B22" s="72"/>
      <c r="C22" s="72"/>
      <c r="D22" s="72"/>
      <c r="E22" s="72"/>
      <c r="F22" s="72"/>
      <c r="G22" s="72"/>
      <c r="H22" s="72"/>
      <c r="I22" s="72"/>
      <c r="J22" s="72"/>
      <c r="K22" s="72"/>
      <c r="L22" s="86"/>
      <c r="M22" s="82" t="str">
        <f>'Workbook Set-up'!$B$22</f>
        <v>Yes</v>
      </c>
    </row>
    <row r="23" spans="1:13" s="8" customFormat="1" ht="15.75">
      <c r="A23" s="557" t="s">
        <v>264</v>
      </c>
      <c r="B23" s="571"/>
      <c r="C23" s="571"/>
      <c r="D23" s="571"/>
      <c r="E23" s="571"/>
      <c r="F23" s="571"/>
      <c r="G23" s="571"/>
      <c r="H23" s="571"/>
      <c r="I23" s="571"/>
      <c r="J23" s="571"/>
      <c r="K23" s="571"/>
      <c r="L23" s="572"/>
      <c r="M23" s="82" t="str">
        <f>'Workbook Set-up'!$B$22</f>
        <v>Yes</v>
      </c>
    </row>
    <row r="24" spans="1:13" s="8" customFormat="1" ht="13.9" customHeight="1">
      <c r="A24" s="80"/>
      <c r="B24" s="72"/>
      <c r="C24" s="72"/>
      <c r="D24" s="72"/>
      <c r="E24" s="72"/>
      <c r="F24" s="72"/>
      <c r="G24" s="72"/>
      <c r="H24" s="72"/>
      <c r="I24" s="72"/>
      <c r="J24" s="72"/>
      <c r="K24" s="72"/>
      <c r="L24" s="81"/>
      <c r="M24" s="82" t="str">
        <f>'Workbook Set-up'!$B$22</f>
        <v>Yes</v>
      </c>
    </row>
    <row r="25" spans="1:13" s="8" customFormat="1" ht="26.25" thickBot="1">
      <c r="A25" s="80"/>
      <c r="B25" s="87"/>
      <c r="C25" s="72"/>
      <c r="D25" s="72"/>
      <c r="E25" s="72"/>
      <c r="F25" s="72"/>
      <c r="G25" s="72"/>
      <c r="H25" s="88" t="s">
        <v>35</v>
      </c>
      <c r="I25" s="89" t="s">
        <v>17</v>
      </c>
      <c r="J25" s="89" t="s">
        <v>31</v>
      </c>
      <c r="K25" s="89" t="s">
        <v>32</v>
      </c>
      <c r="L25" s="89" t="s">
        <v>36</v>
      </c>
      <c r="M25" s="82" t="str">
        <f>'Workbook Set-up'!$B$22</f>
        <v>Yes</v>
      </c>
    </row>
    <row r="26" spans="1:13" s="8" customFormat="1" ht="13.5" thickTop="1">
      <c r="A26" s="80">
        <v>1</v>
      </c>
      <c r="B26" s="83" t="s">
        <v>222</v>
      </c>
      <c r="C26" s="90"/>
      <c r="D26" s="72"/>
      <c r="E26" s="72"/>
      <c r="F26" s="72"/>
      <c r="G26" s="72"/>
      <c r="H26" s="91">
        <f>J26+K26</f>
        <v>0</v>
      </c>
      <c r="I26" s="91">
        <f>'Support Employ Continuation'!M9</f>
        <v>0</v>
      </c>
      <c r="J26" s="91">
        <f>'Support Employ Continuation'!I9</f>
        <v>0</v>
      </c>
      <c r="K26" s="91">
        <f>'Support Employ Continuation'!K9</f>
        <v>0</v>
      </c>
      <c r="L26" s="92">
        <f>'Support Employ Continuation'!J9</f>
        <v>0</v>
      </c>
      <c r="M26" s="82" t="str">
        <f>'Workbook Set-up'!$B$22</f>
        <v>Yes</v>
      </c>
    </row>
    <row r="27" spans="1:13" s="8" customFormat="1">
      <c r="A27" s="80">
        <v>2</v>
      </c>
      <c r="B27" s="83" t="s">
        <v>220</v>
      </c>
      <c r="C27" s="90"/>
      <c r="D27" s="72"/>
      <c r="E27" s="72"/>
      <c r="F27" s="72"/>
      <c r="G27" s="72"/>
      <c r="H27" s="91">
        <f>J27+K27</f>
        <v>0</v>
      </c>
      <c r="I27" s="91">
        <f>'Support Employ Continuation'!M10</f>
        <v>0</v>
      </c>
      <c r="J27" s="91">
        <f>'Support Employ Continuation'!I10</f>
        <v>0</v>
      </c>
      <c r="K27" s="91">
        <f>'Support Employ Continuation'!K10</f>
        <v>0</v>
      </c>
      <c r="L27" s="92">
        <f>'Support Employ Continuation'!J10</f>
        <v>0</v>
      </c>
      <c r="M27" s="82"/>
    </row>
    <row r="28" spans="1:13" s="8" customFormat="1" ht="47.1" customHeight="1">
      <c r="A28" s="72">
        <v>3</v>
      </c>
      <c r="B28" s="565" t="s">
        <v>364</v>
      </c>
      <c r="C28" s="565"/>
      <c r="D28" s="565"/>
      <c r="E28" s="72"/>
      <c r="F28" s="72"/>
      <c r="G28" s="72"/>
      <c r="H28" s="91">
        <f>J28+K28</f>
        <v>0</v>
      </c>
      <c r="I28" s="91">
        <f>'Support Employ Continuation'!M13</f>
        <v>0</v>
      </c>
      <c r="J28" s="91">
        <f>'Support Employ Continuation'!I13</f>
        <v>0</v>
      </c>
      <c r="K28" s="91">
        <f>'Support Employ Continuation'!K13</f>
        <v>0</v>
      </c>
      <c r="L28" s="92">
        <f>'Support Employ Continuation'!J13</f>
        <v>0</v>
      </c>
      <c r="M28" s="82"/>
    </row>
    <row r="29" spans="1:13" s="8" customFormat="1">
      <c r="A29" s="80"/>
      <c r="B29" s="72"/>
      <c r="C29" s="72"/>
      <c r="D29" s="72"/>
      <c r="E29" s="72"/>
      <c r="F29" s="72"/>
      <c r="G29" s="95" t="s">
        <v>37</v>
      </c>
      <c r="H29" s="96">
        <f>SUM(H26:H28)</f>
        <v>0</v>
      </c>
      <c r="I29" s="96">
        <f>SUM(I26:I28)</f>
        <v>0</v>
      </c>
      <c r="J29" s="91">
        <f>'Support Employ Continuation'!I12</f>
        <v>0</v>
      </c>
      <c r="K29" s="96">
        <f>SUM(K26:K28)</f>
        <v>0</v>
      </c>
      <c r="L29" s="97">
        <f>IF(SUM(J29:K29)=0,0,J29/SUM(J29:K29))</f>
        <v>0</v>
      </c>
      <c r="M29" s="82" t="str">
        <f>'Workbook Set-up'!$B$22</f>
        <v>Yes</v>
      </c>
    </row>
    <row r="30" spans="1:13" s="8" customFormat="1">
      <c r="A30" s="84"/>
      <c r="B30" s="85"/>
      <c r="C30" s="85"/>
      <c r="D30" s="85"/>
      <c r="E30" s="85"/>
      <c r="F30" s="85"/>
      <c r="G30" s="85"/>
      <c r="H30" s="85"/>
      <c r="I30" s="85"/>
      <c r="J30" s="85"/>
      <c r="K30" s="85"/>
      <c r="L30" s="86"/>
      <c r="M30" s="82" t="str">
        <f>'Workbook Set-up'!$B$22</f>
        <v>Yes</v>
      </c>
    </row>
    <row r="31" spans="1:13" s="8" customFormat="1">
      <c r="A31" s="84"/>
      <c r="B31" s="72"/>
      <c r="C31" s="72"/>
      <c r="D31" s="72"/>
      <c r="E31" s="72"/>
      <c r="F31" s="72"/>
      <c r="G31" s="72"/>
      <c r="H31" s="72"/>
      <c r="I31" s="72"/>
      <c r="J31" s="72"/>
      <c r="K31" s="72"/>
      <c r="L31" s="86"/>
      <c r="M31" s="82"/>
    </row>
    <row r="32" spans="1:13" s="8" customFormat="1" ht="15.75">
      <c r="A32" s="557" t="s">
        <v>383</v>
      </c>
      <c r="B32" s="571"/>
      <c r="C32" s="571"/>
      <c r="D32" s="571"/>
      <c r="E32" s="571"/>
      <c r="F32" s="571"/>
      <c r="G32" s="571"/>
      <c r="H32" s="571"/>
      <c r="I32" s="571"/>
      <c r="J32" s="571"/>
      <c r="K32" s="571"/>
      <c r="L32" s="572"/>
      <c r="M32" s="82" t="str">
        <f>'Workbook Set-up'!$B$22</f>
        <v>Yes</v>
      </c>
    </row>
    <row r="33" spans="1:13" s="8" customFormat="1">
      <c r="A33" s="80"/>
      <c r="B33" s="72"/>
      <c r="C33" s="72"/>
      <c r="D33" s="72"/>
      <c r="E33" s="72"/>
      <c r="F33" s="72"/>
      <c r="G33" s="72"/>
      <c r="H33" s="72"/>
      <c r="I33" s="72"/>
      <c r="J33" s="72"/>
      <c r="K33" s="72"/>
      <c r="L33" s="81"/>
      <c r="M33" s="82" t="str">
        <f>'Workbook Set-up'!$B$22</f>
        <v>Yes</v>
      </c>
    </row>
    <row r="34" spans="1:13" s="8" customFormat="1" ht="26.25" thickBot="1">
      <c r="A34" s="80"/>
      <c r="B34" s="87"/>
      <c r="C34" s="72"/>
      <c r="D34" s="72"/>
      <c r="E34" s="72"/>
      <c r="F34" s="72"/>
      <c r="G34" s="72"/>
      <c r="H34" s="88" t="s">
        <v>35</v>
      </c>
      <c r="I34" s="89" t="s">
        <v>17</v>
      </c>
      <c r="J34" s="89" t="s">
        <v>31</v>
      </c>
      <c r="K34" s="89" t="s">
        <v>32</v>
      </c>
      <c r="L34" s="89" t="s">
        <v>36</v>
      </c>
      <c r="M34" s="82" t="str">
        <f>'Workbook Set-up'!$B$22</f>
        <v>Yes</v>
      </c>
    </row>
    <row r="35" spans="1:13" s="8" customFormat="1" ht="13.5" thickTop="1">
      <c r="A35" s="80">
        <v>1</v>
      </c>
      <c r="B35" s="83" t="s">
        <v>222</v>
      </c>
      <c r="C35" s="90"/>
      <c r="D35" s="72"/>
      <c r="E35" s="72"/>
      <c r="F35" s="72"/>
      <c r="G35" s="72"/>
      <c r="H35" s="91">
        <f>J35+K35</f>
        <v>0</v>
      </c>
      <c r="I35" s="533"/>
      <c r="J35" s="91">
        <f>'LTVS Initial'!I9</f>
        <v>0</v>
      </c>
      <c r="K35" s="91">
        <f>'LTVS Initial'!K9</f>
        <v>0</v>
      </c>
      <c r="L35" s="92">
        <f>'LTVS Initial'!J9</f>
        <v>0</v>
      </c>
      <c r="M35" s="82" t="str">
        <f>'Workbook Set-up'!$B$22</f>
        <v>Yes</v>
      </c>
    </row>
    <row r="36" spans="1:13" s="8" customFormat="1">
      <c r="A36" s="80">
        <v>2</v>
      </c>
      <c r="B36" s="83" t="s">
        <v>220</v>
      </c>
      <c r="C36" s="90"/>
      <c r="D36" s="72"/>
      <c r="E36" s="72"/>
      <c r="F36" s="72"/>
      <c r="G36" s="72"/>
      <c r="H36" s="91">
        <f t="shared" ref="H36" si="1">J36+K36</f>
        <v>0</v>
      </c>
      <c r="I36" s="533"/>
      <c r="J36" s="91">
        <f>'LTVS Initial'!I12</f>
        <v>0</v>
      </c>
      <c r="K36" s="91">
        <f>'LTVS Initial'!K12</f>
        <v>0</v>
      </c>
      <c r="L36" s="92">
        <f>'LTVS Initial'!J12</f>
        <v>0</v>
      </c>
      <c r="M36" s="82"/>
    </row>
    <row r="37" spans="1:13" s="8" customFormat="1">
      <c r="A37" s="72">
        <v>3</v>
      </c>
      <c r="B37" s="570" t="s">
        <v>381</v>
      </c>
      <c r="C37" s="570"/>
      <c r="D37" s="570"/>
      <c r="E37" s="72"/>
      <c r="F37" s="72"/>
      <c r="G37" s="72"/>
      <c r="H37" s="91">
        <f t="shared" ref="H37:H38" si="2">J37+K37</f>
        <v>0</v>
      </c>
      <c r="I37" s="533"/>
      <c r="J37" s="91">
        <f>'LTVS Initial'!I13</f>
        <v>0</v>
      </c>
      <c r="K37" s="91">
        <f>'LTVS Initial'!K13</f>
        <v>0</v>
      </c>
      <c r="L37" s="92">
        <f>'LTVS Initial'!J13</f>
        <v>0</v>
      </c>
      <c r="M37" s="82"/>
    </row>
    <row r="38" spans="1:13" s="8" customFormat="1">
      <c r="A38" s="72">
        <v>4</v>
      </c>
      <c r="B38" s="565" t="s">
        <v>382</v>
      </c>
      <c r="C38" s="565"/>
      <c r="D38" s="565"/>
      <c r="E38" s="565"/>
      <c r="F38" s="565"/>
      <c r="G38" s="72"/>
      <c r="H38" s="91">
        <f t="shared" si="2"/>
        <v>0</v>
      </c>
      <c r="I38" s="533"/>
      <c r="J38" s="91">
        <f>'LTVS Initial'!I14</f>
        <v>0</v>
      </c>
      <c r="K38" s="91">
        <f>'LTVS Initial'!K14</f>
        <v>0</v>
      </c>
      <c r="L38" s="92">
        <f>'LTVS Initial'!J14</f>
        <v>0</v>
      </c>
      <c r="M38" s="82" t="str">
        <f>'Workbook Set-up'!$B$22</f>
        <v>Yes</v>
      </c>
    </row>
    <row r="39" spans="1:13" s="8" customFormat="1">
      <c r="A39" s="80"/>
      <c r="B39" s="72"/>
      <c r="C39" s="72"/>
      <c r="D39" s="72"/>
      <c r="E39" s="72"/>
      <c r="F39" s="72"/>
      <c r="G39" s="95" t="s">
        <v>37</v>
      </c>
      <c r="H39" s="96">
        <f>SUM(H35:H38)</f>
        <v>0</v>
      </c>
      <c r="I39" s="534">
        <f>SUM(I35:I38)</f>
        <v>0</v>
      </c>
      <c r="J39" s="91">
        <f>SUM(J35:J38)</f>
        <v>0</v>
      </c>
      <c r="K39" s="96">
        <f>SUM(K35:K38)</f>
        <v>0</v>
      </c>
      <c r="L39" s="97">
        <f>IF(SUM(J39:K39)=0,0,J39/SUM(J39:K39))</f>
        <v>0</v>
      </c>
      <c r="M39" s="82" t="str">
        <f>'Workbook Set-up'!$B$22</f>
        <v>Yes</v>
      </c>
    </row>
    <row r="40" spans="1:13" s="8" customFormat="1">
      <c r="A40" s="84"/>
      <c r="B40" s="85"/>
      <c r="C40" s="85"/>
      <c r="D40" s="85"/>
      <c r="E40" s="85"/>
      <c r="F40" s="85"/>
      <c r="G40" s="85"/>
      <c r="H40" s="85"/>
      <c r="I40" s="85"/>
      <c r="J40" s="85"/>
      <c r="K40" s="85"/>
      <c r="L40" s="86"/>
      <c r="M40" s="82" t="str">
        <f>'Workbook Set-up'!$B$22</f>
        <v>Yes</v>
      </c>
    </row>
    <row r="41" spans="1:13" s="8" customFormat="1">
      <c r="A41" s="84"/>
      <c r="B41" s="72"/>
      <c r="C41" s="72"/>
      <c r="D41" s="72"/>
      <c r="E41" s="72"/>
      <c r="F41" s="72"/>
      <c r="G41" s="72"/>
      <c r="H41" s="72"/>
      <c r="I41" s="72"/>
      <c r="J41" s="72"/>
      <c r="K41" s="72"/>
      <c r="L41" s="86"/>
      <c r="M41" s="82"/>
    </row>
    <row r="42" spans="1:13" s="8" customFormat="1" ht="15.75">
      <c r="A42" s="557" t="s">
        <v>384</v>
      </c>
      <c r="B42" s="571"/>
      <c r="C42" s="571"/>
      <c r="D42" s="571"/>
      <c r="E42" s="571"/>
      <c r="F42" s="571"/>
      <c r="G42" s="571"/>
      <c r="H42" s="571"/>
      <c r="I42" s="571"/>
      <c r="J42" s="571"/>
      <c r="K42" s="571"/>
      <c r="L42" s="572"/>
      <c r="M42" s="82" t="str">
        <f>'Workbook Set-up'!$B$22</f>
        <v>Yes</v>
      </c>
    </row>
    <row r="43" spans="1:13" s="8" customFormat="1">
      <c r="A43" s="80"/>
      <c r="B43" s="72"/>
      <c r="C43" s="72"/>
      <c r="D43" s="72"/>
      <c r="E43" s="72"/>
      <c r="F43" s="72"/>
      <c r="G43" s="72"/>
      <c r="H43" s="72"/>
      <c r="I43" s="72"/>
      <c r="J43" s="72"/>
      <c r="K43" s="72"/>
      <c r="L43" s="81"/>
      <c r="M43" s="82" t="str">
        <f>'Workbook Set-up'!$B$22</f>
        <v>Yes</v>
      </c>
    </row>
    <row r="44" spans="1:13" s="8" customFormat="1" ht="26.25" thickBot="1">
      <c r="A44" s="80"/>
      <c r="B44" s="87"/>
      <c r="C44" s="72"/>
      <c r="D44" s="72"/>
      <c r="E44" s="72"/>
      <c r="F44" s="72"/>
      <c r="G44" s="72"/>
      <c r="H44" s="88" t="s">
        <v>35</v>
      </c>
      <c r="I44" s="89" t="s">
        <v>17</v>
      </c>
      <c r="J44" s="89" t="s">
        <v>31</v>
      </c>
      <c r="K44" s="89" t="s">
        <v>32</v>
      </c>
      <c r="L44" s="89" t="s">
        <v>36</v>
      </c>
      <c r="M44" s="82" t="str">
        <f>'Workbook Set-up'!$B$22</f>
        <v>Yes</v>
      </c>
    </row>
    <row r="45" spans="1:13" s="8" customFormat="1" ht="13.5" thickTop="1">
      <c r="A45" s="80">
        <v>1</v>
      </c>
      <c r="B45" s="83" t="s">
        <v>222</v>
      </c>
      <c r="C45" s="90"/>
      <c r="D45" s="72"/>
      <c r="E45" s="72"/>
      <c r="F45" s="72"/>
      <c r="G45" s="72"/>
      <c r="H45" s="91">
        <f>J45+K45</f>
        <v>0</v>
      </c>
      <c r="I45" s="91">
        <f>'LTVS Continuation'!M9</f>
        <v>0</v>
      </c>
      <c r="J45" s="91">
        <f>'LTVS Continuation'!I9</f>
        <v>0</v>
      </c>
      <c r="K45" s="91">
        <f>'LTVS Continuation'!K9</f>
        <v>0</v>
      </c>
      <c r="L45" s="92">
        <f>'LTVS Continuation'!J9</f>
        <v>0</v>
      </c>
      <c r="M45" s="82" t="str">
        <f>'Workbook Set-up'!$B$22</f>
        <v>Yes</v>
      </c>
    </row>
    <row r="46" spans="1:13" s="8" customFormat="1">
      <c r="A46" s="80">
        <v>2</v>
      </c>
      <c r="B46" s="83" t="s">
        <v>220</v>
      </c>
      <c r="C46" s="90"/>
      <c r="D46" s="72"/>
      <c r="E46" s="72"/>
      <c r="F46" s="72"/>
      <c r="G46" s="72"/>
      <c r="H46" s="91">
        <f t="shared" ref="H46" si="3">J46+K46</f>
        <v>0</v>
      </c>
      <c r="I46" s="91">
        <f>'LTVS Continuation'!M12</f>
        <v>0</v>
      </c>
      <c r="J46" s="91">
        <f>'LTVS Continuation'!I12</f>
        <v>0</v>
      </c>
      <c r="K46" s="91">
        <f>'LTVS Continuation'!K12</f>
        <v>0</v>
      </c>
      <c r="L46" s="92">
        <f>'LTVS Continuation'!J12</f>
        <v>0</v>
      </c>
      <c r="M46" s="82"/>
    </row>
    <row r="47" spans="1:13" s="8" customFormat="1">
      <c r="A47" s="72">
        <v>3</v>
      </c>
      <c r="B47" s="570" t="s">
        <v>381</v>
      </c>
      <c r="C47" s="570"/>
      <c r="D47" s="570"/>
      <c r="E47" s="72"/>
      <c r="F47" s="72"/>
      <c r="G47" s="72"/>
      <c r="H47" s="91">
        <f t="shared" ref="H47:H49" si="4">J47+K47</f>
        <v>0</v>
      </c>
      <c r="I47" s="91">
        <f>'LTVS Continuation'!M13</f>
        <v>0</v>
      </c>
      <c r="J47" s="91">
        <f>'LTVS Continuation'!I13</f>
        <v>0</v>
      </c>
      <c r="K47" s="91">
        <f>'LTVS Continuation'!K13</f>
        <v>0</v>
      </c>
      <c r="L47" s="92">
        <f>'LTVS Continuation'!J13</f>
        <v>0</v>
      </c>
      <c r="M47" s="82"/>
    </row>
    <row r="48" spans="1:13" s="8" customFormat="1">
      <c r="A48" s="72">
        <v>4</v>
      </c>
      <c r="B48" s="560" t="s">
        <v>382</v>
      </c>
      <c r="C48" s="560"/>
      <c r="D48" s="560"/>
      <c r="E48" s="72"/>
      <c r="F48" s="72"/>
      <c r="G48" s="72"/>
      <c r="H48" s="91">
        <f t="shared" si="4"/>
        <v>0</v>
      </c>
      <c r="I48" s="91">
        <f>'LTVS Continuation'!M14</f>
        <v>0</v>
      </c>
      <c r="J48" s="91">
        <f>'LTVS Continuation'!I14</f>
        <v>0</v>
      </c>
      <c r="K48" s="91">
        <f>'LTVS Continuation'!K14</f>
        <v>0</v>
      </c>
      <c r="L48" s="92">
        <f>'LTVS Continuation'!J14</f>
        <v>0</v>
      </c>
      <c r="M48" s="82"/>
    </row>
    <row r="49" spans="1:13" s="8" customFormat="1" ht="38.65" customHeight="1">
      <c r="A49" s="72">
        <v>5</v>
      </c>
      <c r="B49" s="560" t="s">
        <v>385</v>
      </c>
      <c r="C49" s="560"/>
      <c r="D49" s="560"/>
      <c r="E49" s="508"/>
      <c r="F49" s="508"/>
      <c r="G49" s="72"/>
      <c r="H49" s="91">
        <f t="shared" si="4"/>
        <v>0</v>
      </c>
      <c r="I49" s="91">
        <f>'LTVS Continuation'!M15</f>
        <v>0</v>
      </c>
      <c r="J49" s="91">
        <f>'LTVS Continuation'!I15</f>
        <v>0</v>
      </c>
      <c r="K49" s="91">
        <f>'LTVS Continuation'!K15</f>
        <v>0</v>
      </c>
      <c r="L49" s="92">
        <f>'LTVS Continuation'!J15</f>
        <v>0</v>
      </c>
      <c r="M49" s="82" t="str">
        <f>'Workbook Set-up'!$B$22</f>
        <v>Yes</v>
      </c>
    </row>
    <row r="50" spans="1:13" s="8" customFormat="1">
      <c r="A50" s="80"/>
      <c r="B50" s="72"/>
      <c r="C50" s="72"/>
      <c r="D50" s="72"/>
      <c r="E50" s="72"/>
      <c r="F50" s="72"/>
      <c r="G50" s="95" t="s">
        <v>37</v>
      </c>
      <c r="H50" s="96">
        <f>SUM(H45:H49)</f>
        <v>0</v>
      </c>
      <c r="I50" s="96">
        <f>SUM(I45:I49)</f>
        <v>0</v>
      </c>
      <c r="J50" s="91">
        <f>SUM(J45:J49)</f>
        <v>0</v>
      </c>
      <c r="K50" s="96">
        <f>SUM(K45:K49)</f>
        <v>0</v>
      </c>
      <c r="L50" s="97">
        <f>IF(SUM(J50:K50)=0,0,J50/SUM(J50:K50))</f>
        <v>0</v>
      </c>
      <c r="M50" s="82" t="str">
        <f>'Workbook Set-up'!$B$22</f>
        <v>Yes</v>
      </c>
    </row>
    <row r="51" spans="1:13" s="8" customFormat="1">
      <c r="A51" s="84"/>
      <c r="B51" s="85"/>
      <c r="C51" s="85"/>
      <c r="D51" s="85"/>
      <c r="E51" s="85"/>
      <c r="F51" s="85"/>
      <c r="G51" s="85"/>
      <c r="H51" s="85"/>
      <c r="I51" s="85"/>
      <c r="J51" s="85"/>
      <c r="K51" s="85"/>
      <c r="L51" s="86"/>
      <c r="M51" s="82" t="str">
        <f>'Workbook Set-up'!$B$22</f>
        <v>Yes</v>
      </c>
    </row>
    <row r="52" spans="1:13" s="8" customFormat="1">
      <c r="A52" s="84"/>
      <c r="B52" s="72"/>
      <c r="C52" s="72"/>
      <c r="D52" s="72"/>
      <c r="E52" s="72"/>
      <c r="F52" s="72"/>
      <c r="G52" s="72"/>
      <c r="H52" s="72"/>
      <c r="I52" s="72"/>
      <c r="J52" s="72"/>
      <c r="K52" s="72"/>
      <c r="L52" s="86"/>
      <c r="M52" s="82"/>
    </row>
    <row r="53" spans="1:13" s="8" customFormat="1">
      <c r="A53" s="84"/>
      <c r="B53" s="72"/>
      <c r="C53" s="72"/>
      <c r="D53" s="72"/>
      <c r="E53" s="72"/>
      <c r="F53" s="72"/>
      <c r="G53" s="72"/>
      <c r="H53" s="72"/>
      <c r="I53" s="72"/>
      <c r="J53" s="72"/>
      <c r="K53" s="72"/>
      <c r="L53" s="86"/>
      <c r="M53" s="82"/>
    </row>
    <row r="54" spans="1:13" s="8" customFormat="1">
      <c r="A54" s="84"/>
      <c r="B54" s="72"/>
      <c r="C54" s="72"/>
      <c r="D54" s="72"/>
      <c r="E54" s="72"/>
      <c r="F54" s="72"/>
      <c r="G54" s="72"/>
      <c r="H54" s="72"/>
      <c r="I54" s="72"/>
      <c r="J54" s="72"/>
      <c r="K54" s="72"/>
      <c r="L54" s="86"/>
      <c r="M54" s="82"/>
    </row>
    <row r="55" spans="1:13" s="8" customFormat="1">
      <c r="A55" s="84"/>
      <c r="B55" s="72"/>
      <c r="C55" s="72"/>
      <c r="D55" s="72"/>
      <c r="E55" s="72"/>
      <c r="F55" s="72"/>
      <c r="G55" s="72"/>
      <c r="H55" s="72"/>
      <c r="I55" s="72"/>
      <c r="J55" s="72"/>
      <c r="K55" s="72"/>
      <c r="L55" s="86"/>
      <c r="M55" s="82"/>
    </row>
    <row r="56" spans="1:13" s="8" customFormat="1">
      <c r="A56" s="84"/>
      <c r="B56" s="72"/>
      <c r="C56" s="72"/>
      <c r="D56" s="72"/>
      <c r="E56" s="72"/>
      <c r="F56" s="72"/>
      <c r="G56" s="72"/>
      <c r="H56" s="72"/>
      <c r="I56" s="72"/>
      <c r="J56" s="72"/>
      <c r="K56" s="72"/>
      <c r="L56" s="86"/>
      <c r="M56" s="82" t="str">
        <f>'Workbook Set-up'!$B$25</f>
        <v>Yes</v>
      </c>
    </row>
    <row r="57" spans="1:13" s="8" customFormat="1" ht="15.75">
      <c r="A57" s="557" t="s">
        <v>265</v>
      </c>
      <c r="B57" s="571"/>
      <c r="C57" s="571"/>
      <c r="D57" s="571"/>
      <c r="E57" s="571"/>
      <c r="F57" s="571"/>
      <c r="G57" s="571"/>
      <c r="H57" s="571"/>
      <c r="I57" s="571"/>
      <c r="J57" s="571"/>
      <c r="K57" s="571"/>
      <c r="L57" s="572"/>
      <c r="M57" s="82" t="str">
        <f>'Workbook Set-up'!$B$25</f>
        <v>Yes</v>
      </c>
    </row>
    <row r="58" spans="1:13" s="8" customFormat="1" ht="13.9" customHeight="1">
      <c r="A58" s="80"/>
      <c r="B58" s="72"/>
      <c r="C58" s="72"/>
      <c r="D58" s="72"/>
      <c r="E58" s="72"/>
      <c r="F58" s="72"/>
      <c r="G58" s="72"/>
      <c r="H58" s="72"/>
      <c r="I58" s="72"/>
      <c r="J58" s="72"/>
      <c r="K58" s="72"/>
      <c r="L58" s="81"/>
      <c r="M58" s="82" t="str">
        <f>'Workbook Set-up'!$B$25</f>
        <v>Yes</v>
      </c>
    </row>
    <row r="59" spans="1:13" s="8" customFormat="1" ht="26.25" thickBot="1">
      <c r="A59" s="80"/>
      <c r="B59" s="87"/>
      <c r="C59" s="72"/>
      <c r="D59" s="72"/>
      <c r="E59" s="72"/>
      <c r="F59" s="72"/>
      <c r="G59" s="72"/>
      <c r="H59" s="88" t="s">
        <v>35</v>
      </c>
      <c r="I59" s="89" t="s">
        <v>17</v>
      </c>
      <c r="J59" s="89" t="s">
        <v>31</v>
      </c>
      <c r="K59" s="89" t="s">
        <v>32</v>
      </c>
      <c r="L59" s="89" t="s">
        <v>36</v>
      </c>
      <c r="M59" s="82" t="str">
        <f>'Workbook Set-up'!$B$25</f>
        <v>Yes</v>
      </c>
    </row>
    <row r="60" spans="1:13" s="8" customFormat="1" ht="13.5" thickTop="1">
      <c r="A60" s="80">
        <v>1</v>
      </c>
      <c r="B60" s="83" t="s">
        <v>222</v>
      </c>
      <c r="C60" s="90"/>
      <c r="D60" s="72"/>
      <c r="E60" s="72"/>
      <c r="F60" s="72"/>
      <c r="G60" s="72"/>
      <c r="H60" s="91">
        <f>J60+K60</f>
        <v>0</v>
      </c>
      <c r="I60" s="91">
        <f>'Dev Day Initial'!M11</f>
        <v>0</v>
      </c>
      <c r="J60" s="91">
        <f>'Dev Day Initial'!I11</f>
        <v>0</v>
      </c>
      <c r="K60" s="91">
        <f>'Dev Day Initial'!K11</f>
        <v>0</v>
      </c>
      <c r="L60" s="92">
        <f>'Dev Day Initial'!J11</f>
        <v>0</v>
      </c>
      <c r="M60" s="82" t="str">
        <f>'Workbook Set-up'!$B$25</f>
        <v>Yes</v>
      </c>
    </row>
    <row r="61" spans="1:13" s="8" customFormat="1" ht="30.4" customHeight="1" thickBot="1">
      <c r="A61" s="80">
        <v>2</v>
      </c>
      <c r="B61" s="562" t="s">
        <v>216</v>
      </c>
      <c r="C61" s="562"/>
      <c r="D61" s="562"/>
      <c r="E61" s="562"/>
      <c r="F61" s="562"/>
      <c r="G61" s="563"/>
      <c r="H61" s="306">
        <f t="shared" ref="H61" si="5">J61+K61</f>
        <v>0</v>
      </c>
      <c r="I61" s="91">
        <f>'Dev Day Initial'!M12</f>
        <v>0</v>
      </c>
      <c r="J61" s="91">
        <f>'Dev Day Initial'!I12</f>
        <v>0</v>
      </c>
      <c r="K61" s="91">
        <f>'Dev Day Initial'!K12</f>
        <v>0</v>
      </c>
      <c r="L61" s="92">
        <f>'Dev Day Initial'!J12</f>
        <v>0</v>
      </c>
      <c r="M61" s="82" t="str">
        <f>'Workbook Set-up'!$B$25</f>
        <v>Yes</v>
      </c>
    </row>
    <row r="62" spans="1:13" s="8" customFormat="1" ht="44.65" customHeight="1" thickBot="1">
      <c r="A62" s="80">
        <v>3</v>
      </c>
      <c r="B62" s="562" t="s">
        <v>254</v>
      </c>
      <c r="C62" s="562"/>
      <c r="D62" s="562"/>
      <c r="E62" s="562"/>
      <c r="F62" s="562"/>
      <c r="G62" s="563"/>
      <c r="H62" s="306">
        <f t="shared" ref="H62" si="6">J62+K62</f>
        <v>0</v>
      </c>
      <c r="I62" s="91">
        <f>'Dev Day Initial'!M13</f>
        <v>0</v>
      </c>
      <c r="J62" s="91">
        <f>'Dev Day Initial'!I13</f>
        <v>0</v>
      </c>
      <c r="K62" s="91">
        <f>'Dev Day Initial'!K13</f>
        <v>0</v>
      </c>
      <c r="L62" s="92">
        <f>'Dev Day Initial'!J13</f>
        <v>0</v>
      </c>
      <c r="M62" s="82" t="str">
        <f>'Workbook Set-up'!$B$25</f>
        <v>Yes</v>
      </c>
    </row>
    <row r="63" spans="1:13" s="8" customFormat="1">
      <c r="A63" s="80"/>
      <c r="B63" s="72"/>
      <c r="C63" s="72"/>
      <c r="D63" s="72"/>
      <c r="E63" s="72"/>
      <c r="F63" s="72"/>
      <c r="G63" s="95" t="s">
        <v>37</v>
      </c>
      <c r="H63" s="96">
        <f>SUM(H60:H62)</f>
        <v>0</v>
      </c>
      <c r="I63" s="96">
        <f>SUM(I60:I62)</f>
        <v>0</v>
      </c>
      <c r="J63" s="96">
        <f>SUM(J60:J62)</f>
        <v>0</v>
      </c>
      <c r="K63" s="96">
        <f>SUM(K60:K62)</f>
        <v>0</v>
      </c>
      <c r="L63" s="97">
        <f>IF(SUM(J63:K63)=0,0,J63/SUM(J63:K63))</f>
        <v>0</v>
      </c>
      <c r="M63" s="82" t="str">
        <f>'Workbook Set-up'!$B$25</f>
        <v>Yes</v>
      </c>
    </row>
    <row r="64" spans="1:13" s="8" customFormat="1">
      <c r="A64" s="84"/>
      <c r="B64" s="85"/>
      <c r="C64" s="85"/>
      <c r="D64" s="85"/>
      <c r="E64" s="85"/>
      <c r="F64" s="85"/>
      <c r="G64" s="85"/>
      <c r="H64" s="85"/>
      <c r="I64" s="85"/>
      <c r="J64" s="85"/>
      <c r="K64" s="85"/>
      <c r="L64" s="86"/>
      <c r="M64" s="82" t="str">
        <f>'Workbook Set-up'!$B$25</f>
        <v>Yes</v>
      </c>
    </row>
    <row r="65" spans="1:13" s="8" customFormat="1">
      <c r="A65" s="84"/>
      <c r="B65" s="72"/>
      <c r="C65" s="72"/>
      <c r="D65" s="72"/>
      <c r="E65" s="72"/>
      <c r="F65" s="72"/>
      <c r="G65" s="72"/>
      <c r="H65" s="72"/>
      <c r="I65" s="72"/>
      <c r="J65" s="72"/>
      <c r="K65" s="72"/>
      <c r="L65" s="86"/>
      <c r="M65" s="82" t="str">
        <f>'Workbook Set-up'!$B$26</f>
        <v>Yes</v>
      </c>
    </row>
    <row r="66" spans="1:13" s="8" customFormat="1" ht="15.75">
      <c r="A66" s="557" t="s">
        <v>308</v>
      </c>
      <c r="B66" s="571"/>
      <c r="C66" s="571"/>
      <c r="D66" s="571"/>
      <c r="E66" s="571"/>
      <c r="F66" s="571"/>
      <c r="G66" s="571"/>
      <c r="H66" s="571"/>
      <c r="I66" s="571"/>
      <c r="J66" s="571"/>
      <c r="K66" s="571"/>
      <c r="L66" s="572"/>
      <c r="M66" s="82" t="str">
        <f>'Workbook Set-up'!$B$26</f>
        <v>Yes</v>
      </c>
    </row>
    <row r="67" spans="1:13" s="8" customFormat="1" ht="13.9" customHeight="1">
      <c r="A67" s="80"/>
      <c r="B67" s="72"/>
      <c r="C67" s="72"/>
      <c r="D67" s="72"/>
      <c r="E67" s="72"/>
      <c r="F67" s="72"/>
      <c r="G67" s="72"/>
      <c r="H67" s="72"/>
      <c r="I67" s="72"/>
      <c r="J67" s="72"/>
      <c r="K67" s="72"/>
      <c r="L67" s="81"/>
      <c r="M67" s="82" t="str">
        <f>'Workbook Set-up'!$B$26</f>
        <v>Yes</v>
      </c>
    </row>
    <row r="68" spans="1:13" s="8" customFormat="1" ht="26.25" thickBot="1">
      <c r="A68" s="80"/>
      <c r="B68" s="87"/>
      <c r="C68" s="72"/>
      <c r="D68" s="72"/>
      <c r="E68" s="72"/>
      <c r="F68" s="72"/>
      <c r="G68" s="72"/>
      <c r="H68" s="88" t="s">
        <v>35</v>
      </c>
      <c r="I68" s="89" t="s">
        <v>17</v>
      </c>
      <c r="J68" s="89" t="s">
        <v>31</v>
      </c>
      <c r="K68" s="89" t="s">
        <v>32</v>
      </c>
      <c r="L68" s="89" t="s">
        <v>36</v>
      </c>
      <c r="M68" s="82" t="str">
        <f>'Workbook Set-up'!$B$26</f>
        <v>Yes</v>
      </c>
    </row>
    <row r="69" spans="1:13" s="8" customFormat="1" ht="13.5" thickTop="1">
      <c r="A69" s="80">
        <v>1</v>
      </c>
      <c r="B69" s="83" t="s">
        <v>222</v>
      </c>
      <c r="C69" s="90"/>
      <c r="D69" s="72"/>
      <c r="E69" s="72"/>
      <c r="F69" s="72"/>
      <c r="G69" s="72"/>
      <c r="H69" s="91">
        <f>J69+K69</f>
        <v>0</v>
      </c>
      <c r="I69" s="91">
        <f>'Dev Day Continuation'!M11</f>
        <v>0</v>
      </c>
      <c r="J69" s="91">
        <f>'Dev Day Continuation'!I11</f>
        <v>0</v>
      </c>
      <c r="K69" s="91">
        <f>'Dev Day Continuation'!K11</f>
        <v>0</v>
      </c>
      <c r="L69" s="92">
        <f>'Dev Day Continuation'!J11</f>
        <v>0</v>
      </c>
      <c r="M69" s="82" t="str">
        <f>'Workbook Set-up'!$B$26</f>
        <v>Yes</v>
      </c>
    </row>
    <row r="70" spans="1:13" s="8" customFormat="1">
      <c r="A70" s="80">
        <v>2</v>
      </c>
      <c r="B70" s="83" t="s">
        <v>220</v>
      </c>
      <c r="C70" s="90"/>
      <c r="D70" s="72"/>
      <c r="E70" s="72"/>
      <c r="F70" s="72"/>
      <c r="G70" s="72"/>
      <c r="H70" s="91">
        <f>J70+K70</f>
        <v>0</v>
      </c>
      <c r="I70" s="91">
        <f>'Dev Day Continuation'!M12</f>
        <v>0</v>
      </c>
      <c r="J70" s="91">
        <f>'Dev Day Continuation'!I12</f>
        <v>0</v>
      </c>
      <c r="K70" s="91">
        <f>'Dev Day Continuation'!K12</f>
        <v>0</v>
      </c>
      <c r="L70" s="92">
        <f>'Dev Day Continuation'!J12</f>
        <v>0</v>
      </c>
      <c r="M70" s="82" t="str">
        <f>'Workbook Set-up'!$B$26</f>
        <v>Yes</v>
      </c>
    </row>
    <row r="71" spans="1:13" s="8" customFormat="1">
      <c r="A71" s="80">
        <v>3</v>
      </c>
      <c r="B71" s="83" t="s">
        <v>336</v>
      </c>
      <c r="C71" s="90"/>
      <c r="D71" s="72"/>
      <c r="E71" s="72"/>
      <c r="F71" s="72"/>
      <c r="G71" s="72"/>
      <c r="H71" s="91">
        <f>J71+K71</f>
        <v>0</v>
      </c>
      <c r="I71" s="91">
        <f>'Dev Day Continuation'!M13</f>
        <v>0</v>
      </c>
      <c r="J71" s="91">
        <f>'Dev Day Continuation'!I13</f>
        <v>0</v>
      </c>
      <c r="K71" s="91">
        <f>'Dev Day Continuation'!K13</f>
        <v>0</v>
      </c>
      <c r="L71" s="92">
        <f>'Dev Day Continuation'!J13</f>
        <v>0</v>
      </c>
      <c r="M71" s="82"/>
    </row>
    <row r="72" spans="1:13" s="8" customFormat="1" ht="45.2" customHeight="1" thickBot="1">
      <c r="A72" s="72">
        <v>4</v>
      </c>
      <c r="B72" s="573" t="s">
        <v>261</v>
      </c>
      <c r="C72" s="573"/>
      <c r="D72" s="573"/>
      <c r="E72" s="573"/>
      <c r="F72" s="573"/>
      <c r="G72" s="72"/>
      <c r="H72" s="306">
        <f>J72+K72</f>
        <v>0</v>
      </c>
      <c r="I72" s="91">
        <f>'Dev Day Continuation'!M16</f>
        <v>0</v>
      </c>
      <c r="J72" s="91">
        <f>'Dev Day Continuation'!I16</f>
        <v>0</v>
      </c>
      <c r="K72" s="91">
        <f>'Dev Day Continuation'!K16</f>
        <v>0</v>
      </c>
      <c r="L72" s="92">
        <f>'Dev Day Continuation'!J16</f>
        <v>0</v>
      </c>
      <c r="M72" s="82" t="str">
        <f>'Workbook Set-up'!$B$26</f>
        <v>Yes</v>
      </c>
    </row>
    <row r="73" spans="1:13" s="8" customFormat="1">
      <c r="A73" s="80"/>
      <c r="B73" s="72"/>
      <c r="C73" s="72"/>
      <c r="D73" s="72"/>
      <c r="E73" s="72"/>
      <c r="F73" s="72"/>
      <c r="G73" s="95" t="s">
        <v>37</v>
      </c>
      <c r="H73" s="96">
        <f>SUM(H69:H72)</f>
        <v>0</v>
      </c>
      <c r="I73" s="96">
        <f>SUM(I69:I72)</f>
        <v>0</v>
      </c>
      <c r="J73" s="96">
        <f>SUM(J69:J72)</f>
        <v>0</v>
      </c>
      <c r="K73" s="96">
        <f>SUM(K69:K72)</f>
        <v>0</v>
      </c>
      <c r="L73" s="97">
        <f>IF(SUM(J73:K73)=0,0,J73/SUM(J73:K73))</f>
        <v>0</v>
      </c>
      <c r="M73" s="82" t="str">
        <f>'Workbook Set-up'!$B$26</f>
        <v>Yes</v>
      </c>
    </row>
    <row r="74" spans="1:13" s="8" customFormat="1">
      <c r="A74" s="84"/>
      <c r="B74" s="85"/>
      <c r="C74" s="85"/>
      <c r="D74" s="85"/>
      <c r="E74" s="85"/>
      <c r="F74" s="85"/>
      <c r="G74" s="85"/>
      <c r="H74" s="85"/>
      <c r="I74" s="85"/>
      <c r="J74" s="85"/>
      <c r="K74" s="85"/>
      <c r="L74" s="86"/>
      <c r="M74" s="82" t="str">
        <f>'Workbook Set-up'!$B$26</f>
        <v>Yes</v>
      </c>
    </row>
    <row r="75" spans="1:13" s="8" customFormat="1">
      <c r="A75" s="84"/>
      <c r="B75" s="72"/>
      <c r="C75" s="72"/>
      <c r="D75" s="72"/>
      <c r="E75" s="72"/>
      <c r="F75" s="72"/>
      <c r="G75" s="72"/>
      <c r="H75" s="72"/>
      <c r="I75" s="72"/>
      <c r="J75" s="72"/>
      <c r="K75" s="72"/>
      <c r="L75" s="86"/>
      <c r="M75" s="82" t="str">
        <f>'Workbook Set-up'!$B$27</f>
        <v>Yes</v>
      </c>
    </row>
    <row r="76" spans="1:13" s="8" customFormat="1" ht="15.75">
      <c r="A76" s="557" t="s">
        <v>267</v>
      </c>
      <c r="B76" s="571"/>
      <c r="C76" s="571"/>
      <c r="D76" s="571"/>
      <c r="E76" s="571"/>
      <c r="F76" s="571"/>
      <c r="G76" s="571"/>
      <c r="H76" s="571"/>
      <c r="I76" s="571"/>
      <c r="J76" s="571"/>
      <c r="K76" s="571"/>
      <c r="L76" s="572"/>
      <c r="M76" s="82" t="str">
        <f>'Workbook Set-up'!$B$27</f>
        <v>Yes</v>
      </c>
    </row>
    <row r="77" spans="1:13" s="8" customFormat="1" ht="13.9" customHeight="1">
      <c r="A77" s="80"/>
      <c r="B77" s="72"/>
      <c r="C77" s="72"/>
      <c r="D77" s="72"/>
      <c r="E77" s="72"/>
      <c r="F77" s="72"/>
      <c r="G77" s="72"/>
      <c r="H77" s="72"/>
      <c r="I77" s="72"/>
      <c r="J77" s="72"/>
      <c r="K77" s="72"/>
      <c r="L77" s="81"/>
      <c r="M77" s="82" t="str">
        <f>'Workbook Set-up'!$B$27</f>
        <v>Yes</v>
      </c>
    </row>
    <row r="78" spans="1:13" s="8" customFormat="1" ht="26.25" thickBot="1">
      <c r="A78" s="80"/>
      <c r="B78" s="87"/>
      <c r="C78" s="72"/>
      <c r="D78" s="72"/>
      <c r="E78" s="72"/>
      <c r="F78" s="72"/>
      <c r="G78" s="72"/>
      <c r="H78" s="88" t="s">
        <v>35</v>
      </c>
      <c r="I78" s="89" t="s">
        <v>17</v>
      </c>
      <c r="J78" s="89" t="s">
        <v>31</v>
      </c>
      <c r="K78" s="89" t="s">
        <v>32</v>
      </c>
      <c r="L78" s="89" t="s">
        <v>36</v>
      </c>
      <c r="M78" s="82" t="str">
        <f>'Workbook Set-up'!$B$27</f>
        <v>Yes</v>
      </c>
    </row>
    <row r="79" spans="1:13" s="8" customFormat="1" ht="13.5" thickTop="1">
      <c r="A79" s="80">
        <v>1</v>
      </c>
      <c r="B79" s="83" t="s">
        <v>222</v>
      </c>
      <c r="C79" s="90"/>
      <c r="D79" s="72"/>
      <c r="E79" s="72"/>
      <c r="F79" s="72"/>
      <c r="G79" s="72"/>
      <c r="H79" s="91">
        <f>J79+K79</f>
        <v>0</v>
      </c>
      <c r="I79" s="91">
        <f>'Day Activity Initial'!M11</f>
        <v>0</v>
      </c>
      <c r="J79" s="91">
        <f>'Day Activity Initial'!I11</f>
        <v>0</v>
      </c>
      <c r="K79" s="91">
        <f>'Day Activity Initial'!K11</f>
        <v>0</v>
      </c>
      <c r="L79" s="92">
        <f>'Day Activity Initial'!J11</f>
        <v>0</v>
      </c>
      <c r="M79" s="82" t="str">
        <f>'Workbook Set-up'!$B$27</f>
        <v>Yes</v>
      </c>
    </row>
    <row r="80" spans="1:13" s="8" customFormat="1">
      <c r="A80" s="80">
        <v>2</v>
      </c>
      <c r="B80" s="83" t="s">
        <v>216</v>
      </c>
      <c r="C80" s="90"/>
      <c r="D80" s="72"/>
      <c r="E80" s="72"/>
      <c r="F80" s="72"/>
      <c r="G80" s="72"/>
      <c r="H80" s="91">
        <f>J80+K80</f>
        <v>0</v>
      </c>
      <c r="I80" s="91">
        <f>'Day Activity Initial'!M12</f>
        <v>0</v>
      </c>
      <c r="J80" s="91">
        <f>'Day Activity Initial'!I12</f>
        <v>0</v>
      </c>
      <c r="K80" s="91">
        <f>'Day Activity Initial'!K12</f>
        <v>0</v>
      </c>
      <c r="L80" s="92">
        <f>'Day Activity Initial'!J12</f>
        <v>0</v>
      </c>
      <c r="M80" s="82" t="str">
        <f>'Workbook Set-up'!$B$27</f>
        <v>Yes</v>
      </c>
    </row>
    <row r="81" spans="1:13" s="8" customFormat="1">
      <c r="A81" s="80">
        <v>3</v>
      </c>
      <c r="B81" s="83" t="s">
        <v>220</v>
      </c>
      <c r="C81" s="90"/>
      <c r="D81" s="72"/>
      <c r="E81" s="72"/>
      <c r="F81" s="72"/>
      <c r="G81" s="72"/>
      <c r="H81" s="91">
        <f>J81+K81</f>
        <v>0</v>
      </c>
      <c r="I81" s="91">
        <f>'Day Activity Initial'!M13</f>
        <v>0</v>
      </c>
      <c r="J81" s="91">
        <f>'Day Activity Initial'!I13</f>
        <v>0</v>
      </c>
      <c r="K81" s="91">
        <f>'Day Activity Initial'!K13</f>
        <v>0</v>
      </c>
      <c r="L81" s="92">
        <f>'Day Activity Initial'!J13</f>
        <v>0</v>
      </c>
      <c r="M81" s="82"/>
    </row>
    <row r="82" spans="1:13" s="8" customFormat="1" ht="31.5" customHeight="1" thickBot="1">
      <c r="A82" s="80">
        <v>4</v>
      </c>
      <c r="B82" s="562" t="s">
        <v>371</v>
      </c>
      <c r="C82" s="562"/>
      <c r="D82" s="562"/>
      <c r="E82" s="562"/>
      <c r="F82" s="562"/>
      <c r="G82" s="72"/>
      <c r="H82" s="306">
        <f t="shared" ref="H82" si="7">J82+K82</f>
        <v>0</v>
      </c>
      <c r="I82" s="91">
        <f>'Day Activity Initial'!M17</f>
        <v>0</v>
      </c>
      <c r="J82" s="91">
        <f>'Day Activity Initial'!I17</f>
        <v>0</v>
      </c>
      <c r="K82" s="91">
        <f>'Day Activity Initial'!K17</f>
        <v>0</v>
      </c>
      <c r="L82" s="92">
        <f>'Day Activity Initial'!J17</f>
        <v>0</v>
      </c>
      <c r="M82" s="82" t="str">
        <f>'Workbook Set-up'!$B$27</f>
        <v>Yes</v>
      </c>
    </row>
    <row r="83" spans="1:13" s="8" customFormat="1">
      <c r="A83" s="80"/>
      <c r="B83" s="72"/>
      <c r="C83" s="72"/>
      <c r="D83" s="72"/>
      <c r="E83" s="72"/>
      <c r="F83" s="72"/>
      <c r="G83" s="95" t="s">
        <v>37</v>
      </c>
      <c r="H83" s="96">
        <f>SUM(H79:H82)</f>
        <v>0</v>
      </c>
      <c r="I83" s="96">
        <f>SUM(I79:I82)</f>
        <v>0</v>
      </c>
      <c r="J83" s="96">
        <f>SUM(J79:J82)</f>
        <v>0</v>
      </c>
      <c r="K83" s="96">
        <f>SUM(K79:K82)</f>
        <v>0</v>
      </c>
      <c r="L83" s="97">
        <f>IF(SUM(J83:K83)=0,0,J83/SUM(J83:K83))</f>
        <v>0</v>
      </c>
      <c r="M83" s="82" t="str">
        <f>'Workbook Set-up'!$B$27</f>
        <v>Yes</v>
      </c>
    </row>
    <row r="84" spans="1:13" s="8" customFormat="1">
      <c r="A84" s="84"/>
      <c r="B84" s="85"/>
      <c r="C84" s="85"/>
      <c r="D84" s="85"/>
      <c r="E84" s="85"/>
      <c r="F84" s="85"/>
      <c r="G84" s="85"/>
      <c r="H84" s="85"/>
      <c r="I84" s="85"/>
      <c r="J84" s="85"/>
      <c r="K84" s="85"/>
      <c r="L84" s="86"/>
      <c r="M84" s="82" t="str">
        <f>'Workbook Set-up'!$B$27</f>
        <v>Yes</v>
      </c>
    </row>
    <row r="85" spans="1:13" s="8" customFormat="1">
      <c r="A85" s="84"/>
      <c r="B85" s="72"/>
      <c r="C85" s="72"/>
      <c r="D85" s="72"/>
      <c r="E85" s="72"/>
      <c r="F85" s="72"/>
      <c r="G85" s="72"/>
      <c r="H85" s="72"/>
      <c r="I85" s="72"/>
      <c r="J85" s="72"/>
      <c r="K85" s="72"/>
      <c r="L85" s="86"/>
      <c r="M85" s="82" t="str">
        <f>'Workbook Set-up'!$B$28</f>
        <v>Yes</v>
      </c>
    </row>
    <row r="86" spans="1:13" s="8" customFormat="1" ht="15.75">
      <c r="A86" s="557" t="s">
        <v>268</v>
      </c>
      <c r="B86" s="571"/>
      <c r="C86" s="571"/>
      <c r="D86" s="571"/>
      <c r="E86" s="571"/>
      <c r="F86" s="571"/>
      <c r="G86" s="571"/>
      <c r="H86" s="571"/>
      <c r="I86" s="571"/>
      <c r="J86" s="571"/>
      <c r="K86" s="571"/>
      <c r="L86" s="572"/>
      <c r="M86" s="82" t="str">
        <f>'Workbook Set-up'!$B$28</f>
        <v>Yes</v>
      </c>
    </row>
    <row r="87" spans="1:13" s="8" customFormat="1" ht="13.9" customHeight="1">
      <c r="A87" s="80"/>
      <c r="B87" s="72"/>
      <c r="C87" s="72"/>
      <c r="D87" s="72"/>
      <c r="E87" s="72"/>
      <c r="F87" s="72"/>
      <c r="G87" s="72"/>
      <c r="H87" s="72"/>
      <c r="I87" s="72"/>
      <c r="J87" s="72"/>
      <c r="K87" s="72"/>
      <c r="L87" s="81"/>
      <c r="M87" s="82" t="str">
        <f>'Workbook Set-up'!$B$28</f>
        <v>Yes</v>
      </c>
    </row>
    <row r="88" spans="1:13" s="8" customFormat="1" ht="26.25" thickBot="1">
      <c r="A88" s="80"/>
      <c r="B88" s="87"/>
      <c r="C88" s="72"/>
      <c r="D88" s="72"/>
      <c r="E88" s="72"/>
      <c r="F88" s="72"/>
      <c r="G88" s="72"/>
      <c r="H88" s="88" t="s">
        <v>35</v>
      </c>
      <c r="I88" s="89" t="s">
        <v>17</v>
      </c>
      <c r="J88" s="89" t="s">
        <v>31</v>
      </c>
      <c r="K88" s="89" t="s">
        <v>32</v>
      </c>
      <c r="L88" s="89" t="s">
        <v>36</v>
      </c>
      <c r="M88" s="82" t="str">
        <f>'Workbook Set-up'!$B$28</f>
        <v>Yes</v>
      </c>
    </row>
    <row r="89" spans="1:13" s="8" customFormat="1" ht="13.5" thickTop="1">
      <c r="A89" s="80">
        <v>1</v>
      </c>
      <c r="B89" s="83" t="s">
        <v>222</v>
      </c>
      <c r="C89" s="90"/>
      <c r="D89" s="72"/>
      <c r="E89" s="72"/>
      <c r="F89" s="72"/>
      <c r="G89" s="72"/>
      <c r="H89" s="91">
        <f>J89+K89</f>
        <v>0</v>
      </c>
      <c r="I89" s="91">
        <f>'Day Activity Continuation'!M11</f>
        <v>0</v>
      </c>
      <c r="J89" s="91">
        <f>'Day Activity Continuation'!I11</f>
        <v>0</v>
      </c>
      <c r="K89" s="91">
        <f>'Day Activity Continuation'!K11</f>
        <v>0</v>
      </c>
      <c r="L89" s="92">
        <f>'Day Activity Continuation'!J11</f>
        <v>0</v>
      </c>
      <c r="M89" s="82" t="str">
        <f>'Workbook Set-up'!$B$28</f>
        <v>Yes</v>
      </c>
    </row>
    <row r="90" spans="1:13" s="8" customFormat="1">
      <c r="A90" s="80">
        <v>2</v>
      </c>
      <c r="B90" s="83" t="s">
        <v>335</v>
      </c>
      <c r="C90" s="90"/>
      <c r="D90" s="72"/>
      <c r="E90" s="72"/>
      <c r="F90" s="72"/>
      <c r="G90" s="72"/>
      <c r="H90" s="91">
        <f>J90+K90</f>
        <v>0</v>
      </c>
      <c r="I90" s="91">
        <f>'Day Activity Continuation'!M12</f>
        <v>0</v>
      </c>
      <c r="J90" s="91">
        <f>'Day Activity Continuation'!I12</f>
        <v>0</v>
      </c>
      <c r="K90" s="91">
        <f>'Day Activity Continuation'!K12</f>
        <v>0</v>
      </c>
      <c r="L90" s="92">
        <f>'Day Activity Continuation'!J12</f>
        <v>0</v>
      </c>
      <c r="M90" s="82" t="str">
        <f>'Workbook Set-up'!$B$28</f>
        <v>Yes</v>
      </c>
    </row>
    <row r="91" spans="1:13" s="8" customFormat="1">
      <c r="A91" s="80">
        <v>3</v>
      </c>
      <c r="B91" s="83" t="s">
        <v>220</v>
      </c>
      <c r="C91" s="90"/>
      <c r="D91" s="72"/>
      <c r="E91" s="72"/>
      <c r="F91" s="72"/>
      <c r="G91" s="72"/>
      <c r="H91" s="91">
        <f>J91+K91</f>
        <v>0</v>
      </c>
      <c r="I91" s="91">
        <f>'Day Activity Continuation'!M13</f>
        <v>0</v>
      </c>
      <c r="J91" s="91">
        <f>'Day Activity Continuation'!I13</f>
        <v>0</v>
      </c>
      <c r="K91" s="91">
        <f>'Day Activity Continuation'!K13</f>
        <v>0</v>
      </c>
      <c r="L91" s="92">
        <f>'Day Activity Continuation'!J13</f>
        <v>0</v>
      </c>
      <c r="M91" s="82"/>
    </row>
    <row r="92" spans="1:13" s="8" customFormat="1" ht="45.2" customHeight="1" thickBot="1">
      <c r="A92" s="80">
        <v>4</v>
      </c>
      <c r="B92" s="568" t="s">
        <v>372</v>
      </c>
      <c r="C92" s="568"/>
      <c r="D92" s="568"/>
      <c r="E92" s="568"/>
      <c r="F92" s="568"/>
      <c r="G92" s="72"/>
      <c r="H92" s="306">
        <f>J92+K92</f>
        <v>0</v>
      </c>
      <c r="I92" s="91">
        <f>'Day Activity Continuation'!M22</f>
        <v>0</v>
      </c>
      <c r="J92" s="91">
        <f>'Day Activity Continuation'!I22</f>
        <v>0</v>
      </c>
      <c r="K92" s="91">
        <f>'Day Activity Continuation'!K22</f>
        <v>0</v>
      </c>
      <c r="L92" s="92">
        <f>'Day Activity Continuation'!J22</f>
        <v>0</v>
      </c>
      <c r="M92" s="82" t="str">
        <f>'Workbook Set-up'!$B$28</f>
        <v>Yes</v>
      </c>
    </row>
    <row r="93" spans="1:13" s="8" customFormat="1">
      <c r="A93" s="80"/>
      <c r="B93" s="72"/>
      <c r="C93" s="72"/>
      <c r="D93" s="72"/>
      <c r="E93" s="72"/>
      <c r="F93" s="72"/>
      <c r="G93" s="95" t="s">
        <v>37</v>
      </c>
      <c r="H93" s="96">
        <f>SUM(H89:H92)</f>
        <v>0</v>
      </c>
      <c r="I93" s="96">
        <f>SUM(I89:I92)</f>
        <v>0</v>
      </c>
      <c r="J93" s="96">
        <f>SUM(J89:J92)</f>
        <v>0</v>
      </c>
      <c r="K93" s="96">
        <f>SUM(K89:K92)</f>
        <v>0</v>
      </c>
      <c r="L93" s="97">
        <f>IF(SUM(J93:K93)=0,0,J93/SUM(J93:K93))</f>
        <v>0</v>
      </c>
      <c r="M93" s="82" t="str">
        <f>'Workbook Set-up'!$B$28</f>
        <v>Yes</v>
      </c>
    </row>
    <row r="94" spans="1:13" s="8" customFormat="1">
      <c r="A94" s="84"/>
      <c r="B94" s="85"/>
      <c r="C94" s="85"/>
      <c r="D94" s="85"/>
      <c r="E94" s="85"/>
      <c r="F94" s="85"/>
      <c r="G94" s="85"/>
      <c r="H94" s="85"/>
      <c r="I94" s="85"/>
      <c r="J94" s="85"/>
      <c r="K94" s="85"/>
      <c r="L94" s="86"/>
      <c r="M94" s="82" t="str">
        <f>'Workbook Set-up'!$B$28</f>
        <v>Yes</v>
      </c>
    </row>
    <row r="95" spans="1:13" s="8" customFormat="1">
      <c r="A95" s="84"/>
      <c r="B95" s="72"/>
      <c r="C95" s="72"/>
      <c r="D95" s="72"/>
      <c r="E95" s="72"/>
      <c r="F95" s="72"/>
      <c r="G95" s="72"/>
      <c r="H95" s="72"/>
      <c r="I95" s="72"/>
      <c r="J95" s="72"/>
      <c r="K95" s="72"/>
      <c r="L95" s="86"/>
      <c r="M95" s="82" t="str">
        <f>'Workbook Set-up'!$B$29</f>
        <v>Yes</v>
      </c>
    </row>
    <row r="96" spans="1:13" s="8" customFormat="1" ht="15.75">
      <c r="A96" s="557" t="s">
        <v>269</v>
      </c>
      <c r="B96" s="571"/>
      <c r="C96" s="571"/>
      <c r="D96" s="571"/>
      <c r="E96" s="571"/>
      <c r="F96" s="571"/>
      <c r="G96" s="571"/>
      <c r="H96" s="571"/>
      <c r="I96" s="571"/>
      <c r="J96" s="571"/>
      <c r="K96" s="571"/>
      <c r="L96" s="572"/>
      <c r="M96" s="82" t="str">
        <f>'Workbook Set-up'!$B$29</f>
        <v>Yes</v>
      </c>
    </row>
    <row r="97" spans="1:13" s="8" customFormat="1" ht="13.9" customHeight="1">
      <c r="A97" s="80"/>
      <c r="B97" s="72"/>
      <c r="C97" s="72"/>
      <c r="D97" s="72"/>
      <c r="E97" s="72"/>
      <c r="F97" s="72"/>
      <c r="G97" s="72"/>
      <c r="H97" s="72"/>
      <c r="I97" s="72"/>
      <c r="J97" s="72"/>
      <c r="K97" s="72"/>
      <c r="L97" s="81"/>
      <c r="M97" s="82" t="str">
        <f>'Workbook Set-up'!$B$29</f>
        <v>Yes</v>
      </c>
    </row>
    <row r="98" spans="1:13" s="8" customFormat="1" ht="26.25" thickBot="1">
      <c r="A98" s="80"/>
      <c r="B98" s="87"/>
      <c r="C98" s="72"/>
      <c r="D98" s="72"/>
      <c r="E98" s="72"/>
      <c r="F98" s="72"/>
      <c r="G98" s="72"/>
      <c r="H98" s="88" t="s">
        <v>35</v>
      </c>
      <c r="I98" s="89" t="s">
        <v>17</v>
      </c>
      <c r="J98" s="89" t="s">
        <v>31</v>
      </c>
      <c r="K98" s="89" t="s">
        <v>32</v>
      </c>
      <c r="L98" s="89" t="s">
        <v>36</v>
      </c>
      <c r="M98" s="82" t="str">
        <f>'Workbook Set-up'!$B$29</f>
        <v>Yes</v>
      </c>
    </row>
    <row r="99" spans="1:13" s="8" customFormat="1" ht="13.5" thickTop="1">
      <c r="A99" s="80">
        <v>1</v>
      </c>
      <c r="B99" s="83" t="s">
        <v>222</v>
      </c>
      <c r="C99" s="72"/>
      <c r="D99" s="72"/>
      <c r="E99" s="72"/>
      <c r="F99" s="72"/>
      <c r="G99" s="72"/>
      <c r="H99" s="91">
        <f>J99+K99</f>
        <v>0</v>
      </c>
      <c r="I99" s="92">
        <f>'Day Supports Initial'!M11</f>
        <v>0</v>
      </c>
      <c r="J99" s="92">
        <f>'Day Supports Initial'!I11</f>
        <v>0</v>
      </c>
      <c r="K99" s="92">
        <f>'Day Supports Initial'!K11</f>
        <v>0</v>
      </c>
      <c r="L99" s="92">
        <f>'Day Supports Initial'!J11</f>
        <v>0</v>
      </c>
      <c r="M99" s="82" t="str">
        <f>'Workbook Set-up'!$B$29</f>
        <v>Yes</v>
      </c>
    </row>
    <row r="100" spans="1:13" s="8" customFormat="1">
      <c r="A100" s="80">
        <v>2</v>
      </c>
      <c r="B100" s="83" t="s">
        <v>220</v>
      </c>
      <c r="C100" s="72"/>
      <c r="D100" s="72"/>
      <c r="E100" s="72"/>
      <c r="F100" s="72"/>
      <c r="G100" s="72"/>
      <c r="H100" s="91">
        <f>J100+K100</f>
        <v>0</v>
      </c>
      <c r="I100" s="92">
        <f>'Day Supports Initial'!M12</f>
        <v>0</v>
      </c>
      <c r="J100" s="92">
        <f>'Day Supports Initial'!I12</f>
        <v>0</v>
      </c>
      <c r="K100" s="92">
        <f>'Day Supports Initial'!K12</f>
        <v>0</v>
      </c>
      <c r="L100" s="92">
        <f>'Day Supports Initial'!J12</f>
        <v>0</v>
      </c>
      <c r="M100" s="82" t="str">
        <f>'Workbook Set-up'!$B$29</f>
        <v>Yes</v>
      </c>
    </row>
    <row r="101" spans="1:13" s="8" customFormat="1" ht="37.35" customHeight="1" thickBot="1">
      <c r="A101" s="80">
        <v>3</v>
      </c>
      <c r="B101" s="562" t="s">
        <v>373</v>
      </c>
      <c r="C101" s="562"/>
      <c r="D101" s="562"/>
      <c r="E101" s="562"/>
      <c r="F101" s="562"/>
      <c r="G101" s="72"/>
      <c r="H101" s="306">
        <f>J101+K101</f>
        <v>0</v>
      </c>
      <c r="I101" s="92">
        <f>'Day Supports Initial'!M13</f>
        <v>0</v>
      </c>
      <c r="J101" s="92">
        <f>'Day Supports Initial'!I13</f>
        <v>0</v>
      </c>
      <c r="K101" s="92">
        <f>'Day Supports Initial'!K13</f>
        <v>0</v>
      </c>
      <c r="L101" s="92">
        <f>'Day Supports Initial'!J13</f>
        <v>0</v>
      </c>
      <c r="M101" s="82" t="str">
        <f>'Workbook Set-up'!$B$29</f>
        <v>Yes</v>
      </c>
    </row>
    <row r="102" spans="1:13" s="8" customFormat="1">
      <c r="A102" s="80"/>
      <c r="B102" s="72"/>
      <c r="C102" s="72"/>
      <c r="D102" s="72"/>
      <c r="E102" s="72"/>
      <c r="F102" s="72"/>
      <c r="G102" s="95" t="s">
        <v>37</v>
      </c>
      <c r="H102" s="96">
        <f>SUM(H101:H101)</f>
        <v>0</v>
      </c>
      <c r="I102" s="96">
        <f>SUM(I101:I101)</f>
        <v>0</v>
      </c>
      <c r="J102" s="96">
        <f>SUM(J101:J101)</f>
        <v>0</v>
      </c>
      <c r="K102" s="96">
        <f>SUM(K99:K99)</f>
        <v>0</v>
      </c>
      <c r="L102" s="97">
        <f>IF(SUM(J102:K102)=0,0,J102/SUM(J102:K102))</f>
        <v>0</v>
      </c>
      <c r="M102" s="82" t="str">
        <f>'Workbook Set-up'!$B$29</f>
        <v>Yes</v>
      </c>
    </row>
    <row r="103" spans="1:13" s="8" customFormat="1">
      <c r="A103" s="84"/>
      <c r="B103" s="85"/>
      <c r="C103" s="85"/>
      <c r="D103" s="85"/>
      <c r="E103" s="85"/>
      <c r="F103" s="85"/>
      <c r="G103" s="85"/>
      <c r="H103" s="85"/>
      <c r="I103" s="85"/>
      <c r="J103" s="85"/>
      <c r="K103" s="85"/>
      <c r="L103" s="86"/>
      <c r="M103" s="82" t="str">
        <f>'Workbook Set-up'!$B$29</f>
        <v>Yes</v>
      </c>
    </row>
    <row r="104" spans="1:13" s="8" customFormat="1">
      <c r="A104" s="84"/>
      <c r="B104" s="72"/>
      <c r="C104" s="72"/>
      <c r="D104" s="72"/>
      <c r="E104" s="72"/>
      <c r="F104" s="72"/>
      <c r="G104" s="72"/>
      <c r="H104" s="72"/>
      <c r="I104" s="72"/>
      <c r="J104" s="72"/>
      <c r="K104" s="72"/>
      <c r="L104" s="86"/>
      <c r="M104" s="82" t="str">
        <f>'Workbook Set-up'!$B$30</f>
        <v>Yes</v>
      </c>
    </row>
    <row r="105" spans="1:13" s="8" customFormat="1" ht="15.75">
      <c r="A105" s="557" t="s">
        <v>270</v>
      </c>
      <c r="B105" s="571"/>
      <c r="C105" s="571"/>
      <c r="D105" s="571"/>
      <c r="E105" s="571"/>
      <c r="F105" s="571"/>
      <c r="G105" s="571"/>
      <c r="H105" s="571"/>
      <c r="I105" s="571"/>
      <c r="J105" s="571"/>
      <c r="K105" s="571"/>
      <c r="L105" s="572"/>
      <c r="M105" s="82" t="str">
        <f>'Workbook Set-up'!$B$30</f>
        <v>Yes</v>
      </c>
    </row>
    <row r="106" spans="1:13" s="8" customFormat="1" ht="13.9" customHeight="1">
      <c r="A106" s="80"/>
      <c r="B106" s="72"/>
      <c r="C106" s="72"/>
      <c r="D106" s="72"/>
      <c r="E106" s="72"/>
      <c r="F106" s="72"/>
      <c r="G106" s="72"/>
      <c r="H106" s="72"/>
      <c r="I106" s="72"/>
      <c r="J106" s="72"/>
      <c r="K106" s="72"/>
      <c r="L106" s="81"/>
      <c r="M106" s="82" t="str">
        <f>'Workbook Set-up'!$B$30</f>
        <v>Yes</v>
      </c>
    </row>
    <row r="107" spans="1:13" s="8" customFormat="1" ht="25.5">
      <c r="A107" s="80"/>
      <c r="B107" s="87"/>
      <c r="C107" s="72"/>
      <c r="D107" s="72"/>
      <c r="E107" s="72"/>
      <c r="F107" s="72"/>
      <c r="G107" s="72"/>
      <c r="H107" s="486" t="s">
        <v>35</v>
      </c>
      <c r="I107" s="487" t="s">
        <v>17</v>
      </c>
      <c r="J107" s="487" t="s">
        <v>31</v>
      </c>
      <c r="K107" s="487" t="s">
        <v>32</v>
      </c>
      <c r="L107" s="487" t="s">
        <v>36</v>
      </c>
      <c r="M107" s="82" t="str">
        <f>'Workbook Set-up'!$B$30</f>
        <v>Yes</v>
      </c>
    </row>
    <row r="108" spans="1:13" s="8" customFormat="1">
      <c r="A108" s="80">
        <v>1</v>
      </c>
      <c r="B108" s="83" t="s">
        <v>222</v>
      </c>
      <c r="C108" s="90"/>
      <c r="D108" s="72"/>
      <c r="E108" s="72"/>
      <c r="F108" s="72"/>
      <c r="G108" s="72"/>
      <c r="H108" s="488">
        <f>J108+K108</f>
        <v>0</v>
      </c>
      <c r="I108" s="488">
        <f>'Day Supports Continuation)'!M9</f>
        <v>0</v>
      </c>
      <c r="J108" s="488">
        <f>'Day Supports Continuation)'!I9</f>
        <v>0</v>
      </c>
      <c r="K108" s="488">
        <f>'Day Supports Continuation)'!K9</f>
        <v>0</v>
      </c>
      <c r="L108" s="489">
        <f>'Day Supports Continuation)'!J9</f>
        <v>0</v>
      </c>
      <c r="M108" s="82" t="str">
        <f>'Workbook Set-up'!$B$30</f>
        <v>Yes</v>
      </c>
    </row>
    <row r="109" spans="1:13" s="8" customFormat="1">
      <c r="A109" s="80">
        <v>2</v>
      </c>
      <c r="B109" s="83" t="s">
        <v>220</v>
      </c>
      <c r="C109" s="90"/>
      <c r="D109" s="72"/>
      <c r="E109" s="72"/>
      <c r="F109" s="72"/>
      <c r="G109" s="72"/>
      <c r="H109" s="488">
        <f t="shared" ref="H109:H111" si="8">J109+K109</f>
        <v>0</v>
      </c>
      <c r="I109" s="488">
        <f>'Day Supports Continuation)'!M12</f>
        <v>0</v>
      </c>
      <c r="J109" s="488">
        <f>'Day Supports Continuation)'!I12</f>
        <v>0</v>
      </c>
      <c r="K109" s="488">
        <f>'Day Supports Continuation)'!K12</f>
        <v>0</v>
      </c>
      <c r="L109" s="489">
        <f>'Day Supports Continuation)'!J12</f>
        <v>0</v>
      </c>
      <c r="M109" s="82" t="str">
        <f>'Workbook Set-up'!$B$30</f>
        <v>Yes</v>
      </c>
    </row>
    <row r="110" spans="1:13" s="8" customFormat="1" ht="32.1" customHeight="1">
      <c r="A110" s="80">
        <v>3</v>
      </c>
      <c r="B110" s="562" t="s">
        <v>374</v>
      </c>
      <c r="C110" s="562"/>
      <c r="D110" s="562"/>
      <c r="E110" s="562"/>
      <c r="F110" s="562"/>
      <c r="G110" s="72"/>
      <c r="H110" s="488"/>
      <c r="I110" s="488">
        <f>'Day Supports Continuation)'!M13</f>
        <v>0</v>
      </c>
      <c r="J110" s="488">
        <f>'Day Supports Continuation)'!I13</f>
        <v>0</v>
      </c>
      <c r="K110" s="488">
        <f>'Day Supports Continuation)'!K13</f>
        <v>0</v>
      </c>
      <c r="L110" s="489">
        <f>'Day Supports Continuation)'!J13</f>
        <v>0</v>
      </c>
      <c r="M110" s="82"/>
    </row>
    <row r="111" spans="1:13" s="8" customFormat="1" ht="33.4" customHeight="1">
      <c r="A111" s="80">
        <v>4</v>
      </c>
      <c r="B111" s="562" t="s">
        <v>375</v>
      </c>
      <c r="C111" s="562"/>
      <c r="D111" s="562"/>
      <c r="E111" s="562"/>
      <c r="F111" s="562"/>
      <c r="G111" s="72"/>
      <c r="H111" s="488">
        <f t="shared" si="8"/>
        <v>0</v>
      </c>
      <c r="I111" s="488">
        <f>'Day Supports Continuation)'!M16</f>
        <v>0</v>
      </c>
      <c r="J111" s="488">
        <f>'Day Supports Continuation)'!I16</f>
        <v>0</v>
      </c>
      <c r="K111" s="488">
        <f>'Day Supports Continuation)'!K16</f>
        <v>0</v>
      </c>
      <c r="L111" s="489">
        <f>'Day Supports Continuation)'!J16</f>
        <v>0</v>
      </c>
      <c r="M111" s="82" t="str">
        <f>'Workbook Set-up'!$B$30</f>
        <v>Yes</v>
      </c>
    </row>
    <row r="112" spans="1:13" s="8" customFormat="1">
      <c r="A112" s="80"/>
      <c r="B112" s="72"/>
      <c r="C112" s="72"/>
      <c r="D112" s="72"/>
      <c r="E112" s="72"/>
      <c r="F112" s="72"/>
      <c r="G112" s="95" t="s">
        <v>37</v>
      </c>
      <c r="H112" s="454">
        <f>SUM(H108:H111)</f>
        <v>0</v>
      </c>
      <c r="I112" s="454">
        <f>SUM(I108:I111)</f>
        <v>0</v>
      </c>
      <c r="J112" s="454">
        <f t="shared" ref="J112:K112" si="9">SUM(J108:J111)</f>
        <v>0</v>
      </c>
      <c r="K112" s="454">
        <f t="shared" si="9"/>
        <v>0</v>
      </c>
      <c r="L112" s="490">
        <f>IF(SUM(J112:K112)=0,0,J112/SUM(J112:K112))</f>
        <v>0</v>
      </c>
      <c r="M112" s="82" t="str">
        <f>'Workbook Set-up'!$B$30</f>
        <v>Yes</v>
      </c>
    </row>
    <row r="113" spans="1:13" s="8" customFormat="1">
      <c r="A113" s="84"/>
      <c r="B113" s="85"/>
      <c r="C113" s="85"/>
      <c r="D113" s="85"/>
      <c r="E113" s="85"/>
      <c r="F113" s="85"/>
      <c r="G113" s="85"/>
      <c r="H113" s="85"/>
      <c r="I113" s="85"/>
      <c r="J113" s="85"/>
      <c r="K113" s="85"/>
      <c r="L113" s="86"/>
      <c r="M113" s="82" t="str">
        <f>'Workbook Set-up'!$B$30</f>
        <v>Yes</v>
      </c>
    </row>
    <row r="114" spans="1:13" s="8" customFormat="1">
      <c r="A114" s="84"/>
      <c r="B114" s="72"/>
      <c r="C114" s="72"/>
      <c r="D114" s="72"/>
      <c r="E114" s="72"/>
      <c r="F114" s="72"/>
      <c r="G114" s="72"/>
      <c r="H114" s="72"/>
      <c r="I114" s="72"/>
      <c r="J114" s="72"/>
      <c r="K114" s="72"/>
      <c r="L114" s="86"/>
      <c r="M114" s="82" t="str">
        <f>'Workbook Set-up'!$B$31</f>
        <v>Yes</v>
      </c>
    </row>
    <row r="115" spans="1:13" s="8" customFormat="1" ht="15.75">
      <c r="A115" s="557" t="s">
        <v>309</v>
      </c>
      <c r="B115" s="571"/>
      <c r="C115" s="571"/>
      <c r="D115" s="571"/>
      <c r="E115" s="571"/>
      <c r="F115" s="571"/>
      <c r="G115" s="571"/>
      <c r="H115" s="571"/>
      <c r="I115" s="571"/>
      <c r="J115" s="571"/>
      <c r="K115" s="571"/>
      <c r="L115" s="572"/>
      <c r="M115" s="82" t="str">
        <f>'Workbook Set-up'!$B$31</f>
        <v>Yes</v>
      </c>
    </row>
    <row r="116" spans="1:13" s="8" customFormat="1" ht="13.9" customHeight="1">
      <c r="A116" s="80"/>
      <c r="B116" s="72"/>
      <c r="C116" s="72"/>
      <c r="D116" s="72"/>
      <c r="E116" s="72"/>
      <c r="F116" s="72"/>
      <c r="G116" s="72"/>
      <c r="H116" s="72"/>
      <c r="I116" s="72"/>
      <c r="J116" s="72"/>
      <c r="K116" s="72"/>
      <c r="L116" s="81"/>
      <c r="M116" s="82" t="str">
        <f>'Workbook Set-up'!$B$31</f>
        <v>Yes</v>
      </c>
    </row>
    <row r="117" spans="1:13" s="8" customFormat="1" ht="26.25" thickBot="1">
      <c r="A117" s="80"/>
      <c r="B117" s="87"/>
      <c r="C117" s="72"/>
      <c r="D117" s="72"/>
      <c r="E117" s="72"/>
      <c r="F117" s="72"/>
      <c r="G117" s="72"/>
      <c r="H117" s="88" t="s">
        <v>35</v>
      </c>
      <c r="I117" s="89" t="s">
        <v>17</v>
      </c>
      <c r="J117" s="89" t="s">
        <v>31</v>
      </c>
      <c r="K117" s="89" t="s">
        <v>32</v>
      </c>
      <c r="L117" s="89" t="s">
        <v>36</v>
      </c>
      <c r="M117" s="82" t="str">
        <f>'Workbook Set-up'!$B$31</f>
        <v>Yes</v>
      </c>
    </row>
    <row r="118" spans="1:13" s="8" customFormat="1" ht="13.5" thickTop="1">
      <c r="A118" s="80">
        <v>1</v>
      </c>
      <c r="B118" s="83" t="s">
        <v>179</v>
      </c>
      <c r="C118" s="90"/>
      <c r="D118" s="72"/>
      <c r="E118" s="72"/>
      <c r="F118" s="72"/>
      <c r="G118" s="72"/>
      <c r="H118" s="91">
        <f>J118+K118</f>
        <v>0</v>
      </c>
      <c r="I118" s="91">
        <f>'CAET Initial'!M9</f>
        <v>0</v>
      </c>
      <c r="J118" s="91">
        <f>'CAET Initial'!I9</f>
        <v>0</v>
      </c>
      <c r="K118" s="91">
        <f>'CAET Initial'!K9</f>
        <v>0</v>
      </c>
      <c r="L118" s="92">
        <f>'CAET Initial'!J9</f>
        <v>0</v>
      </c>
      <c r="M118" s="82" t="str">
        <f>'Workbook Set-up'!$B$31</f>
        <v>Yes</v>
      </c>
    </row>
    <row r="119" spans="1:13" s="8" customFormat="1">
      <c r="A119" s="80">
        <v>2</v>
      </c>
      <c r="B119" s="83" t="s">
        <v>331</v>
      </c>
      <c r="C119" s="90"/>
      <c r="D119" s="72"/>
      <c r="E119" s="72"/>
      <c r="F119" s="72"/>
      <c r="G119" s="72"/>
      <c r="H119" s="91">
        <f>J119+K119</f>
        <v>0</v>
      </c>
      <c r="I119" s="91">
        <f>'CAET Initial'!M11</f>
        <v>0</v>
      </c>
      <c r="J119" s="91">
        <f>'CAET Initial'!I11</f>
        <v>0</v>
      </c>
      <c r="K119" s="91">
        <f>'CAET Initial'!K11</f>
        <v>0</v>
      </c>
      <c r="L119" s="92">
        <f>'CAET Initial'!J11</f>
        <v>0</v>
      </c>
      <c r="M119" s="82" t="str">
        <f>'Workbook Set-up'!$B$31</f>
        <v>Yes</v>
      </c>
    </row>
    <row r="120" spans="1:13" s="8" customFormat="1">
      <c r="A120" s="80">
        <v>3</v>
      </c>
      <c r="B120" s="83" t="s">
        <v>377</v>
      </c>
      <c r="C120" s="90"/>
      <c r="D120" s="72"/>
      <c r="E120" s="72"/>
      <c r="F120" s="72"/>
      <c r="G120" s="72"/>
      <c r="H120" s="91">
        <f>J120+K120</f>
        <v>0</v>
      </c>
      <c r="I120" s="91">
        <f>'CAET Initial'!M12</f>
        <v>0</v>
      </c>
      <c r="J120" s="91">
        <f>'CAET Initial'!I12</f>
        <v>0</v>
      </c>
      <c r="K120" s="91">
        <f>'CAET Initial'!K12</f>
        <v>0</v>
      </c>
      <c r="L120" s="92">
        <f>'CAET Initial'!J12</f>
        <v>0</v>
      </c>
      <c r="M120" s="82"/>
    </row>
    <row r="121" spans="1:13" s="8" customFormat="1" ht="31.5" customHeight="1" thickBot="1">
      <c r="A121" s="80">
        <v>4</v>
      </c>
      <c r="B121" s="562" t="s">
        <v>378</v>
      </c>
      <c r="C121" s="562"/>
      <c r="D121" s="562"/>
      <c r="E121" s="562"/>
      <c r="F121" s="518"/>
      <c r="G121" s="518"/>
      <c r="H121" s="306">
        <f>J121+K121</f>
        <v>0</v>
      </c>
      <c r="I121" s="91">
        <f>'CAET Initial'!M17</f>
        <v>0</v>
      </c>
      <c r="J121" s="91">
        <f>'CAET Initial'!I17</f>
        <v>0</v>
      </c>
      <c r="K121" s="91">
        <f>'CAET Initial'!K17</f>
        <v>0</v>
      </c>
      <c r="L121" s="92">
        <f>'CAET Initial'!J17</f>
        <v>0</v>
      </c>
      <c r="M121" s="82" t="str">
        <f>'Workbook Set-up'!$B$31</f>
        <v>Yes</v>
      </c>
    </row>
    <row r="122" spans="1:13" s="8" customFormat="1">
      <c r="A122" s="80"/>
      <c r="B122" s="72"/>
      <c r="C122" s="72"/>
      <c r="D122" s="72"/>
      <c r="E122" s="72"/>
      <c r="F122" s="72"/>
      <c r="G122" s="95" t="s">
        <v>37</v>
      </c>
      <c r="H122" s="96">
        <f>SUM(H118:H121)</f>
        <v>0</v>
      </c>
      <c r="I122" s="96">
        <f>SUM(I118:I121)</f>
        <v>0</v>
      </c>
      <c r="J122" s="96">
        <f>SUM(J118:J121)</f>
        <v>0</v>
      </c>
      <c r="K122" s="96">
        <f>SUM(K118:K121)</f>
        <v>0</v>
      </c>
      <c r="L122" s="97">
        <f>IF(SUM(J122:K122)=0,0,J122/SUM(J122:K122))</f>
        <v>0</v>
      </c>
      <c r="M122" s="82" t="str">
        <f>'Workbook Set-up'!$B$31</f>
        <v>Yes</v>
      </c>
    </row>
    <row r="123" spans="1:13" s="8" customFormat="1">
      <c r="A123" s="84"/>
      <c r="B123" s="85"/>
      <c r="C123" s="85"/>
      <c r="D123" s="85"/>
      <c r="E123" s="85"/>
      <c r="F123" s="85"/>
      <c r="G123" s="85"/>
      <c r="H123" s="85"/>
      <c r="I123" s="85"/>
      <c r="J123" s="85"/>
      <c r="K123" s="85"/>
      <c r="L123" s="86"/>
      <c r="M123" s="82" t="str">
        <f>'Workbook Set-up'!$B$31</f>
        <v>Yes</v>
      </c>
    </row>
    <row r="124" spans="1:13" s="8" customFormat="1">
      <c r="A124" s="84"/>
      <c r="B124" s="72"/>
      <c r="C124" s="72"/>
      <c r="D124" s="72"/>
      <c r="E124" s="72"/>
      <c r="F124" s="72"/>
      <c r="G124" s="72"/>
      <c r="H124" s="72"/>
      <c r="I124" s="72"/>
      <c r="J124" s="72"/>
      <c r="K124" s="72"/>
      <c r="L124" s="86"/>
      <c r="M124" s="82" t="str">
        <f>'Workbook Set-up'!$B$32</f>
        <v>Yes</v>
      </c>
    </row>
    <row r="125" spans="1:13" s="8" customFormat="1" ht="15.75">
      <c r="A125" s="557" t="s">
        <v>310</v>
      </c>
      <c r="B125" s="571"/>
      <c r="C125" s="571"/>
      <c r="D125" s="571"/>
      <c r="E125" s="571"/>
      <c r="F125" s="571"/>
      <c r="G125" s="571"/>
      <c r="H125" s="571"/>
      <c r="I125" s="571"/>
      <c r="J125" s="571"/>
      <c r="K125" s="571"/>
      <c r="L125" s="572"/>
      <c r="M125" s="82" t="str">
        <f>'Workbook Set-up'!$B$32</f>
        <v>Yes</v>
      </c>
    </row>
    <row r="126" spans="1:13" s="8" customFormat="1" ht="13.9" customHeight="1">
      <c r="A126" s="80"/>
      <c r="B126" s="72"/>
      <c r="C126" s="72"/>
      <c r="D126" s="72"/>
      <c r="E126" s="72"/>
      <c r="F126" s="72"/>
      <c r="G126" s="72"/>
      <c r="H126" s="72"/>
      <c r="I126" s="72"/>
      <c r="J126" s="72"/>
      <c r="K126" s="72"/>
      <c r="L126" s="81"/>
      <c r="M126" s="82" t="str">
        <f>'Workbook Set-up'!$B$32</f>
        <v>Yes</v>
      </c>
    </row>
    <row r="127" spans="1:13" s="8" customFormat="1" ht="26.25" thickBot="1">
      <c r="A127" s="80"/>
      <c r="B127" s="87"/>
      <c r="C127" s="72"/>
      <c r="D127" s="72"/>
      <c r="E127" s="72"/>
      <c r="F127" s="72"/>
      <c r="G127" s="72"/>
      <c r="H127" s="88" t="s">
        <v>35</v>
      </c>
      <c r="I127" s="89" t="s">
        <v>17</v>
      </c>
      <c r="J127" s="89" t="s">
        <v>31</v>
      </c>
      <c r="K127" s="89" t="s">
        <v>32</v>
      </c>
      <c r="L127" s="89" t="s">
        <v>36</v>
      </c>
      <c r="M127" s="82" t="str">
        <f>'Workbook Set-up'!$B$32</f>
        <v>Yes</v>
      </c>
    </row>
    <row r="128" spans="1:13" s="8" customFormat="1" ht="13.5" thickTop="1">
      <c r="A128" s="80">
        <v>1</v>
      </c>
      <c r="B128" s="83" t="s">
        <v>179</v>
      </c>
      <c r="C128" s="90"/>
      <c r="D128" s="72"/>
      <c r="E128" s="72"/>
      <c r="F128" s="72"/>
      <c r="G128" s="72"/>
      <c r="H128" s="91">
        <f>J128+K128</f>
        <v>0</v>
      </c>
      <c r="I128" s="91">
        <f>'CAET Continuation'!M9</f>
        <v>0</v>
      </c>
      <c r="J128" s="91">
        <f>'CAET Continuation'!I9</f>
        <v>0</v>
      </c>
      <c r="K128" s="91">
        <f>'CAET Continuation'!K9</f>
        <v>0</v>
      </c>
      <c r="L128" s="92">
        <f>'CAET Continuation'!J9</f>
        <v>0</v>
      </c>
      <c r="M128" s="82" t="str">
        <f>'Workbook Set-up'!$B$32</f>
        <v>Yes</v>
      </c>
    </row>
    <row r="129" spans="1:13" s="8" customFormat="1">
      <c r="A129" s="80">
        <v>2</v>
      </c>
      <c r="B129" s="83" t="s">
        <v>331</v>
      </c>
      <c r="C129" s="90"/>
      <c r="D129" s="72"/>
      <c r="E129" s="72"/>
      <c r="F129" s="72"/>
      <c r="G129" s="72"/>
      <c r="H129" s="91">
        <f t="shared" ref="H129:H131" si="10">J129+K129</f>
        <v>0</v>
      </c>
      <c r="I129" s="91">
        <f>'CAET Continuation'!M11</f>
        <v>0</v>
      </c>
      <c r="J129" s="91">
        <f>'CAET Continuation'!I11</f>
        <v>0</v>
      </c>
      <c r="K129" s="91">
        <f>'CAET Continuation'!K11</f>
        <v>0</v>
      </c>
      <c r="L129" s="92">
        <f>'CAET Continuation'!J11</f>
        <v>0</v>
      </c>
      <c r="M129" s="82" t="str">
        <f>'Workbook Set-up'!$B$32</f>
        <v>Yes</v>
      </c>
    </row>
    <row r="130" spans="1:13" s="8" customFormat="1">
      <c r="A130" s="80">
        <v>3</v>
      </c>
      <c r="B130" s="83" t="s">
        <v>377</v>
      </c>
      <c r="C130" s="90"/>
      <c r="D130" s="72"/>
      <c r="E130" s="72"/>
      <c r="F130" s="72"/>
      <c r="G130" s="72"/>
      <c r="H130" s="91">
        <f t="shared" ref="H130" si="11">J130+K130</f>
        <v>0</v>
      </c>
      <c r="I130" s="91">
        <f>'CAET Continuation'!M12</f>
        <v>0</v>
      </c>
      <c r="J130" s="91">
        <f>'CAET Continuation'!I12</f>
        <v>0</v>
      </c>
      <c r="K130" s="91">
        <f>'CAET Continuation'!K12</f>
        <v>0</v>
      </c>
      <c r="L130" s="92">
        <f>'CAET Continuation'!J12</f>
        <v>0</v>
      </c>
      <c r="M130" s="82"/>
    </row>
    <row r="131" spans="1:13" s="8" customFormat="1">
      <c r="A131" s="80">
        <v>4</v>
      </c>
      <c r="B131" s="83" t="s">
        <v>378</v>
      </c>
      <c r="C131" s="90"/>
      <c r="D131" s="72"/>
      <c r="E131" s="72"/>
      <c r="F131" s="72"/>
      <c r="G131" s="72"/>
      <c r="H131" s="91">
        <f t="shared" si="10"/>
        <v>0</v>
      </c>
      <c r="I131" s="91">
        <f>'CAET Continuation'!M17</f>
        <v>0</v>
      </c>
      <c r="J131" s="91">
        <f>'CAET Continuation'!I17</f>
        <v>0</v>
      </c>
      <c r="K131" s="91">
        <f>'CAET Continuation'!K17</f>
        <v>0</v>
      </c>
      <c r="L131" s="92">
        <f>'CAET Continuation'!J17</f>
        <v>0</v>
      </c>
      <c r="M131" s="82" t="str">
        <f>'Workbook Set-up'!$B$32</f>
        <v>Yes</v>
      </c>
    </row>
    <row r="132" spans="1:13" s="8" customFormat="1">
      <c r="A132" s="80"/>
      <c r="B132" s="72"/>
      <c r="C132" s="72"/>
      <c r="D132" s="72"/>
      <c r="E132" s="72"/>
      <c r="F132" s="72"/>
      <c r="G132" s="95" t="s">
        <v>37</v>
      </c>
      <c r="H132" s="96">
        <f>SUM(H128:H131)</f>
        <v>0</v>
      </c>
      <c r="I132" s="96">
        <f>SUM(I128:I131)</f>
        <v>0</v>
      </c>
      <c r="J132" s="96">
        <f>SUM(J128:J131)</f>
        <v>0</v>
      </c>
      <c r="K132" s="96">
        <f>SUM(K128:K131)</f>
        <v>0</v>
      </c>
      <c r="L132" s="97">
        <f>IF(SUM(J132:K132)=0,0,J132/SUM(J132:K132))</f>
        <v>0</v>
      </c>
      <c r="M132" s="82" t="str">
        <f>'Workbook Set-up'!$B$32</f>
        <v>Yes</v>
      </c>
    </row>
    <row r="133" spans="1:13" s="8" customFormat="1">
      <c r="A133" s="84"/>
      <c r="B133" s="85"/>
      <c r="C133" s="85"/>
      <c r="D133" s="85"/>
      <c r="E133" s="85"/>
      <c r="F133" s="85"/>
      <c r="G133" s="85"/>
      <c r="H133" s="85"/>
      <c r="I133" s="85"/>
      <c r="J133" s="85"/>
      <c r="K133" s="85"/>
      <c r="L133" s="86"/>
      <c r="M133" s="82" t="str">
        <f>'Workbook Set-up'!$B$32</f>
        <v>Yes</v>
      </c>
    </row>
  </sheetData>
  <sheetProtection sheet="1" autoFilter="0"/>
  <autoFilter ref="M6:M133" xr:uid="{00000000-0009-0000-0000-00001C000000}"/>
  <customSheetViews>
    <customSheetView guid="{2A3E70A9-51A3-4722-9775-16DBEA0F14B3}" showGridLines="0" showAutoFilter="1">
      <pane ySplit="4" topLeftCell="A38" activePane="bottomLeft" state="frozen"/>
      <selection pane="bottomLeft" activeCell="B10" sqref="B10"/>
      <pageMargins left="0.2" right="0.2" top="0.25" bottom="0.3" header="0.5" footer="0"/>
      <printOptions horizontalCentered="1"/>
      <pageSetup scale="73" orientation="portrait" r:id="rId1"/>
      <headerFooter alignWithMargins="0">
        <oddFooter>&amp;R&amp;P</oddFooter>
      </headerFooter>
      <autoFilter ref="M6:M85" xr:uid="{00000000-0000-0000-0000-000000000000}"/>
    </customSheetView>
    <customSheetView guid="{A13B25D0-B104-46DD-B5CC-B628EEB53163}" showGridLines="0" showAutoFilter="1">
      <pane ySplit="4" topLeftCell="A38" activePane="bottomLeft" state="frozen"/>
      <selection pane="bottomLeft" activeCell="B10" sqref="B10"/>
      <pageMargins left="0.2" right="0.2" top="0.25" bottom="0.3" header="0.5" footer="0"/>
      <printOptions horizontalCentered="1"/>
      <pageSetup scale="73" orientation="portrait" r:id="rId2"/>
      <headerFooter alignWithMargins="0">
        <oddFooter>&amp;R&amp;P</oddFooter>
      </headerFooter>
      <autoFilter ref="M6:M85" xr:uid="{00000000-0000-0000-0000-000000000000}"/>
    </customSheetView>
  </customSheetViews>
  <mergeCells count="28">
    <mergeCell ref="B49:D49"/>
    <mergeCell ref="B92:F92"/>
    <mergeCell ref="B101:F101"/>
    <mergeCell ref="B111:F111"/>
    <mergeCell ref="B110:F110"/>
    <mergeCell ref="B72:F72"/>
    <mergeCell ref="B82:F82"/>
    <mergeCell ref="A32:L32"/>
    <mergeCell ref="B38:F38"/>
    <mergeCell ref="A42:L42"/>
    <mergeCell ref="B47:D47"/>
    <mergeCell ref="B48:D48"/>
    <mergeCell ref="A14:L14"/>
    <mergeCell ref="A23:L23"/>
    <mergeCell ref="A115:L115"/>
    <mergeCell ref="A66:L66"/>
    <mergeCell ref="A125:L125"/>
    <mergeCell ref="A86:L86"/>
    <mergeCell ref="A96:L96"/>
    <mergeCell ref="A105:L105"/>
    <mergeCell ref="A57:L57"/>
    <mergeCell ref="A76:L76"/>
    <mergeCell ref="B19:G19"/>
    <mergeCell ref="B61:G61"/>
    <mergeCell ref="B62:G62"/>
    <mergeCell ref="B28:D28"/>
    <mergeCell ref="B37:D37"/>
    <mergeCell ref="B121:E121"/>
  </mergeCells>
  <conditionalFormatting sqref="I17:I19 I26:I28">
    <cfRule type="cellIs" dxfId="79" priority="377" stopIfTrue="1" operator="greaterThan">
      <formula>0</formula>
    </cfRule>
  </conditionalFormatting>
  <conditionalFormatting sqref="K17:K19 K102 K108:K111 K118:K122 K26:K28">
    <cfRule type="cellIs" dxfId="78" priority="378" stopIfTrue="1" operator="greaterThan">
      <formula>0</formula>
    </cfRule>
  </conditionalFormatting>
  <conditionalFormatting sqref="J17:J19 J102 J108:J111 J118:J122 J26:J29">
    <cfRule type="cellIs" dxfId="77" priority="379" stopIfTrue="1" operator="greaterThan">
      <formula>0</formula>
    </cfRule>
  </conditionalFormatting>
  <conditionalFormatting sqref="L102 L17:L19 L108:L112 L118:L122 L26:L28">
    <cfRule type="cellIs" dxfId="76" priority="380" stopIfTrue="1" operator="equal">
      <formula>1</formula>
    </cfRule>
    <cfRule type="expression" dxfId="75" priority="381" stopIfTrue="1">
      <formula>AND(H17&lt;&gt;0,L17&lt;1)</formula>
    </cfRule>
  </conditionalFormatting>
  <conditionalFormatting sqref="I10:J10">
    <cfRule type="cellIs" dxfId="74" priority="236" operator="greaterThan">
      <formula>0</formula>
    </cfRule>
  </conditionalFormatting>
  <conditionalFormatting sqref="K10">
    <cfRule type="cellIs" dxfId="73" priority="234" operator="greaterThan">
      <formula>0</formula>
    </cfRule>
  </conditionalFormatting>
  <conditionalFormatting sqref="L10">
    <cfRule type="cellIs" dxfId="72" priority="101" operator="equal">
      <formula>1</formula>
    </cfRule>
    <cfRule type="expression" dxfId="71" priority="475">
      <formula>AND($H$10&lt;&gt;0,$L$10&lt;1)</formula>
    </cfRule>
  </conditionalFormatting>
  <conditionalFormatting sqref="K20">
    <cfRule type="cellIs" dxfId="70" priority="190" stopIfTrue="1" operator="greaterThan">
      <formula>0</formula>
    </cfRule>
  </conditionalFormatting>
  <conditionalFormatting sqref="J20">
    <cfRule type="cellIs" dxfId="69" priority="191" stopIfTrue="1" operator="greaterThan">
      <formula>0</formula>
    </cfRule>
  </conditionalFormatting>
  <conditionalFormatting sqref="L20">
    <cfRule type="cellIs" dxfId="68" priority="192" stopIfTrue="1" operator="equal">
      <formula>1</formula>
    </cfRule>
    <cfRule type="expression" dxfId="67" priority="193" stopIfTrue="1">
      <formula>AND(H20&lt;&gt;0,L20&lt;1)</formula>
    </cfRule>
  </conditionalFormatting>
  <conditionalFormatting sqref="K29">
    <cfRule type="cellIs" dxfId="66" priority="185" stopIfTrue="1" operator="greaterThan">
      <formula>0</formula>
    </cfRule>
  </conditionalFormatting>
  <conditionalFormatting sqref="L29">
    <cfRule type="cellIs" dxfId="65" priority="187" stopIfTrue="1" operator="equal">
      <formula>1</formula>
    </cfRule>
    <cfRule type="expression" dxfId="64" priority="188" stopIfTrue="1">
      <formula>AND(H29&lt;&gt;0,L29&lt;1)</formula>
    </cfRule>
  </conditionalFormatting>
  <conditionalFormatting sqref="I118:I121">
    <cfRule type="cellIs" dxfId="63" priority="170" stopIfTrue="1" operator="greaterThan">
      <formula>0</formula>
    </cfRule>
  </conditionalFormatting>
  <conditionalFormatting sqref="I69:I72">
    <cfRule type="cellIs" dxfId="62" priority="81" stopIfTrue="1" operator="greaterThan">
      <formula>0</formula>
    </cfRule>
  </conditionalFormatting>
  <conditionalFormatting sqref="K69:K72">
    <cfRule type="cellIs" dxfId="61" priority="82" stopIfTrue="1" operator="greaterThan">
      <formula>0</formula>
    </cfRule>
  </conditionalFormatting>
  <conditionalFormatting sqref="J69:J72">
    <cfRule type="cellIs" dxfId="60" priority="83" stopIfTrue="1" operator="greaterThan">
      <formula>0</formula>
    </cfRule>
  </conditionalFormatting>
  <conditionalFormatting sqref="L69:L72">
    <cfRule type="cellIs" dxfId="59" priority="84" stopIfTrue="1" operator="equal">
      <formula>1</formula>
    </cfRule>
    <cfRule type="expression" dxfId="58" priority="85" stopIfTrue="1">
      <formula>AND(H69&lt;&gt;0,L69&lt;1)</formula>
    </cfRule>
  </conditionalFormatting>
  <conditionalFormatting sqref="K73">
    <cfRule type="cellIs" dxfId="57" priority="77" stopIfTrue="1" operator="greaterThan">
      <formula>0</formula>
    </cfRule>
  </conditionalFormatting>
  <conditionalFormatting sqref="J73">
    <cfRule type="cellIs" dxfId="56" priority="78" stopIfTrue="1" operator="greaterThan">
      <formula>0</formula>
    </cfRule>
  </conditionalFormatting>
  <conditionalFormatting sqref="L73">
    <cfRule type="cellIs" dxfId="55" priority="79" stopIfTrue="1" operator="equal">
      <formula>1</formula>
    </cfRule>
    <cfRule type="expression" dxfId="54" priority="80" stopIfTrue="1">
      <formula>AND(H73&lt;&gt;0,L73&lt;1)</formula>
    </cfRule>
  </conditionalFormatting>
  <conditionalFormatting sqref="K128:K132">
    <cfRule type="cellIs" dxfId="53" priority="73" stopIfTrue="1" operator="greaterThan">
      <formula>0</formula>
    </cfRule>
  </conditionalFormatting>
  <conditionalFormatting sqref="J128:J132">
    <cfRule type="cellIs" dxfId="52" priority="74" stopIfTrue="1" operator="greaterThan">
      <formula>0</formula>
    </cfRule>
  </conditionalFormatting>
  <conditionalFormatting sqref="L128:L132">
    <cfRule type="cellIs" dxfId="51" priority="75" stopIfTrue="1" operator="equal">
      <formula>1</formula>
    </cfRule>
    <cfRule type="expression" dxfId="50" priority="76" stopIfTrue="1">
      <formula>AND(H128&lt;&gt;0,L128&lt;1)</formula>
    </cfRule>
  </conditionalFormatting>
  <conditionalFormatting sqref="I128:I131">
    <cfRule type="cellIs" dxfId="49" priority="72" stopIfTrue="1" operator="greaterThan">
      <formula>0</formula>
    </cfRule>
  </conditionalFormatting>
  <conditionalFormatting sqref="I89:I92">
    <cfRule type="cellIs" dxfId="48" priority="67" stopIfTrue="1" operator="greaterThan">
      <formula>0</formula>
    </cfRule>
  </conditionalFormatting>
  <conditionalFormatting sqref="K89:K92">
    <cfRule type="cellIs" dxfId="47" priority="68" stopIfTrue="1" operator="greaterThan">
      <formula>0</formula>
    </cfRule>
  </conditionalFormatting>
  <conditionalFormatting sqref="J89:J92">
    <cfRule type="cellIs" dxfId="46" priority="69" stopIfTrue="1" operator="greaterThan">
      <formula>0</formula>
    </cfRule>
  </conditionalFormatting>
  <conditionalFormatting sqref="L89:L92">
    <cfRule type="cellIs" dxfId="45" priority="70" stopIfTrue="1" operator="equal">
      <formula>1</formula>
    </cfRule>
    <cfRule type="expression" dxfId="44" priority="71" stopIfTrue="1">
      <formula>AND(H89&lt;&gt;0,L89&lt;1)</formula>
    </cfRule>
  </conditionalFormatting>
  <conditionalFormatting sqref="K93">
    <cfRule type="cellIs" dxfId="43" priority="63" stopIfTrue="1" operator="greaterThan">
      <formula>0</formula>
    </cfRule>
  </conditionalFormatting>
  <conditionalFormatting sqref="J93">
    <cfRule type="cellIs" dxfId="42" priority="64" stopIfTrue="1" operator="greaterThan">
      <formula>0</formula>
    </cfRule>
  </conditionalFormatting>
  <conditionalFormatting sqref="L93">
    <cfRule type="cellIs" dxfId="41" priority="65" stopIfTrue="1" operator="equal">
      <formula>1</formula>
    </cfRule>
    <cfRule type="expression" dxfId="40" priority="66" stopIfTrue="1">
      <formula>AND(H93&lt;&gt;0,L93&lt;1)</formula>
    </cfRule>
  </conditionalFormatting>
  <conditionalFormatting sqref="I108:I111">
    <cfRule type="cellIs" dxfId="39" priority="53" stopIfTrue="1" operator="greaterThan">
      <formula>0</formula>
    </cfRule>
  </conditionalFormatting>
  <conditionalFormatting sqref="I60:I62">
    <cfRule type="cellIs" dxfId="38" priority="48" stopIfTrue="1" operator="greaterThan">
      <formula>0</formula>
    </cfRule>
  </conditionalFormatting>
  <conditionalFormatting sqref="K60:K62">
    <cfRule type="cellIs" dxfId="37" priority="49" stopIfTrue="1" operator="greaterThan">
      <formula>0</formula>
    </cfRule>
  </conditionalFormatting>
  <conditionalFormatting sqref="J60:J62">
    <cfRule type="cellIs" dxfId="36" priority="50" stopIfTrue="1" operator="greaterThan">
      <formula>0</formula>
    </cfRule>
  </conditionalFormatting>
  <conditionalFormatting sqref="L60:L62">
    <cfRule type="cellIs" dxfId="35" priority="51" stopIfTrue="1" operator="equal">
      <formula>1</formula>
    </cfRule>
    <cfRule type="expression" dxfId="34" priority="52" stopIfTrue="1">
      <formula>AND(H60&lt;&gt;0,L60&lt;1)</formula>
    </cfRule>
  </conditionalFormatting>
  <conditionalFormatting sqref="K63">
    <cfRule type="cellIs" dxfId="33" priority="44" stopIfTrue="1" operator="greaterThan">
      <formula>0</formula>
    </cfRule>
  </conditionalFormatting>
  <conditionalFormatting sqref="J63">
    <cfRule type="cellIs" dxfId="32" priority="45" stopIfTrue="1" operator="greaterThan">
      <formula>0</formula>
    </cfRule>
  </conditionalFormatting>
  <conditionalFormatting sqref="L63">
    <cfRule type="cellIs" dxfId="31" priority="46" stopIfTrue="1" operator="equal">
      <formula>1</formula>
    </cfRule>
    <cfRule type="expression" dxfId="30" priority="47" stopIfTrue="1">
      <formula>AND(H63&lt;&gt;0,L63&lt;1)</formula>
    </cfRule>
  </conditionalFormatting>
  <conditionalFormatting sqref="I79:I82">
    <cfRule type="cellIs" dxfId="29" priority="39" stopIfTrue="1" operator="greaterThan">
      <formula>0</formula>
    </cfRule>
  </conditionalFormatting>
  <conditionalFormatting sqref="K79:K82">
    <cfRule type="cellIs" dxfId="28" priority="40" stopIfTrue="1" operator="greaterThan">
      <formula>0</formula>
    </cfRule>
  </conditionalFormatting>
  <conditionalFormatting sqref="J79:J82">
    <cfRule type="cellIs" dxfId="27" priority="41" stopIfTrue="1" operator="greaterThan">
      <formula>0</formula>
    </cfRule>
  </conditionalFormatting>
  <conditionalFormatting sqref="L79:L82">
    <cfRule type="cellIs" dxfId="26" priority="42" stopIfTrue="1" operator="equal">
      <formula>1</formula>
    </cfRule>
    <cfRule type="expression" dxfId="25" priority="43" stopIfTrue="1">
      <formula>AND(H79&lt;&gt;0,L79&lt;1)</formula>
    </cfRule>
  </conditionalFormatting>
  <conditionalFormatting sqref="K83">
    <cfRule type="cellIs" dxfId="24" priority="35" stopIfTrue="1" operator="greaterThan">
      <formula>0</formula>
    </cfRule>
  </conditionalFormatting>
  <conditionalFormatting sqref="J83">
    <cfRule type="cellIs" dxfId="23" priority="36" stopIfTrue="1" operator="greaterThan">
      <formula>0</formula>
    </cfRule>
  </conditionalFormatting>
  <conditionalFormatting sqref="L83">
    <cfRule type="cellIs" dxfId="22" priority="37" stopIfTrue="1" operator="equal">
      <formula>1</formula>
    </cfRule>
    <cfRule type="expression" dxfId="21" priority="38" stopIfTrue="1">
      <formula>AND(H83&lt;&gt;0,L83&lt;1)</formula>
    </cfRule>
  </conditionalFormatting>
  <conditionalFormatting sqref="I99:I101">
    <cfRule type="cellIs" dxfId="20" priority="25" stopIfTrue="1" operator="greaterThan">
      <formula>0</formula>
    </cfRule>
  </conditionalFormatting>
  <conditionalFormatting sqref="K99:K101">
    <cfRule type="cellIs" dxfId="19" priority="26" stopIfTrue="1" operator="greaterThan">
      <formula>0</formula>
    </cfRule>
  </conditionalFormatting>
  <conditionalFormatting sqref="J99:J101">
    <cfRule type="cellIs" dxfId="18" priority="27" stopIfTrue="1" operator="greaterThan">
      <formula>0</formula>
    </cfRule>
  </conditionalFormatting>
  <conditionalFormatting sqref="L99:L101">
    <cfRule type="cellIs" dxfId="17" priority="28" stopIfTrue="1" operator="equal">
      <formula>1</formula>
    </cfRule>
    <cfRule type="expression" dxfId="16" priority="29" stopIfTrue="1">
      <formula>AND(H99&lt;&gt;0,L99&lt;1)</formula>
    </cfRule>
  </conditionalFormatting>
  <conditionalFormatting sqref="I35:I38">
    <cfRule type="cellIs" dxfId="15" priority="12" stopIfTrue="1" operator="greaterThan">
      <formula>0</formula>
    </cfRule>
  </conditionalFormatting>
  <conditionalFormatting sqref="K35:K38">
    <cfRule type="cellIs" dxfId="14" priority="13" stopIfTrue="1" operator="greaterThan">
      <formula>0</formula>
    </cfRule>
  </conditionalFormatting>
  <conditionalFormatting sqref="J35:J39">
    <cfRule type="cellIs" dxfId="13" priority="14" stopIfTrue="1" operator="greaterThan">
      <formula>0</formula>
    </cfRule>
  </conditionalFormatting>
  <conditionalFormatting sqref="L35:L38">
    <cfRule type="cellIs" dxfId="12" priority="15" stopIfTrue="1" operator="equal">
      <formula>1</formula>
    </cfRule>
    <cfRule type="expression" dxfId="11" priority="16" stopIfTrue="1">
      <formula>AND(H35&lt;&gt;0,L35&lt;1)</formula>
    </cfRule>
  </conditionalFormatting>
  <conditionalFormatting sqref="K39">
    <cfRule type="cellIs" dxfId="10" priority="9" stopIfTrue="1" operator="greaterThan">
      <formula>0</formula>
    </cfRule>
  </conditionalFormatting>
  <conditionalFormatting sqref="L39">
    <cfRule type="cellIs" dxfId="9" priority="10" stopIfTrue="1" operator="equal">
      <formula>1</formula>
    </cfRule>
    <cfRule type="expression" dxfId="8" priority="11" stopIfTrue="1">
      <formula>AND(H39&lt;&gt;0,L39&lt;1)</formula>
    </cfRule>
  </conditionalFormatting>
  <conditionalFormatting sqref="I45:I49">
    <cfRule type="cellIs" dxfId="7" priority="4" stopIfTrue="1" operator="greaterThan">
      <formula>0</formula>
    </cfRule>
  </conditionalFormatting>
  <conditionalFormatting sqref="K45:K49">
    <cfRule type="cellIs" dxfId="6" priority="5" stopIfTrue="1" operator="greaterThan">
      <formula>0</formula>
    </cfRule>
  </conditionalFormatting>
  <conditionalFormatting sqref="J45:J50">
    <cfRule type="cellIs" dxfId="5" priority="6" stopIfTrue="1" operator="greaterThan">
      <formula>0</formula>
    </cfRule>
  </conditionalFormatting>
  <conditionalFormatting sqref="L45:L49">
    <cfRule type="cellIs" dxfId="4" priority="7" stopIfTrue="1" operator="equal">
      <formula>1</formula>
    </cfRule>
    <cfRule type="expression" dxfId="3" priority="8" stopIfTrue="1">
      <formula>AND(H45&lt;&gt;0,L45&lt;1)</formula>
    </cfRule>
  </conditionalFormatting>
  <conditionalFormatting sqref="K50">
    <cfRule type="cellIs" dxfId="2" priority="1" stopIfTrue="1" operator="greaterThan">
      <formula>0</formula>
    </cfRule>
  </conditionalFormatting>
  <conditionalFormatting sqref="L50">
    <cfRule type="cellIs" dxfId="1" priority="2" stopIfTrue="1" operator="equal">
      <formula>1</formula>
    </cfRule>
    <cfRule type="expression" dxfId="0" priority="3" stopIfTrue="1">
      <formula>AND(H50&lt;&gt;0,L50&lt;1)</formula>
    </cfRule>
  </conditionalFormatting>
  <printOptions horizontalCentered="1"/>
  <pageMargins left="0.2" right="0.2" top="0.25" bottom="0.3" header="0.5" footer="0"/>
  <pageSetup scale="73" orientation="portrait" r:id="rId3"/>
  <headerFooter alignWithMargins="0">
    <oddFooter>&amp;R&amp;P</oddFooter>
  </headerFooter>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dimension ref="A1:C40"/>
  <sheetViews>
    <sheetView workbookViewId="0">
      <pane ySplit="1" topLeftCell="A14" activePane="bottomLeft" state="frozen"/>
      <selection activeCell="B4" sqref="B4"/>
      <selection pane="bottomLeft" activeCell="A3" sqref="A3"/>
    </sheetView>
  </sheetViews>
  <sheetFormatPr defaultRowHeight="12.75"/>
  <cols>
    <col min="1" max="1" width="35.7109375" style="99" customWidth="1"/>
    <col min="2" max="2" width="90.7109375" style="99" customWidth="1"/>
  </cols>
  <sheetData>
    <row r="1" spans="1:3" s="99" customFormat="1" ht="20.100000000000001" customHeight="1">
      <c r="A1" s="313" t="s">
        <v>235</v>
      </c>
      <c r="B1" s="108"/>
      <c r="C1" s="108"/>
    </row>
    <row r="2" spans="1:3" s="99" customFormat="1"/>
    <row r="3" spans="1:3" s="99" customFormat="1" ht="18">
      <c r="A3" s="109" t="s">
        <v>184</v>
      </c>
      <c r="B3" s="110"/>
    </row>
    <row r="4" spans="1:3" s="99" customFormat="1"/>
    <row r="5" spans="1:3" s="99" customFormat="1"/>
    <row r="6" spans="1:3" s="99" customFormat="1" ht="16.5">
      <c r="A6" s="193" t="s">
        <v>39</v>
      </c>
      <c r="B6" s="292" t="str">
        <f>'Workbook Set-up'!B4</f>
        <v>Trillium Health Resources</v>
      </c>
      <c r="C6" s="293"/>
    </row>
    <row r="7" spans="1:3" s="99" customFormat="1" ht="17.25" thickBot="1">
      <c r="A7" s="300" t="s">
        <v>168</v>
      </c>
      <c r="B7" s="301" t="str">
        <f>IF(AND('Workbook Set-up'!$B$13="",'Workbook Set-up'!$B$14=""),"",IF('Workbook Set-up'!$B$13='Workbook Set-up'!$B$14,TEXT('Workbook Set-up'!$B$13,"m/d/yyyy"),IF('Workbook Set-up'!$B$13&lt;&gt;'Workbook Set-up'!$B$14,TEXT('Workbook Set-up'!$B$13,"m/d/yyyy")&amp;" to "&amp;TEXT('Workbook Set-up'!$B$14,"m/d/yyyy"),"")))</f>
        <v>7/15/2019</v>
      </c>
      <c r="C7" s="302"/>
    </row>
    <row r="8" spans="1:3" ht="12.75" customHeight="1" thickTop="1">
      <c r="A8" s="580" t="s">
        <v>232</v>
      </c>
      <c r="B8" s="298" t="str">
        <f>IF(ISNA(MATCH(1,'POC Summary'!$K$85:$K$88,0)),"",INDEX('POC Summary'!$B$85:$B$88,MATCH(1,'POC Summary'!$K$85:$K$88,0)))</f>
        <v/>
      </c>
      <c r="C8" s="299" t="str">
        <f>IF(ISNA(MATCH(1,'POC Summary'!$K$85:$K$88,0)),"",INDEX('POC Summary'!$E$85:$E$88,MATCH(1,'POC Summary'!$K$85:$K$88,0)))</f>
        <v/>
      </c>
    </row>
    <row r="9" spans="1:3" ht="12.75" customHeight="1">
      <c r="A9" s="578"/>
      <c r="B9" s="294" t="str">
        <f>IF(ISNA(MATCH(2,'POC Summary'!$K$85:$K$88,0)),"",INDEX('POC Summary'!$B$85:$B$88,MATCH(2,'POC Summary'!$K$85:$K$88,0)))</f>
        <v/>
      </c>
      <c r="C9" s="295" t="str">
        <f>IF(ISNA(MATCH(2,'POC Summary'!$K$85:$K$88,0)),"",INDEX('POC Summary'!$E$85:$E$88,MATCH(2,'POC Summary'!$K$85:$K$88,0)))</f>
        <v/>
      </c>
    </row>
    <row r="10" spans="1:3" ht="12.75" customHeight="1">
      <c r="A10" s="579"/>
      <c r="B10" s="296" t="str">
        <f>IF(ISNA(MATCH(3,'POC Summary'!$K$85:$K$88,0)),"",INDEX('POC Summary'!$B$85:$B$88,MATCH(3,'POC Summary'!$K$85:$K$88,0)))</f>
        <v/>
      </c>
      <c r="C10" s="297" t="str">
        <f>IF(ISNA(MATCH(3,'POC Summary'!$K$85:$K$88,0)),"",INDEX('POC Summary'!$E$85:$E$88,MATCH(3,'POC Summary'!$K$85:$K$88,0)))</f>
        <v/>
      </c>
    </row>
    <row r="11" spans="1:3" ht="12.75" customHeight="1">
      <c r="A11" s="577" t="s">
        <v>239</v>
      </c>
      <c r="B11" s="294" t="str">
        <f>IF(ISNA(MATCH(1,'POC Summary'!$K$96:$K$98,0)),"",INDEX('POC Summary'!$B$96:$B$98,MATCH(1,'POC Summary'!$K$96:$K$98,0)))</f>
        <v/>
      </c>
      <c r="C11" s="295" t="str">
        <f>IF(ISNA(MATCH(1,'POC Summary'!$K$96:$K$98,0)),"",INDEX('POC Summary'!$E$96:$E$98,MATCH(1,'POC Summary'!$K$96:$K$98,0)))</f>
        <v/>
      </c>
    </row>
    <row r="12" spans="1:3" ht="12.75" customHeight="1">
      <c r="A12" s="578"/>
      <c r="B12" s="294" t="str">
        <f>IF(ISNA(MATCH(2,'POC Summary'!$K$96:$K$98,0)),"",INDEX('POC Summary'!$B$96:$B$98,MATCH(2,'POC Summary'!$K$96:$K$98,0)))</f>
        <v/>
      </c>
      <c r="C12" s="295" t="str">
        <f>IF(ISNA(MATCH(2,'POC Summary'!$K$96:$K$98,0)),"",INDEX('POC Summary'!$E$96:$E$98,MATCH(2,'POC Summary'!$K$96:$K$98,0)))</f>
        <v/>
      </c>
    </row>
    <row r="13" spans="1:3" ht="12.75" customHeight="1">
      <c r="A13" s="578"/>
      <c r="B13" s="294" t="str">
        <f>IF(ISNA(MATCH(3,'POC Summary'!$K$96:$K$98,0)),"",INDEX('POC Summary'!$B$96:$B$98,MATCH(3,'POC Summary'!$K$96:$K$98,0)))</f>
        <v/>
      </c>
      <c r="C13" s="295" t="str">
        <f>IF(ISNA(MATCH(3,'POC Summary'!$K$96:$K$98,0)),"",INDEX('POC Summary'!$E$96:$E$98,MATCH(3,'POC Summary'!$K$96:$K$98,0)))</f>
        <v/>
      </c>
    </row>
    <row r="14" spans="1:3" ht="12.75" customHeight="1">
      <c r="A14" s="579"/>
      <c r="B14" s="296" t="str">
        <f>IF(ISNA(MATCH(4,'POC Summary'!$K$96:$K$98,0)),"",INDEX('POC Summary'!$B$96:$B$98,MATCH(4,'POC Summary'!$K$96:$K$98,0)))</f>
        <v/>
      </c>
      <c r="C14" s="297" t="str">
        <f>IF(ISNA(MATCH(4,'POC Summary'!$K$96:$K$98,0)),"",INDEX('POC Summary'!$E$96:$E$98,MATCH(4,'POC Summary'!$K$96:$K$98,0)))</f>
        <v/>
      </c>
    </row>
    <row r="15" spans="1:3" ht="12.75" customHeight="1">
      <c r="A15" s="578" t="s">
        <v>236</v>
      </c>
      <c r="B15" s="298" t="str">
        <f>IF(ISNA(MATCH(1,'POC Summary'!$K$127:$K$129,0)),"",INDEX('POC Summary'!$B$127:$B$129,MATCH(1,'POC Summary'!$K$127:$K$129,0)))</f>
        <v/>
      </c>
      <c r="C15" s="299" t="str">
        <f>IF(ISNA(MATCH(1,'POC Summary'!$K$127:$K$129,0)),"",INDEX('POC Summary'!$E$127:$E$129,MATCH(1,'POC Summary'!$K$127:$K$129,0)))</f>
        <v/>
      </c>
    </row>
    <row r="16" spans="1:3" ht="12.75" customHeight="1">
      <c r="A16" s="578"/>
      <c r="B16" s="294" t="str">
        <f>IF(ISNA(MATCH(2,'POC Summary'!$K$127:$K$129,0)),"",INDEX('POC Summary'!$B$127:$B$129,MATCH(2,'POC Summary'!$K$127:$K$129,0)))</f>
        <v/>
      </c>
      <c r="C16" s="295" t="str">
        <f>IF(ISNA(MATCH(2,'POC Summary'!$K$127:$K$129,0)),"",INDEX('POC Summary'!$E$127:$E$129,MATCH(2,'POC Summary'!$K$127:$K$129,0)))</f>
        <v/>
      </c>
    </row>
    <row r="17" spans="1:3" ht="12.75" customHeight="1">
      <c r="A17" s="579"/>
      <c r="B17" s="296" t="str">
        <f>IF(ISNA(MATCH(3,'POC Summary'!$K$127:$K$129,0)),"",INDEX('POC Summary'!$B$127:$B$129,MATCH(3,'POC Summary'!$K$127:$K$129,0)))</f>
        <v/>
      </c>
      <c r="C17" s="297" t="str">
        <f>IF(ISNA(MATCH(3,'POC Summary'!$K$127:$K$129,0)),"",INDEX('POC Summary'!$E$127:$E$129,MATCH(3,'POC Summary'!$K$127:$K$129,0)))</f>
        <v/>
      </c>
    </row>
    <row r="18" spans="1:3" ht="12.75" customHeight="1">
      <c r="A18" s="577" t="s">
        <v>240</v>
      </c>
      <c r="B18" s="294" t="str">
        <f>IF(ISNA(MATCH(1,'POC Summary'!$K$137:$K$140,0)),"",INDEX('POC Summary'!$B$137:$B$140,MATCH(1,'POC Summary'!$K$137:$K$140,0)))</f>
        <v/>
      </c>
      <c r="C18" s="295" t="str">
        <f>IF(ISNA(MATCH(1,'POC Summary'!$K$137:$K$140,0)),"",INDEX('POC Summary'!$E$137:$E$140,MATCH(1,'POC Summary'!$K$137:$K$140,0)))</f>
        <v/>
      </c>
    </row>
    <row r="19" spans="1:3" ht="12.75" customHeight="1">
      <c r="A19" s="578"/>
      <c r="B19" s="294" t="str">
        <f>IF(ISNA(MATCH(2,'POC Summary'!$K$137:$K$140,0)),"",INDEX('POC Summary'!$B$137:$B$140,MATCH(2,'POC Summary'!$K$137:$K$140,0)))</f>
        <v/>
      </c>
      <c r="C19" s="295" t="str">
        <f>IF(ISNA(MATCH(2,'POC Summary'!$K$137:$K$140,0)),"",INDEX('POC Summary'!$E$137:$E$140,MATCH(2,'POC Summary'!$K$137:$K$140,0)))</f>
        <v/>
      </c>
    </row>
    <row r="20" spans="1:3" ht="12.75" customHeight="1">
      <c r="A20" s="578"/>
      <c r="B20" s="294" t="str">
        <f>IF(ISNA(MATCH(3,'POC Summary'!$K$137:$K$140,0)),"",INDEX('POC Summary'!$B$137:$B$140,MATCH(3,'POC Summary'!$K$137:$K$140,0)))</f>
        <v/>
      </c>
      <c r="C20" s="295" t="str">
        <f>IF(ISNA(MATCH(3,'POC Summary'!$K$137:$K$140,0)),"",INDEX('POC Summary'!$E$137:$E$140,MATCH(3,'POC Summary'!$K$137:$K$140,0)))</f>
        <v/>
      </c>
    </row>
    <row r="21" spans="1:3" ht="12.75" customHeight="1">
      <c r="A21" s="579"/>
      <c r="B21" s="296" t="str">
        <f>IF(ISNA(MATCH(4,'POC Summary'!$K$137:$K$140,0)),"",INDEX('POC Summary'!$B$137:$B$140,MATCH(4,'POC Summary'!$K$137:$K$140,0)))</f>
        <v/>
      </c>
      <c r="C21" s="297" t="str">
        <f>IF(ISNA(MATCH(4,'POC Summary'!$K$137:$K$140,0)),"",INDEX('POC Summary'!$E$137:$E$140,MATCH(4,'POC Summary'!$K$137:$K$140,0)))</f>
        <v/>
      </c>
    </row>
    <row r="22" spans="1:3" ht="12.75" customHeight="1">
      <c r="A22" s="578" t="s">
        <v>237</v>
      </c>
      <c r="B22" s="298" t="str">
        <f>IF(ISNA(MATCH(1,'POC Summary'!$K$148:$K$150,0)),"",INDEX('POC Summary'!$B$148:$B$150,MATCH(1,'POC Summary'!$K$148:$K$150,0)))</f>
        <v/>
      </c>
      <c r="C22" s="299" t="str">
        <f>IF(ISNA(MATCH(1,'POC Summary'!$K$148:$K$150,0)),"",INDEX('POC Summary'!$E$148:$E$150,MATCH(1,'POC Summary'!$K$148:$K$150,0)))</f>
        <v/>
      </c>
    </row>
    <row r="23" spans="1:3" ht="12.75" customHeight="1">
      <c r="A23" s="578"/>
      <c r="B23" s="294" t="str">
        <f>IF(ISNA(MATCH(2,'POC Summary'!$K$148:$K$150,0)),"",INDEX('POC Summary'!$B$148:$B$150,MATCH(2,'POC Summary'!$K$148:$K$150,0)))</f>
        <v/>
      </c>
      <c r="C23" s="295" t="str">
        <f>IF(ISNA(MATCH(2,'POC Summary'!$K$148:$K$150,0)),"",INDEX('POC Summary'!$E$148:$E$150,MATCH(2,'POC Summary'!$K$148:$K$150,0)))</f>
        <v/>
      </c>
    </row>
    <row r="24" spans="1:3" ht="12.75" customHeight="1">
      <c r="A24" s="579"/>
      <c r="B24" s="296" t="str">
        <f>IF(ISNA(MATCH(3,'POC Summary'!$K$148:$K$150,0)),"",INDEX('POC Summary'!$B$148:$B$150,MATCH(3,'POC Summary'!$K$148:$K$150,0)))</f>
        <v/>
      </c>
      <c r="C24" s="297" t="str">
        <f>IF(ISNA(MATCH(3,'POC Summary'!$K$148:$K$150,0)),"",INDEX('POC Summary'!$E$148:$E$150,MATCH(3,'POC Summary'!$K$148:$K$150,0)))</f>
        <v/>
      </c>
    </row>
    <row r="25" spans="1:3" ht="12.75" customHeight="1">
      <c r="A25" s="577" t="s">
        <v>238</v>
      </c>
      <c r="B25" s="294" t="str">
        <f>IF(ISNA(MATCH(1,'POC Summary'!$K$158:$K$161,0)),"",INDEX('POC Summary'!$B$158:$B$161,MATCH(1,'POC Summary'!$K$158:$K$161,0)))</f>
        <v/>
      </c>
      <c r="C25" s="295" t="str">
        <f>IF(ISNA(MATCH(1,'POC Summary'!$K$158:$K$161,0)),"",INDEX('POC Summary'!$E$158:$E$161,MATCH(1,'POC Summary'!$K$158:$K$161,0)))</f>
        <v/>
      </c>
    </row>
    <row r="26" spans="1:3" ht="12.75" customHeight="1">
      <c r="A26" s="578"/>
      <c r="B26" s="294" t="str">
        <f>IF(ISNA(MATCH(2,'POC Summary'!$K$158:$K$161,0)),"",INDEX('POC Summary'!$B$158:$B$161,MATCH(2,'POC Summary'!$K$158:$K$161,0)))</f>
        <v/>
      </c>
      <c r="C26" s="295" t="str">
        <f>IF(ISNA(MATCH(2,'POC Summary'!$K$158:$K$161,0)),"",INDEX('POC Summary'!$E$158:$E$161,MATCH(2,'POC Summary'!$K$158:$K$161,0)))</f>
        <v/>
      </c>
    </row>
    <row r="27" spans="1:3" ht="12.75" customHeight="1">
      <c r="A27" s="578"/>
      <c r="B27" s="294" t="str">
        <f>IF(ISNA(MATCH(3,'POC Summary'!$K$158:$K$161,0)),"",INDEX('POC Summary'!$B$158:$B$161,MATCH(3,'POC Summary'!$K$158:$K$161,0)))</f>
        <v/>
      </c>
      <c r="C27" s="295" t="str">
        <f>IF(ISNA(MATCH(3,'POC Summary'!$K$158:$K$161,0)),"",INDEX('POC Summary'!$E$158:$E$161,MATCH(3,'POC Summary'!$K$158:$K$161,0)))</f>
        <v/>
      </c>
    </row>
    <row r="28" spans="1:3" ht="12.75" customHeight="1">
      <c r="A28" s="579"/>
      <c r="B28" s="294" t="str">
        <f>IF(ISNA(MATCH(4,'POC Summary'!$K$158:$K$161,0)),"",INDEX('POC Summary'!$B$158:$B$161,MATCH(4,'POC Summary'!$K$158:$K$161,0)))</f>
        <v/>
      </c>
      <c r="C28" s="295" t="str">
        <f>IF(ISNA(MATCH(4,'POC Summary'!$K$158:$K$161,0)),"",INDEX('POC Summary'!$E$158:$E$161,MATCH(4,'POC Summary'!$K$158:$K$161,0)))</f>
        <v/>
      </c>
    </row>
    <row r="29" spans="1:3" ht="12.75" customHeight="1">
      <c r="A29" s="577" t="s">
        <v>233</v>
      </c>
      <c r="B29" s="298" t="str">
        <f>IF(ISNA(MATCH(1,'POC Summary'!$K$169,0)),"",INDEX('POC Summary'!$B$169,MATCH(1,'POC Summary'!$K$169,0)))</f>
        <v/>
      </c>
      <c r="C29" s="299" t="str">
        <f>IF(ISNA(MATCH(1,'POC Summary'!$K$169,0)),"",INDEX('POC Summary'!$E$169,MATCH(1,'POC Summary'!$K$169,0)))</f>
        <v/>
      </c>
    </row>
    <row r="30" spans="1:3" ht="12.75" customHeight="1">
      <c r="A30" s="578"/>
      <c r="B30" s="294" t="str">
        <f>IF(ISNA(MATCH(2,'POC Summary'!$K$169,0)),"",INDEX('POC Summary'!$B$169,MATCH(2,'POC Summary'!$K$169,0)))</f>
        <v/>
      </c>
      <c r="C30" s="295" t="str">
        <f>IF(ISNA(MATCH(2,'POC Summary'!$K$169,0)),"",INDEX('POC Summary'!$E$169,MATCH(2,'POC Summary'!$K$169,0)))</f>
        <v/>
      </c>
    </row>
    <row r="31" spans="1:3" ht="12.75" customHeight="1">
      <c r="A31" s="579"/>
      <c r="B31" s="294" t="str">
        <f>IF(ISNA(MATCH(3,'POC Summary'!$K$169,0)),"",INDEX('POC Summary'!$B$169,MATCH(3,'POC Summary'!$K$169,0)))</f>
        <v/>
      </c>
      <c r="C31" s="295" t="str">
        <f>IF(ISNA(MATCH(3,'POC Summary'!$K$169,0)),"",INDEX('POC Summary'!$E$169,MATCH(3,'POC Summary'!$K$169,0)))</f>
        <v/>
      </c>
    </row>
    <row r="32" spans="1:3" ht="12.75" customHeight="1">
      <c r="A32" s="574" t="s">
        <v>234</v>
      </c>
      <c r="B32" s="298" t="str">
        <f>IF(ISNA(MATCH(1,'POC Summary'!$K$179,0)),"",INDEX('POC Summary'!$B$179,MATCH(1,'POC Summary'!$K$179,0)))</f>
        <v/>
      </c>
      <c r="C32" s="299" t="str">
        <f>IF(ISNA(MATCH(1,'POC Summary'!$K$179,0)),"",INDEX('POC Summary'!$E$179,MATCH(1,'POC Summary'!$K$179,0)))</f>
        <v/>
      </c>
    </row>
    <row r="33" spans="1:3" ht="12.75" customHeight="1">
      <c r="A33" s="575"/>
      <c r="B33" s="294" t="str">
        <f>IF(ISNA(MATCH(2,'POC Summary'!$K$179,0)),"",INDEX('POC Summary'!$B$179,MATCH(2,'POC Summary'!$K$179,0)))</f>
        <v/>
      </c>
      <c r="C33" s="295" t="str">
        <f>IF(ISNA(MATCH(2,'POC Summary'!$K$179,0)),"",INDEX('POC Summary'!$E$179,MATCH(2,'POC Summary'!$K$179,0)))</f>
        <v/>
      </c>
    </row>
    <row r="34" spans="1:3" ht="12.75" customHeight="1">
      <c r="A34" s="576"/>
      <c r="B34" s="294" t="str">
        <f>IF(ISNA(MATCH(3,'POC Summary'!$K$179,0)),"",INDEX('POC Summary'!$B$179,MATCH(3,'POC Summary'!$K$179,0)))</f>
        <v/>
      </c>
      <c r="C34" s="295" t="str">
        <f>IF(ISNA(MATCH(3,'POC Summary'!$K$179,0)),"",INDEX('POC Summary'!$E$179,MATCH(3,'POC Summary'!$K$179,0)))</f>
        <v/>
      </c>
    </row>
    <row r="35" spans="1:3" ht="12.75" customHeight="1">
      <c r="A35" s="577" t="s">
        <v>226</v>
      </c>
      <c r="B35" s="298" t="str">
        <f>IF(ISNA(MATCH(1,'POC Summary'!$K$189:$K$192,0)),"",INDEX('POC Summary'!$B$189:$B$192,MATCH(1,'POC Summary'!$K$189:$K$192,0)))</f>
        <v/>
      </c>
      <c r="C35" s="299" t="str">
        <f>IF(ISNA(MATCH(1,'POC Summary'!$K$189:$K$192,0)),"",INDEX('POC Summary'!$E$189:$E$192,MATCH(1,'POC Summary'!$K$189:$K$192,0)))</f>
        <v/>
      </c>
    </row>
    <row r="36" spans="1:3" ht="12.75" customHeight="1">
      <c r="A36" s="578"/>
      <c r="B36" s="294" t="str">
        <f>IF(ISNA(MATCH(2,'POC Summary'!$K$189:$K$192,0)),"",INDEX('POC Summary'!$B$189:$B$192,MATCH(2,'POC Summary'!$K$189:$K$192,0)))</f>
        <v/>
      </c>
      <c r="C36" s="295" t="str">
        <f>IF(ISNA(MATCH(2,'POC Summary'!$K$189:$K$192,0)),"",INDEX('POC Summary'!$E$189:$E$192,MATCH(2,'POC Summary'!$K$189:$K$192,0)))</f>
        <v/>
      </c>
    </row>
    <row r="37" spans="1:3" ht="12.75" customHeight="1">
      <c r="A37" s="579"/>
      <c r="B37" s="294" t="str">
        <f>IF(ISNA(MATCH(3,'POC Summary'!$K$189:$K$192,0)),"",INDEX('POC Summary'!$B$189:$B$192,MATCH(3,'POC Summary'!$K$189:$K$192,0)))</f>
        <v/>
      </c>
      <c r="C37" s="295" t="str">
        <f>IF(ISNA(MATCH(3,'POC Summary'!$K$189:$K$192,0)),"",INDEX('POC Summary'!$E$189:$E$192,MATCH(3,'POC Summary'!$K$189:$K$192,0)))</f>
        <v/>
      </c>
    </row>
    <row r="38" spans="1:3" ht="12.75" customHeight="1">
      <c r="A38" s="577" t="s">
        <v>227</v>
      </c>
      <c r="B38" s="298" t="str">
        <f>IF(ISNA(MATCH(1,'POC Summary'!$K$200:$K$203,0)),"",INDEX('POC Summary'!$B$200:$B$203,MATCH(1,'POC Summary'!$K$200:$K$203,0)))</f>
        <v/>
      </c>
      <c r="C38" s="299" t="str">
        <f>IF(ISNA(MATCH(1,'POC Summary'!$K$200:$K$203,0)),"",INDEX('POC Summary'!$E$200:$E$203,MATCH(1,'POC Summary'!$K$200:$K$203,0)))</f>
        <v/>
      </c>
    </row>
    <row r="39" spans="1:3" ht="12.75" customHeight="1">
      <c r="A39" s="578"/>
      <c r="B39" s="294" t="str">
        <f>IF(ISNA(MATCH(2,'POC Summary'!$K$200:$K$203,0)),"",INDEX('POC Summary'!$B$200:$B$203,MATCH(2,'POC Summary'!$K$200:$K$203,0)))</f>
        <v/>
      </c>
      <c r="C39" s="295" t="str">
        <f>IF(ISNA(MATCH(2,'POC Summary'!$K$200:$K$203,0)),"",INDEX('POC Summary'!$E$200:$E$203,MATCH(2,'POC Summary'!$K$200:$K$203,0)))</f>
        <v/>
      </c>
    </row>
    <row r="40" spans="1:3" ht="12.75" customHeight="1">
      <c r="A40" s="579"/>
      <c r="B40" s="296" t="str">
        <f>IF(ISNA(MATCH(3,'POC Summary'!$K$200:$K$203,0)),"",INDEX('POC Summary'!$B$200:$B$203,MATCH(3,'POC Summary'!$K$200:$K$203,0)))</f>
        <v/>
      </c>
      <c r="C40" s="297" t="str">
        <f>IF(ISNA(MATCH(3,'POC Summary'!$K$200:$K$203,0)),"",INDEX('POC Summary'!$E$200:$E$203,MATCH(3,'POC Summary'!$K$200:$K$203,0)))</f>
        <v/>
      </c>
    </row>
  </sheetData>
  <customSheetViews>
    <customSheetView guid="{2A3E70A9-51A3-4722-9775-16DBEA0F14B3}">
      <pane ySplit="1" topLeftCell="A2" activePane="bottomLeft" state="frozen"/>
      <selection pane="bottomLeft" activeCell="A3" sqref="A3"/>
      <pageMargins left="0.2" right="0.2" top="0.3" bottom="0.3" header="0" footer="0"/>
      <printOptions horizontalCentered="1"/>
      <pageSetup orientation="landscape" horizontalDpi="1200" verticalDpi="1200" r:id="rId1"/>
      <headerFooter>
        <oddFooter>&amp;C&amp;P of &amp;N</oddFooter>
      </headerFooter>
    </customSheetView>
    <customSheetView guid="{A13B25D0-B104-46DD-B5CC-B628EEB53163}">
      <pane ySplit="1" topLeftCell="A2" activePane="bottomLeft" state="frozen"/>
      <selection pane="bottomLeft" activeCell="A3" sqref="A3"/>
      <pageMargins left="0.2" right="0.2" top="0.3" bottom="0.3" header="0" footer="0"/>
      <printOptions horizontalCentered="1"/>
      <pageSetup orientation="landscape" horizontalDpi="1200" verticalDpi="1200" r:id="rId2"/>
      <headerFooter>
        <oddFooter>&amp;C&amp;P of &amp;N</oddFooter>
      </headerFooter>
    </customSheetView>
  </customSheetViews>
  <mergeCells count="10">
    <mergeCell ref="A8:A10"/>
    <mergeCell ref="A11:A14"/>
    <mergeCell ref="A18:A21"/>
    <mergeCell ref="A25:A28"/>
    <mergeCell ref="A29:A31"/>
    <mergeCell ref="A32:A34"/>
    <mergeCell ref="A35:A37"/>
    <mergeCell ref="A38:A40"/>
    <mergeCell ref="A15:A17"/>
    <mergeCell ref="A22:A24"/>
  </mergeCells>
  <printOptions horizontalCentered="1"/>
  <pageMargins left="0.2" right="0.2" top="0.3" bottom="0.3" header="0" footer="0"/>
  <pageSetup orientation="landscape" horizontalDpi="1200" verticalDpi="1200" r:id="rId3"/>
  <headerFooter>
    <oddFooter>&amp;C&amp;P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F8"/>
  <sheetViews>
    <sheetView workbookViewId="0">
      <pane ySplit="1" topLeftCell="A2" activePane="bottomLeft" state="frozen"/>
      <selection activeCell="B4" sqref="B4"/>
      <selection pane="bottomLeft" activeCell="A8" sqref="A8"/>
    </sheetView>
  </sheetViews>
  <sheetFormatPr defaultColWidth="9.140625" defaultRowHeight="12.75"/>
  <cols>
    <col min="1" max="1" width="35.7109375" style="112" customWidth="1"/>
    <col min="2" max="3" width="9.7109375" style="112" customWidth="1"/>
    <col min="4" max="6" width="9.140625" style="112"/>
    <col min="7" max="7" width="9.42578125" style="112" bestFit="1" customWidth="1"/>
    <col min="8" max="8" width="9.140625" style="112"/>
    <col min="9" max="9" width="9.140625" style="112" bestFit="1" customWidth="1"/>
    <col min="10" max="11" width="9.140625" style="112"/>
    <col min="12" max="12" width="9.42578125" style="112" bestFit="1" customWidth="1"/>
    <col min="13" max="16" width="9.140625" style="112"/>
    <col min="17" max="17" width="9.42578125" style="112" bestFit="1" customWidth="1"/>
    <col min="18" max="26" width="9.140625" style="112"/>
    <col min="27" max="27" width="9.42578125" style="112" bestFit="1" customWidth="1"/>
    <col min="28" max="36" width="9.140625" style="112"/>
    <col min="37" max="37" width="9.42578125" style="112" bestFit="1" customWidth="1"/>
    <col min="38" max="41" width="9.140625" style="112"/>
    <col min="42" max="42" width="9.42578125" style="112" bestFit="1" customWidth="1"/>
    <col min="43" max="46" width="9.140625" style="112"/>
    <col min="47" max="47" width="9.42578125" style="112" bestFit="1" customWidth="1"/>
    <col min="48" max="51" width="9.140625" style="112"/>
    <col min="52" max="52" width="9.42578125" style="112" bestFit="1" customWidth="1"/>
    <col min="53" max="56" width="9.140625" style="112"/>
    <col min="57" max="57" width="9.42578125" style="112" bestFit="1" customWidth="1"/>
    <col min="58" max="16384" width="9.140625" style="112"/>
  </cols>
  <sheetData>
    <row r="1" spans="1:58" s="218" customFormat="1" ht="20.100000000000001" customHeight="1">
      <c r="A1" s="247"/>
      <c r="B1" s="247"/>
      <c r="C1" s="247"/>
      <c r="D1" s="247" t="s">
        <v>223</v>
      </c>
      <c r="E1" s="247"/>
      <c r="F1" s="247"/>
      <c r="G1" s="247"/>
      <c r="H1" s="247"/>
      <c r="I1" s="247"/>
      <c r="J1" s="247"/>
      <c r="K1" s="247"/>
      <c r="L1" s="247"/>
      <c r="M1" s="247"/>
      <c r="N1" s="247"/>
      <c r="O1" s="247"/>
      <c r="P1" s="247"/>
      <c r="Q1" s="247"/>
      <c r="R1" s="247"/>
      <c r="S1" s="247"/>
      <c r="T1" s="247"/>
      <c r="U1" s="247"/>
      <c r="V1" s="247"/>
      <c r="W1" s="247"/>
      <c r="X1" s="247" t="s">
        <v>223</v>
      </c>
      <c r="Y1" s="247"/>
      <c r="Z1" s="247"/>
      <c r="AA1" s="247"/>
      <c r="AB1" s="247"/>
      <c r="AC1" s="247"/>
      <c r="AD1" s="247"/>
      <c r="AE1" s="247"/>
      <c r="AF1" s="247"/>
      <c r="AG1" s="247"/>
      <c r="AH1" s="247"/>
      <c r="AI1" s="247"/>
      <c r="AJ1" s="247"/>
      <c r="AK1" s="247"/>
      <c r="AL1" s="247"/>
      <c r="AM1" s="247"/>
      <c r="AN1" s="247"/>
      <c r="AO1" s="247"/>
      <c r="AP1" s="247"/>
      <c r="AQ1" s="247"/>
      <c r="AR1" s="247" t="s">
        <v>223</v>
      </c>
      <c r="AS1" s="247"/>
      <c r="AT1" s="247"/>
      <c r="AU1" s="247"/>
      <c r="AV1" s="247"/>
      <c r="AW1" s="247"/>
      <c r="AX1" s="247"/>
      <c r="AY1" s="247"/>
      <c r="AZ1" s="247"/>
      <c r="BA1" s="247"/>
      <c r="BB1" s="247"/>
      <c r="BC1" s="247"/>
      <c r="BD1" s="247"/>
      <c r="BE1" s="247"/>
      <c r="BF1" s="247"/>
    </row>
    <row r="2" spans="1:58" s="218" customFormat="1"/>
    <row r="3" spans="1:58" s="218" customFormat="1" ht="18">
      <c r="A3" s="219" t="s">
        <v>241</v>
      </c>
      <c r="B3" s="220"/>
      <c r="C3" s="220"/>
      <c r="D3" s="219"/>
      <c r="E3" s="220"/>
      <c r="F3" s="220"/>
      <c r="G3" s="220"/>
      <c r="H3" s="220"/>
      <c r="I3" s="220"/>
      <c r="J3" s="220"/>
      <c r="K3" s="220"/>
      <c r="L3" s="220"/>
      <c r="M3" s="220"/>
      <c r="N3" s="219"/>
      <c r="O3" s="220"/>
      <c r="P3" s="220"/>
      <c r="Q3" s="220"/>
      <c r="R3" s="220"/>
      <c r="S3" s="220"/>
      <c r="T3" s="220"/>
      <c r="U3" s="220"/>
      <c r="V3" s="220"/>
      <c r="W3" s="220"/>
      <c r="X3" s="219" t="s">
        <v>241</v>
      </c>
      <c r="Y3" s="220"/>
      <c r="Z3" s="220"/>
      <c r="AA3" s="220"/>
      <c r="AB3" s="220"/>
      <c r="AC3" s="220"/>
      <c r="AD3" s="220"/>
      <c r="AE3" s="220"/>
      <c r="AF3" s="220"/>
      <c r="AG3" s="220"/>
      <c r="AH3" s="220"/>
      <c r="AI3" s="220"/>
      <c r="AJ3" s="220"/>
      <c r="AK3" s="220"/>
      <c r="AL3" s="220"/>
      <c r="AM3" s="219"/>
      <c r="AN3" s="220"/>
      <c r="AO3" s="220"/>
      <c r="AP3" s="220"/>
      <c r="AQ3" s="220"/>
      <c r="AR3" s="219" t="s">
        <v>241</v>
      </c>
      <c r="AS3" s="220"/>
      <c r="AT3" s="220"/>
      <c r="AU3" s="220"/>
      <c r="AV3" s="220"/>
      <c r="AW3" s="219"/>
      <c r="AX3" s="220"/>
      <c r="AY3" s="220"/>
      <c r="AZ3" s="220"/>
      <c r="BA3" s="220"/>
      <c r="BB3" s="219"/>
      <c r="BC3" s="220"/>
      <c r="BD3" s="220"/>
      <c r="BE3" s="220"/>
      <c r="BF3" s="220"/>
    </row>
    <row r="4" spans="1:58" s="218" customFormat="1"/>
    <row r="5" spans="1:58" s="218" customFormat="1" ht="25.5">
      <c r="D5" s="223" t="s">
        <v>232</v>
      </c>
      <c r="E5" s="221"/>
      <c r="F5" s="221"/>
      <c r="G5" s="221"/>
      <c r="H5" s="222"/>
      <c r="I5" s="224" t="s">
        <v>239</v>
      </c>
      <c r="J5" s="225"/>
      <c r="K5" s="225"/>
      <c r="L5" s="225"/>
      <c r="M5" s="222"/>
      <c r="N5" s="223" t="s">
        <v>236</v>
      </c>
      <c r="O5" s="221"/>
      <c r="P5" s="221"/>
      <c r="Q5" s="221"/>
      <c r="R5" s="222"/>
      <c r="S5" s="377" t="s">
        <v>240</v>
      </c>
      <c r="T5" s="225"/>
      <c r="U5" s="225"/>
      <c r="V5" s="225"/>
      <c r="W5" s="225"/>
      <c r="X5" s="223" t="s">
        <v>237</v>
      </c>
      <c r="Y5" s="221"/>
      <c r="Z5" s="221"/>
      <c r="AA5" s="221"/>
      <c r="AB5" s="222"/>
      <c r="AC5" s="381" t="s">
        <v>238</v>
      </c>
      <c r="AD5" s="225"/>
      <c r="AE5" s="225"/>
      <c r="AF5" s="225"/>
      <c r="AG5" s="226"/>
      <c r="AH5" s="377" t="s">
        <v>233</v>
      </c>
      <c r="AI5" s="221"/>
      <c r="AJ5" s="221"/>
      <c r="AK5" s="221"/>
      <c r="AL5" s="222"/>
      <c r="AM5" s="224" t="s">
        <v>234</v>
      </c>
      <c r="AN5" s="221"/>
      <c r="AO5" s="221"/>
      <c r="AP5" s="221"/>
      <c r="AQ5" s="222"/>
      <c r="AR5" s="377" t="s">
        <v>226</v>
      </c>
      <c r="AS5" s="221"/>
      <c r="AT5" s="221"/>
      <c r="AU5" s="221"/>
      <c r="AV5" s="222"/>
      <c r="AW5" s="224" t="s">
        <v>227</v>
      </c>
      <c r="AX5" s="221"/>
      <c r="AY5" s="221"/>
      <c r="AZ5" s="221"/>
      <c r="BA5" s="222"/>
      <c r="BB5" s="224" t="s">
        <v>169</v>
      </c>
      <c r="BC5" s="225"/>
      <c r="BD5" s="225"/>
      <c r="BE5" s="225"/>
      <c r="BF5" s="226"/>
    </row>
    <row r="6" spans="1:58" s="218" customFormat="1"/>
    <row r="7" spans="1:58" s="218" customFormat="1" ht="51">
      <c r="A7" s="227" t="s">
        <v>39</v>
      </c>
      <c r="B7" s="228" t="s">
        <v>170</v>
      </c>
      <c r="C7" s="236" t="s">
        <v>171</v>
      </c>
      <c r="D7" s="231" t="s">
        <v>173</v>
      </c>
      <c r="E7" s="229" t="s">
        <v>17</v>
      </c>
      <c r="F7" s="229" t="s">
        <v>31</v>
      </c>
      <c r="G7" s="229" t="s">
        <v>32</v>
      </c>
      <c r="H7" s="230" t="s">
        <v>36</v>
      </c>
      <c r="I7" s="231" t="s">
        <v>174</v>
      </c>
      <c r="J7" s="229" t="s">
        <v>17</v>
      </c>
      <c r="K7" s="229" t="s">
        <v>31</v>
      </c>
      <c r="L7" s="229" t="s">
        <v>32</v>
      </c>
      <c r="M7" s="230" t="s">
        <v>36</v>
      </c>
      <c r="N7" s="231" t="s">
        <v>173</v>
      </c>
      <c r="O7" s="229" t="s">
        <v>17</v>
      </c>
      <c r="P7" s="229" t="s">
        <v>31</v>
      </c>
      <c r="Q7" s="229" t="s">
        <v>32</v>
      </c>
      <c r="R7" s="230" t="s">
        <v>36</v>
      </c>
      <c r="S7" s="231" t="s">
        <v>174</v>
      </c>
      <c r="T7" s="229" t="s">
        <v>17</v>
      </c>
      <c r="U7" s="229" t="s">
        <v>31</v>
      </c>
      <c r="V7" s="229" t="s">
        <v>32</v>
      </c>
      <c r="W7" s="230" t="s">
        <v>36</v>
      </c>
      <c r="X7" s="231" t="s">
        <v>173</v>
      </c>
      <c r="Y7" s="229" t="s">
        <v>17</v>
      </c>
      <c r="Z7" s="229" t="s">
        <v>31</v>
      </c>
      <c r="AA7" s="229" t="s">
        <v>32</v>
      </c>
      <c r="AB7" s="230" t="s">
        <v>36</v>
      </c>
      <c r="AC7" s="231" t="s">
        <v>174</v>
      </c>
      <c r="AD7" s="229" t="s">
        <v>17</v>
      </c>
      <c r="AE7" s="229" t="s">
        <v>31</v>
      </c>
      <c r="AF7" s="229" t="s">
        <v>32</v>
      </c>
      <c r="AG7" s="230" t="s">
        <v>36</v>
      </c>
      <c r="AH7" s="231" t="s">
        <v>174</v>
      </c>
      <c r="AI7" s="229" t="s">
        <v>17</v>
      </c>
      <c r="AJ7" s="229" t="s">
        <v>31</v>
      </c>
      <c r="AK7" s="229" t="s">
        <v>32</v>
      </c>
      <c r="AL7" s="230" t="s">
        <v>36</v>
      </c>
      <c r="AM7" s="231" t="s">
        <v>174</v>
      </c>
      <c r="AN7" s="229" t="s">
        <v>17</v>
      </c>
      <c r="AO7" s="229" t="s">
        <v>31</v>
      </c>
      <c r="AP7" s="229" t="s">
        <v>32</v>
      </c>
      <c r="AQ7" s="230" t="s">
        <v>36</v>
      </c>
      <c r="AR7" s="231" t="s">
        <v>174</v>
      </c>
      <c r="AS7" s="229" t="s">
        <v>17</v>
      </c>
      <c r="AT7" s="229" t="s">
        <v>31</v>
      </c>
      <c r="AU7" s="229" t="s">
        <v>32</v>
      </c>
      <c r="AV7" s="230" t="s">
        <v>36</v>
      </c>
      <c r="AW7" s="231" t="s">
        <v>174</v>
      </c>
      <c r="AX7" s="229" t="s">
        <v>17</v>
      </c>
      <c r="AY7" s="229" t="s">
        <v>31</v>
      </c>
      <c r="AZ7" s="229" t="s">
        <v>32</v>
      </c>
      <c r="BA7" s="230" t="s">
        <v>36</v>
      </c>
      <c r="BB7" s="231" t="s">
        <v>172</v>
      </c>
      <c r="BC7" s="229" t="s">
        <v>17</v>
      </c>
      <c r="BD7" s="229" t="s">
        <v>31</v>
      </c>
      <c r="BE7" s="229" t="s">
        <v>32</v>
      </c>
      <c r="BF7" s="230" t="s">
        <v>36</v>
      </c>
    </row>
    <row r="8" spans="1:58" s="218" customFormat="1" ht="20.100000000000001" customHeight="1">
      <c r="A8" s="218" t="e">
        <f>'Workbook Set-up'!B4+W8A8:X8S5A8:AB8S5A8:AB8A8:Z8A8:BF8:ADE8</f>
        <v>#VALUE!</v>
      </c>
      <c r="B8" s="233">
        <f>'Workbook Set-up'!B13</f>
        <v>43661</v>
      </c>
      <c r="C8" s="233">
        <f>'Workbook Set-up'!B14</f>
        <v>43661</v>
      </c>
      <c r="D8" s="232" t="str">
        <f>IF('OVERALL SUMMARY'!$H$20=0,"",'OVERALL SUMMARY'!H20)</f>
        <v/>
      </c>
      <c r="E8" s="232" t="str">
        <f>IF('OVERALL SUMMARY'!$H$20=0,"",'OVERALL SUMMARY'!I20)</f>
        <v/>
      </c>
      <c r="F8" s="232" t="str">
        <f>IF('OVERALL SUMMARY'!$H$20=0,"",'OVERALL SUMMARY'!J20)</f>
        <v/>
      </c>
      <c r="G8" s="232" t="str">
        <f>IF('OVERALL SUMMARY'!$H$20=0,"",'OVERALL SUMMARY'!K20)</f>
        <v/>
      </c>
      <c r="H8" s="234" t="str">
        <f>IF('OVERALL SUMMARY'!$H$20=0,"",'OVERALL SUMMARY'!L20)</f>
        <v/>
      </c>
      <c r="I8" s="232" t="str">
        <f>IF('OVERALL SUMMARY'!$H$29=0,"",'OVERALL SUMMARY'!H29)</f>
        <v/>
      </c>
      <c r="J8" s="232" t="str">
        <f>IF('OVERALL SUMMARY'!$H$29=0,"",'OVERALL SUMMARY'!I29)</f>
        <v/>
      </c>
      <c r="K8" s="232" t="str">
        <f>IF('OVERALL SUMMARY'!$H$29=0,"",'OVERALL SUMMARY'!J29)</f>
        <v/>
      </c>
      <c r="L8" s="232" t="str">
        <f>IF('OVERALL SUMMARY'!$H$29=0,"",'OVERALL SUMMARY'!K29)</f>
        <v/>
      </c>
      <c r="M8" s="234" t="str">
        <f>IF('OVERALL SUMMARY'!$H$29=0,"",'OVERALL SUMMARY'!L29)</f>
        <v/>
      </c>
      <c r="N8" s="232" t="str">
        <f>IF('OVERALL SUMMARY'!$H$63=0,"",'OVERALL SUMMARY'!H63)</f>
        <v/>
      </c>
      <c r="O8" s="232" t="str">
        <f>IF('OVERALL SUMMARY'!$H$63=0,"",'OVERALL SUMMARY'!I63)</f>
        <v/>
      </c>
      <c r="P8" s="232" t="str">
        <f>IF('OVERALL SUMMARY'!$H$63=0,"",'OVERALL SUMMARY'!J63)</f>
        <v/>
      </c>
      <c r="Q8" s="232" t="str">
        <f>IF('OVERALL SUMMARY'!$H$63=0,"",'OVERALL SUMMARY'!K63)</f>
        <v/>
      </c>
      <c r="R8" s="235" t="str">
        <f>IF('OVERALL SUMMARY'!$H$63=0,"",'OVERALL SUMMARY'!L63)</f>
        <v/>
      </c>
      <c r="S8" s="232" t="str">
        <f>IF('OVERALL SUMMARY'!$H$73=0,"",'OVERALL SUMMARY'!H73)</f>
        <v/>
      </c>
      <c r="T8" s="232" t="str">
        <f>IF('OVERALL SUMMARY'!$H$73=0,"",'OVERALL SUMMARY'!I73)</f>
        <v/>
      </c>
      <c r="U8" s="232" t="str">
        <f>IF('OVERALL SUMMARY'!$H$73=0,"",'OVERALL SUMMARY'!J73)</f>
        <v/>
      </c>
      <c r="V8" s="232" t="str">
        <f>IF('OVERALL SUMMARY'!$H$73=0,"",'OVERALL SUMMARY'!K73)</f>
        <v/>
      </c>
      <c r="W8" s="235" t="str">
        <f>IF('OVERALL SUMMARY'!$H$73=0,"",'OVERALL SUMMARY'!L73)</f>
        <v/>
      </c>
      <c r="X8" s="232" t="str">
        <f>IF('OVERALL SUMMARY'!$H$83=0,"",'OVERALL SUMMARY'!H83)</f>
        <v/>
      </c>
      <c r="Y8" s="232" t="str">
        <f>IF('OVERALL SUMMARY'!$H$83=0,"",'OVERALL SUMMARY'!I83)</f>
        <v/>
      </c>
      <c r="Z8" s="232" t="str">
        <f>IF('OVERALL SUMMARY'!$H$83=0,"",'OVERALL SUMMARY'!J83)</f>
        <v/>
      </c>
      <c r="AA8" s="232" t="str">
        <f>IF('OVERALL SUMMARY'!$H$83=0,"",'OVERALL SUMMARY'!K83)</f>
        <v/>
      </c>
      <c r="AB8" s="235" t="str">
        <f>IF('OVERALL SUMMARY'!$H$83=0,"",'OVERALL SUMMARY'!L83)</f>
        <v/>
      </c>
      <c r="AC8" s="232" t="str">
        <f>IF('OVERALL SUMMARY'!$H$93=0,"",'OVERALL SUMMARY'!H93)</f>
        <v/>
      </c>
      <c r="AD8" s="232" t="str">
        <f>IF('OVERALL SUMMARY'!$H$93=0,"",'OVERALL SUMMARY'!I93)</f>
        <v/>
      </c>
      <c r="AE8" s="232" t="str">
        <f>IF('OVERALL SUMMARY'!$H$93=0,"",'OVERALL SUMMARY'!J93)</f>
        <v/>
      </c>
      <c r="AF8" s="232" t="str">
        <f>IF('OVERALL SUMMARY'!$H$93=0,"",'OVERALL SUMMARY'!K93)</f>
        <v/>
      </c>
      <c r="AG8" s="235" t="str">
        <f>IF('OVERALL SUMMARY'!$H$93=0,"",'OVERALL SUMMARY'!L93)</f>
        <v/>
      </c>
      <c r="AH8" s="232" t="str">
        <f>IF('OVERALL SUMMARY'!$H$102=0,"",'OVERALL SUMMARY'!H102)</f>
        <v/>
      </c>
      <c r="AI8" s="232" t="str">
        <f>IF('OVERALL SUMMARY'!$H$102=0,"",'OVERALL SUMMARY'!I102)</f>
        <v/>
      </c>
      <c r="AJ8" s="232" t="str">
        <f>IF('OVERALL SUMMARY'!$H$102=0,"",'OVERALL SUMMARY'!J102)</f>
        <v/>
      </c>
      <c r="AK8" s="232" t="str">
        <f>IF('OVERALL SUMMARY'!$H$102=0,"",'OVERALL SUMMARY'!K102)</f>
        <v/>
      </c>
      <c r="AL8" s="235" t="str">
        <f>IF('OVERALL SUMMARY'!$H$102=0,"",'OVERALL SUMMARY'!L102)</f>
        <v/>
      </c>
      <c r="AM8" s="232" t="str">
        <f>IF('OVERALL SUMMARY'!$H$112=0,"",'OVERALL SUMMARY'!H112)</f>
        <v/>
      </c>
      <c r="AN8" s="232" t="str">
        <f>IF('OVERALL SUMMARY'!$H$112=0,"",'OVERALL SUMMARY'!I112)</f>
        <v/>
      </c>
      <c r="AO8" s="232" t="str">
        <f>IF('OVERALL SUMMARY'!$H$112=0,"",'OVERALL SUMMARY'!J112)</f>
        <v/>
      </c>
      <c r="AP8" s="232" t="str">
        <f>IF('OVERALL SUMMARY'!$H$112=0,"",'OVERALL SUMMARY'!K112)</f>
        <v/>
      </c>
      <c r="AQ8" s="235" t="str">
        <f>IF('OVERALL SUMMARY'!$H$112=0,"",'OVERALL SUMMARY'!L112)</f>
        <v/>
      </c>
      <c r="AR8" s="232" t="str">
        <f>IF('OVERALL SUMMARY'!$H$122=0,"",'OVERALL SUMMARY'!H122)</f>
        <v/>
      </c>
      <c r="AS8" s="232" t="str">
        <f>IF('OVERALL SUMMARY'!$H$122=0,"",'OVERALL SUMMARY'!I122)</f>
        <v/>
      </c>
      <c r="AT8" s="232" t="str">
        <f>IF('OVERALL SUMMARY'!$H$122=0,"",'OVERALL SUMMARY'!J122)</f>
        <v/>
      </c>
      <c r="AU8" s="232" t="str">
        <f>IF('OVERALL SUMMARY'!$H$122=0,"",'OVERALL SUMMARY'!K122)</f>
        <v/>
      </c>
      <c r="AV8" s="234" t="str">
        <f>IF('OVERALL SUMMARY'!$H$122=0,"",'OVERALL SUMMARY'!L122)</f>
        <v/>
      </c>
      <c r="AW8" s="232" t="str">
        <f>IF('OVERALL SUMMARY'!$H$132=0,"",'OVERALL SUMMARY'!H132)</f>
        <v/>
      </c>
      <c r="AX8" s="232" t="str">
        <f>IF('OVERALL SUMMARY'!$H$132=0,"",'OVERALL SUMMARY'!I132)</f>
        <v/>
      </c>
      <c r="AY8" s="232" t="str">
        <f>IF('OVERALL SUMMARY'!$H$132=0,"",'OVERALL SUMMARY'!J132)</f>
        <v/>
      </c>
      <c r="AZ8" s="232" t="str">
        <f>IF('OVERALL SUMMARY'!$H$132=0,"",'OVERALL SUMMARY'!K132)</f>
        <v/>
      </c>
      <c r="BA8" s="235" t="str">
        <f>IF('OVERALL SUMMARY'!$H$132=0,"",'OVERALL SUMMARY'!L132)</f>
        <v/>
      </c>
      <c r="BB8" s="232" t="str">
        <f>IF('OVERALL SUMMARY'!$H$10=0,"",'OVERALL SUMMARY'!H10)</f>
        <v/>
      </c>
      <c r="BC8" s="232" t="str">
        <f>IF('OVERALL SUMMARY'!$H$10=0,"",'OVERALL SUMMARY'!I10)</f>
        <v/>
      </c>
      <c r="BD8" s="232" t="str">
        <f>IF('OVERALL SUMMARY'!$H$10=0,"",'OVERALL SUMMARY'!J10)</f>
        <v/>
      </c>
      <c r="BE8" s="232" t="str">
        <f>IF('OVERALL SUMMARY'!$H$10=0,"",'OVERALL SUMMARY'!K10)</f>
        <v/>
      </c>
      <c r="BF8" s="235" t="str">
        <f>IF('OVERALL SUMMARY'!$H$10=0,"",'OVERALL SUMMARY'!L10)</f>
        <v/>
      </c>
    </row>
  </sheetData>
  <customSheetViews>
    <customSheetView guid="{2A3E70A9-51A3-4722-9775-16DBEA0F14B3}">
      <pane ySplit="1" topLeftCell="A2" activePane="bottomLeft" state="frozen"/>
      <selection pane="bottomLeft" activeCell="A8" sqref="A8:BF8"/>
      <pageMargins left="0.2" right="0.2" top="0.5" bottom="0.5" header="0" footer="0"/>
      <printOptions horizontalCentered="1"/>
      <pageSetup paperSize="5" scale="73" orientation="landscape" horizontalDpi="1200" verticalDpi="1200" r:id="rId1"/>
      <headerFooter>
        <oddFooter>&amp;C&amp;P of &amp;N</oddFooter>
      </headerFooter>
    </customSheetView>
    <customSheetView guid="{A13B25D0-B104-46DD-B5CC-B628EEB53163}">
      <pane ySplit="1" topLeftCell="A2" activePane="bottomLeft" state="frozen"/>
      <selection pane="bottomLeft" activeCell="A8" sqref="A8:BF8"/>
      <pageMargins left="0.2" right="0.2" top="0.5" bottom="0.5" header="0" footer="0"/>
      <printOptions horizontalCentered="1"/>
      <pageSetup paperSize="5" scale="73" orientation="landscape" horizontalDpi="1200" verticalDpi="1200" r:id="rId2"/>
      <headerFooter>
        <oddFooter>&amp;C&amp;P of &amp;N</oddFooter>
      </headerFooter>
    </customSheetView>
  </customSheetViews>
  <printOptions horizontalCentered="1"/>
  <pageMargins left="0.2" right="0.2" top="0.5" bottom="0.5" header="0" footer="0"/>
  <pageSetup paperSize="5" scale="73" orientation="landscape" horizontalDpi="1200" verticalDpi="1200" r:id="rId3"/>
  <headerFooter>
    <oddFooter>&amp;C&amp;P of &amp;N</oddFooter>
  </headerFooter>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101"/>
  <sheetViews>
    <sheetView workbookViewId="0">
      <selection activeCell="B8" sqref="B8"/>
    </sheetView>
  </sheetViews>
  <sheetFormatPr defaultRowHeight="12.75"/>
  <cols>
    <col min="1" max="1" width="30.7109375" style="250" customWidth="1"/>
    <col min="2" max="254" width="9.140625" style="112"/>
    <col min="255" max="257" width="30.7109375" style="112" customWidth="1"/>
    <col min="258" max="510" width="9.140625" style="112"/>
    <col min="511" max="513" width="30.7109375" style="112" customWidth="1"/>
    <col min="514" max="766" width="9.140625" style="112"/>
    <col min="767" max="769" width="30.7109375" style="112" customWidth="1"/>
    <col min="770" max="1022" width="9.140625" style="112"/>
    <col min="1023" max="1025" width="30.7109375" style="112" customWidth="1"/>
    <col min="1026" max="1278" width="9.140625" style="112"/>
    <col min="1279" max="1281" width="30.7109375" style="112" customWidth="1"/>
    <col min="1282" max="1534" width="9.140625" style="112"/>
    <col min="1535" max="1537" width="30.7109375" style="112" customWidth="1"/>
    <col min="1538" max="1790" width="9.140625" style="112"/>
    <col min="1791" max="1793" width="30.7109375" style="112" customWidth="1"/>
    <col min="1794" max="2046" width="9.140625" style="112"/>
    <col min="2047" max="2049" width="30.7109375" style="112" customWidth="1"/>
    <col min="2050" max="2302" width="9.140625" style="112"/>
    <col min="2303" max="2305" width="30.7109375" style="112" customWidth="1"/>
    <col min="2306" max="2558" width="9.140625" style="112"/>
    <col min="2559" max="2561" width="30.7109375" style="112" customWidth="1"/>
    <col min="2562" max="2814" width="9.140625" style="112"/>
    <col min="2815" max="2817" width="30.7109375" style="112" customWidth="1"/>
    <col min="2818" max="3070" width="9.140625" style="112"/>
    <col min="3071" max="3073" width="30.7109375" style="112" customWidth="1"/>
    <col min="3074" max="3326" width="9.140625" style="112"/>
    <col min="3327" max="3329" width="30.7109375" style="112" customWidth="1"/>
    <col min="3330" max="3582" width="9.140625" style="112"/>
    <col min="3583" max="3585" width="30.7109375" style="112" customWidth="1"/>
    <col min="3586" max="3838" width="9.140625" style="112"/>
    <col min="3839" max="3841" width="30.7109375" style="112" customWidth="1"/>
    <col min="3842" max="4094" width="9.140625" style="112"/>
    <col min="4095" max="4097" width="30.7109375" style="112" customWidth="1"/>
    <col min="4098" max="4350" width="9.140625" style="112"/>
    <col min="4351" max="4353" width="30.7109375" style="112" customWidth="1"/>
    <col min="4354" max="4606" width="9.140625" style="112"/>
    <col min="4607" max="4609" width="30.7109375" style="112" customWidth="1"/>
    <col min="4610" max="4862" width="9.140625" style="112"/>
    <col min="4863" max="4865" width="30.7109375" style="112" customWidth="1"/>
    <col min="4866" max="5118" width="9.140625" style="112"/>
    <col min="5119" max="5121" width="30.7109375" style="112" customWidth="1"/>
    <col min="5122" max="5374" width="9.140625" style="112"/>
    <col min="5375" max="5377" width="30.7109375" style="112" customWidth="1"/>
    <col min="5378" max="5630" width="9.140625" style="112"/>
    <col min="5631" max="5633" width="30.7109375" style="112" customWidth="1"/>
    <col min="5634" max="5886" width="9.140625" style="112"/>
    <col min="5887" max="5889" width="30.7109375" style="112" customWidth="1"/>
    <col min="5890" max="6142" width="9.140625" style="112"/>
    <col min="6143" max="6145" width="30.7109375" style="112" customWidth="1"/>
    <col min="6146" max="6398" width="9.140625" style="112"/>
    <col min="6399" max="6401" width="30.7109375" style="112" customWidth="1"/>
    <col min="6402" max="6654" width="9.140625" style="112"/>
    <col min="6655" max="6657" width="30.7109375" style="112" customWidth="1"/>
    <col min="6658" max="6910" width="9.140625" style="112"/>
    <col min="6911" max="6913" width="30.7109375" style="112" customWidth="1"/>
    <col min="6914" max="7166" width="9.140625" style="112"/>
    <col min="7167" max="7169" width="30.7109375" style="112" customWidth="1"/>
    <col min="7170" max="7422" width="9.140625" style="112"/>
    <col min="7423" max="7425" width="30.7109375" style="112" customWidth="1"/>
    <col min="7426" max="7678" width="9.140625" style="112"/>
    <col min="7679" max="7681" width="30.7109375" style="112" customWidth="1"/>
    <col min="7682" max="7934" width="9.140625" style="112"/>
    <col min="7935" max="7937" width="30.7109375" style="112" customWidth="1"/>
    <col min="7938" max="8190" width="9.140625" style="112"/>
    <col min="8191" max="8193" width="30.7109375" style="112" customWidth="1"/>
    <col min="8194" max="8446" width="9.140625" style="112"/>
    <col min="8447" max="8449" width="30.7109375" style="112" customWidth="1"/>
    <col min="8450" max="8702" width="9.140625" style="112"/>
    <col min="8703" max="8705" width="30.7109375" style="112" customWidth="1"/>
    <col min="8706" max="8958" width="9.140625" style="112"/>
    <col min="8959" max="8961" width="30.7109375" style="112" customWidth="1"/>
    <col min="8962" max="9214" width="9.140625" style="112"/>
    <col min="9215" max="9217" width="30.7109375" style="112" customWidth="1"/>
    <col min="9218" max="9470" width="9.140625" style="112"/>
    <col min="9471" max="9473" width="30.7109375" style="112" customWidth="1"/>
    <col min="9474" max="9726" width="9.140625" style="112"/>
    <col min="9727" max="9729" width="30.7109375" style="112" customWidth="1"/>
    <col min="9730" max="9982" width="9.140625" style="112"/>
    <col min="9983" max="9985" width="30.7109375" style="112" customWidth="1"/>
    <col min="9986" max="10238" width="9.140625" style="112"/>
    <col min="10239" max="10241" width="30.7109375" style="112" customWidth="1"/>
    <col min="10242" max="10494" width="9.140625" style="112"/>
    <col min="10495" max="10497" width="30.7109375" style="112" customWidth="1"/>
    <col min="10498" max="10750" width="9.140625" style="112"/>
    <col min="10751" max="10753" width="30.7109375" style="112" customWidth="1"/>
    <col min="10754" max="11006" width="9.140625" style="112"/>
    <col min="11007" max="11009" width="30.7109375" style="112" customWidth="1"/>
    <col min="11010" max="11262" width="9.140625" style="112"/>
    <col min="11263" max="11265" width="30.7109375" style="112" customWidth="1"/>
    <col min="11266" max="11518" width="9.140625" style="112"/>
    <col min="11519" max="11521" width="30.7109375" style="112" customWidth="1"/>
    <col min="11522" max="11774" width="9.140625" style="112"/>
    <col min="11775" max="11777" width="30.7109375" style="112" customWidth="1"/>
    <col min="11778" max="12030" width="9.140625" style="112"/>
    <col min="12031" max="12033" width="30.7109375" style="112" customWidth="1"/>
    <col min="12034" max="12286" width="9.140625" style="112"/>
    <col min="12287" max="12289" width="30.7109375" style="112" customWidth="1"/>
    <col min="12290" max="12542" width="9.140625" style="112"/>
    <col min="12543" max="12545" width="30.7109375" style="112" customWidth="1"/>
    <col min="12546" max="12798" width="9.140625" style="112"/>
    <col min="12799" max="12801" width="30.7109375" style="112" customWidth="1"/>
    <col min="12802" max="13054" width="9.140625" style="112"/>
    <col min="13055" max="13057" width="30.7109375" style="112" customWidth="1"/>
    <col min="13058" max="13310" width="9.140625" style="112"/>
    <col min="13311" max="13313" width="30.7109375" style="112" customWidth="1"/>
    <col min="13314" max="13566" width="9.140625" style="112"/>
    <col min="13567" max="13569" width="30.7109375" style="112" customWidth="1"/>
    <col min="13570" max="13822" width="9.140625" style="112"/>
    <col min="13823" max="13825" width="30.7109375" style="112" customWidth="1"/>
    <col min="13826" max="14078" width="9.140625" style="112"/>
    <col min="14079" max="14081" width="30.7109375" style="112" customWidth="1"/>
    <col min="14082" max="14334" width="9.140625" style="112"/>
    <col min="14335" max="14337" width="30.7109375" style="112" customWidth="1"/>
    <col min="14338" max="14590" width="9.140625" style="112"/>
    <col min="14591" max="14593" width="30.7109375" style="112" customWidth="1"/>
    <col min="14594" max="14846" width="9.140625" style="112"/>
    <col min="14847" max="14849" width="30.7109375" style="112" customWidth="1"/>
    <col min="14850" max="15102" width="9.140625" style="112"/>
    <col min="15103" max="15105" width="30.7109375" style="112" customWidth="1"/>
    <col min="15106" max="15358" width="9.140625" style="112"/>
    <col min="15359" max="15361" width="30.7109375" style="112" customWidth="1"/>
    <col min="15362" max="15614" width="9.140625" style="112"/>
    <col min="15615" max="15617" width="30.7109375" style="112" customWidth="1"/>
    <col min="15618" max="15870" width="9.140625" style="112"/>
    <col min="15871" max="15873" width="30.7109375" style="112" customWidth="1"/>
    <col min="15874" max="16126" width="9.140625" style="112"/>
    <col min="16127" max="16129" width="30.7109375" style="112" customWidth="1"/>
    <col min="16130" max="16384" width="9.140625" style="112"/>
  </cols>
  <sheetData>
    <row r="1" spans="1:1" ht="13.5" thickBot="1">
      <c r="A1" s="251" t="s">
        <v>178</v>
      </c>
    </row>
    <row r="2" spans="1:1" ht="13.5" thickTop="1">
      <c r="A2" s="252" t="s">
        <v>48</v>
      </c>
    </row>
    <row r="3" spans="1:1">
      <c r="A3" s="253" t="s">
        <v>49</v>
      </c>
    </row>
    <row r="4" spans="1:1">
      <c r="A4" s="253" t="s">
        <v>50</v>
      </c>
    </row>
    <row r="5" spans="1:1">
      <c r="A5" s="253" t="s">
        <v>51</v>
      </c>
    </row>
    <row r="6" spans="1:1">
      <c r="A6" s="253" t="s">
        <v>52</v>
      </c>
    </row>
    <row r="7" spans="1:1">
      <c r="A7" s="253" t="s">
        <v>53</v>
      </c>
    </row>
    <row r="8" spans="1:1">
      <c r="A8" s="253" t="s">
        <v>54</v>
      </c>
    </row>
    <row r="9" spans="1:1">
      <c r="A9" s="253" t="s">
        <v>55</v>
      </c>
    </row>
    <row r="10" spans="1:1">
      <c r="A10" s="253" t="s">
        <v>56</v>
      </c>
    </row>
    <row r="11" spans="1:1">
      <c r="A11" s="253" t="s">
        <v>57</v>
      </c>
    </row>
    <row r="12" spans="1:1">
      <c r="A12" s="253" t="s">
        <v>58</v>
      </c>
    </row>
    <row r="13" spans="1:1">
      <c r="A13" s="253" t="s">
        <v>59</v>
      </c>
    </row>
    <row r="14" spans="1:1">
      <c r="A14" s="253" t="s">
        <v>60</v>
      </c>
    </row>
    <row r="15" spans="1:1">
      <c r="A15" s="253" t="s">
        <v>61</v>
      </c>
    </row>
    <row r="16" spans="1:1">
      <c r="A16" s="253" t="s">
        <v>62</v>
      </c>
    </row>
    <row r="17" spans="1:1">
      <c r="A17" s="253" t="s">
        <v>63</v>
      </c>
    </row>
    <row r="18" spans="1:1">
      <c r="A18" s="253" t="s">
        <v>64</v>
      </c>
    </row>
    <row r="19" spans="1:1">
      <c r="A19" s="253" t="s">
        <v>65</v>
      </c>
    </row>
    <row r="20" spans="1:1">
      <c r="A20" s="253" t="s">
        <v>66</v>
      </c>
    </row>
    <row r="21" spans="1:1">
      <c r="A21" s="253" t="s">
        <v>67</v>
      </c>
    </row>
    <row r="22" spans="1:1">
      <c r="A22" s="253" t="s">
        <v>68</v>
      </c>
    </row>
    <row r="23" spans="1:1">
      <c r="A23" s="253" t="s">
        <v>69</v>
      </c>
    </row>
    <row r="24" spans="1:1">
      <c r="A24" s="253" t="s">
        <v>70</v>
      </c>
    </row>
    <row r="25" spans="1:1">
      <c r="A25" s="253" t="s">
        <v>71</v>
      </c>
    </row>
    <row r="26" spans="1:1">
      <c r="A26" s="253" t="s">
        <v>72</v>
      </c>
    </row>
    <row r="27" spans="1:1">
      <c r="A27" s="253" t="s">
        <v>147</v>
      </c>
    </row>
    <row r="28" spans="1:1">
      <c r="A28" s="253" t="s">
        <v>73</v>
      </c>
    </row>
    <row r="29" spans="1:1">
      <c r="A29" s="253" t="s">
        <v>74</v>
      </c>
    </row>
    <row r="30" spans="1:1">
      <c r="A30" s="253" t="s">
        <v>75</v>
      </c>
    </row>
    <row r="31" spans="1:1">
      <c r="A31" s="253" t="s">
        <v>76</v>
      </c>
    </row>
    <row r="32" spans="1:1">
      <c r="A32" s="253" t="s">
        <v>77</v>
      </c>
    </row>
    <row r="33" spans="1:1">
      <c r="A33" s="253" t="s">
        <v>78</v>
      </c>
    </row>
    <row r="34" spans="1:1">
      <c r="A34" s="253" t="s">
        <v>79</v>
      </c>
    </row>
    <row r="35" spans="1:1">
      <c r="A35" s="253" t="s">
        <v>80</v>
      </c>
    </row>
    <row r="36" spans="1:1">
      <c r="A36" s="253" t="s">
        <v>81</v>
      </c>
    </row>
    <row r="37" spans="1:1">
      <c r="A37" s="253" t="s">
        <v>82</v>
      </c>
    </row>
    <row r="38" spans="1:1">
      <c r="A38" s="253" t="s">
        <v>83</v>
      </c>
    </row>
    <row r="39" spans="1:1">
      <c r="A39" s="253" t="s">
        <v>84</v>
      </c>
    </row>
    <row r="40" spans="1:1">
      <c r="A40" s="253" t="s">
        <v>85</v>
      </c>
    </row>
    <row r="41" spans="1:1">
      <c r="A41" s="253" t="s">
        <v>86</v>
      </c>
    </row>
    <row r="42" spans="1:1">
      <c r="A42" s="253" t="s">
        <v>87</v>
      </c>
    </row>
    <row r="43" spans="1:1">
      <c r="A43" s="253" t="s">
        <v>88</v>
      </c>
    </row>
    <row r="44" spans="1:1">
      <c r="A44" s="253" t="s">
        <v>89</v>
      </c>
    </row>
    <row r="45" spans="1:1">
      <c r="A45" s="253" t="s">
        <v>90</v>
      </c>
    </row>
    <row r="46" spans="1:1">
      <c r="A46" s="253" t="s">
        <v>91</v>
      </c>
    </row>
    <row r="47" spans="1:1">
      <c r="A47" s="253" t="s">
        <v>92</v>
      </c>
    </row>
    <row r="48" spans="1:1">
      <c r="A48" s="253" t="s">
        <v>93</v>
      </c>
    </row>
    <row r="49" spans="1:1">
      <c r="A49" s="253" t="s">
        <v>94</v>
      </c>
    </row>
    <row r="50" spans="1:1">
      <c r="A50" s="253" t="s">
        <v>95</v>
      </c>
    </row>
    <row r="51" spans="1:1">
      <c r="A51" s="253" t="s">
        <v>96</v>
      </c>
    </row>
    <row r="52" spans="1:1">
      <c r="A52" s="253" t="s">
        <v>97</v>
      </c>
    </row>
    <row r="53" spans="1:1">
      <c r="A53" s="253" t="s">
        <v>98</v>
      </c>
    </row>
    <row r="54" spans="1:1">
      <c r="A54" s="253" t="s">
        <v>99</v>
      </c>
    </row>
    <row r="55" spans="1:1">
      <c r="A55" s="253" t="s">
        <v>100</v>
      </c>
    </row>
    <row r="56" spans="1:1">
      <c r="A56" s="253" t="s">
        <v>101</v>
      </c>
    </row>
    <row r="57" spans="1:1">
      <c r="A57" s="253" t="s">
        <v>102</v>
      </c>
    </row>
    <row r="58" spans="1:1">
      <c r="A58" s="253" t="s">
        <v>103</v>
      </c>
    </row>
    <row r="59" spans="1:1">
      <c r="A59" s="253" t="s">
        <v>104</v>
      </c>
    </row>
    <row r="60" spans="1:1">
      <c r="A60" s="253" t="s">
        <v>105</v>
      </c>
    </row>
    <row r="61" spans="1:1">
      <c r="A61" s="253" t="s">
        <v>106</v>
      </c>
    </row>
    <row r="62" spans="1:1">
      <c r="A62" s="253" t="s">
        <v>107</v>
      </c>
    </row>
    <row r="63" spans="1:1">
      <c r="A63" s="253" t="s">
        <v>108</v>
      </c>
    </row>
    <row r="64" spans="1:1">
      <c r="A64" s="253" t="s">
        <v>109</v>
      </c>
    </row>
    <row r="65" spans="1:1">
      <c r="A65" s="253" t="s">
        <v>110</v>
      </c>
    </row>
    <row r="66" spans="1:1">
      <c r="A66" s="253" t="s">
        <v>111</v>
      </c>
    </row>
    <row r="67" spans="1:1">
      <c r="A67" s="253" t="s">
        <v>112</v>
      </c>
    </row>
    <row r="68" spans="1:1">
      <c r="A68" s="253" t="s">
        <v>113</v>
      </c>
    </row>
    <row r="69" spans="1:1">
      <c r="A69" s="253" t="s">
        <v>114</v>
      </c>
    </row>
    <row r="70" spans="1:1">
      <c r="A70" s="253" t="s">
        <v>115</v>
      </c>
    </row>
    <row r="71" spans="1:1">
      <c r="A71" s="253" t="s">
        <v>116</v>
      </c>
    </row>
    <row r="72" spans="1:1">
      <c r="A72" s="253" t="s">
        <v>117</v>
      </c>
    </row>
    <row r="73" spans="1:1">
      <c r="A73" s="253" t="s">
        <v>118</v>
      </c>
    </row>
    <row r="74" spans="1:1">
      <c r="A74" s="253" t="s">
        <v>119</v>
      </c>
    </row>
    <row r="75" spans="1:1">
      <c r="A75" s="253" t="s">
        <v>120</v>
      </c>
    </row>
    <row r="76" spans="1:1">
      <c r="A76" s="253" t="s">
        <v>121</v>
      </c>
    </row>
    <row r="77" spans="1:1">
      <c r="A77" s="253" t="s">
        <v>122</v>
      </c>
    </row>
    <row r="78" spans="1:1">
      <c r="A78" s="253" t="s">
        <v>123</v>
      </c>
    </row>
    <row r="79" spans="1:1">
      <c r="A79" s="253" t="s">
        <v>124</v>
      </c>
    </row>
    <row r="80" spans="1:1">
      <c r="A80" s="253" t="s">
        <v>125</v>
      </c>
    </row>
    <row r="81" spans="1:1">
      <c r="A81" s="253" t="s">
        <v>126</v>
      </c>
    </row>
    <row r="82" spans="1:1">
      <c r="A82" s="253" t="s">
        <v>127</v>
      </c>
    </row>
    <row r="83" spans="1:1">
      <c r="A83" s="253" t="s">
        <v>128</v>
      </c>
    </row>
    <row r="84" spans="1:1">
      <c r="A84" s="253" t="s">
        <v>129</v>
      </c>
    </row>
    <row r="85" spans="1:1">
      <c r="A85" s="253" t="s">
        <v>130</v>
      </c>
    </row>
    <row r="86" spans="1:1">
      <c r="A86" s="253" t="s">
        <v>131</v>
      </c>
    </row>
    <row r="87" spans="1:1">
      <c r="A87" s="253" t="s">
        <v>132</v>
      </c>
    </row>
    <row r="88" spans="1:1">
      <c r="A88" s="253" t="s">
        <v>133</v>
      </c>
    </row>
    <row r="89" spans="1:1">
      <c r="A89" s="253" t="s">
        <v>134</v>
      </c>
    </row>
    <row r="90" spans="1:1">
      <c r="A90" s="253" t="s">
        <v>135</v>
      </c>
    </row>
    <row r="91" spans="1:1">
      <c r="A91" s="253" t="s">
        <v>136</v>
      </c>
    </row>
    <row r="92" spans="1:1">
      <c r="A92" s="253" t="s">
        <v>137</v>
      </c>
    </row>
    <row r="93" spans="1:1">
      <c r="A93" s="253" t="s">
        <v>138</v>
      </c>
    </row>
    <row r="94" spans="1:1">
      <c r="A94" s="253" t="s">
        <v>139</v>
      </c>
    </row>
    <row r="95" spans="1:1">
      <c r="A95" s="253" t="s">
        <v>140</v>
      </c>
    </row>
    <row r="96" spans="1:1">
      <c r="A96" s="253" t="s">
        <v>141</v>
      </c>
    </row>
    <row r="97" spans="1:1">
      <c r="A97" s="253" t="s">
        <v>142</v>
      </c>
    </row>
    <row r="98" spans="1:1">
      <c r="A98" s="253" t="s">
        <v>143</v>
      </c>
    </row>
    <row r="99" spans="1:1">
      <c r="A99" s="253" t="s">
        <v>144</v>
      </c>
    </row>
    <row r="100" spans="1:1">
      <c r="A100" s="253" t="s">
        <v>145</v>
      </c>
    </row>
    <row r="101" spans="1:1">
      <c r="A101" s="254" t="s">
        <v>146</v>
      </c>
    </row>
  </sheetData>
  <autoFilter ref="A1:A101" xr:uid="{00000000-0009-0000-0000-00001F000000}"/>
  <customSheetViews>
    <customSheetView guid="{2A3E70A9-51A3-4722-9775-16DBEA0F14B3}" showAutoFilter="1" state="hidden">
      <selection activeCell="B8" sqref="B8"/>
      <pageMargins left="0.75" right="0.75" top="1" bottom="1" header="0.5" footer="0.5"/>
      <pageSetup orientation="portrait" r:id="rId1"/>
      <headerFooter alignWithMargins="0"/>
      <autoFilter ref="A1:A101" xr:uid="{00000000-0000-0000-0000-000000000000}"/>
    </customSheetView>
    <customSheetView guid="{A13B25D0-B104-46DD-B5CC-B628EEB53163}" showAutoFilter="1" state="hidden">
      <selection activeCell="B8" sqref="B8"/>
      <pageMargins left="0.75" right="0.75" top="1" bottom="1" header="0.5" footer="0.5"/>
      <pageSetup orientation="portrait" r:id="rId2"/>
      <headerFooter alignWithMargins="0"/>
      <autoFilter ref="A1:A101" xr:uid="{00000000-0000-0000-0000-000000000000}"/>
    </customSheetView>
  </customSheetViews>
  <pageMargins left="0.75" right="0.75" top="1" bottom="1" header="0.5" footer="0.5"/>
  <pageSetup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5"/>
  <sheetViews>
    <sheetView workbookViewId="0">
      <selection activeCell="A20" sqref="A20"/>
    </sheetView>
  </sheetViews>
  <sheetFormatPr defaultRowHeight="12.75"/>
  <cols>
    <col min="1" max="1" width="125.42578125" style="507" customWidth="1"/>
  </cols>
  <sheetData>
    <row r="1" spans="1:10">
      <c r="A1" s="500" t="s">
        <v>225</v>
      </c>
      <c r="B1" s="119"/>
      <c r="C1" s="119"/>
      <c r="D1" s="119"/>
      <c r="E1" s="119"/>
      <c r="F1" s="119"/>
      <c r="G1" s="119"/>
      <c r="H1" s="119"/>
      <c r="I1" s="119"/>
      <c r="J1" s="119"/>
    </row>
    <row r="2" spans="1:10">
      <c r="A2" s="500"/>
      <c r="B2" s="119"/>
      <c r="C2" s="119"/>
      <c r="D2" s="119"/>
      <c r="E2" s="119"/>
      <c r="F2" s="119"/>
      <c r="G2" s="119"/>
      <c r="H2" s="119"/>
      <c r="I2" s="119"/>
      <c r="J2" s="119"/>
    </row>
    <row r="3" spans="1:10" ht="15.75">
      <c r="A3" s="501" t="s">
        <v>339</v>
      </c>
    </row>
    <row r="4" spans="1:10" ht="15.75">
      <c r="A4" s="501" t="s">
        <v>340</v>
      </c>
    </row>
    <row r="5" spans="1:10" ht="15.75">
      <c r="A5" s="501" t="s">
        <v>341</v>
      </c>
    </row>
    <row r="6" spans="1:10" ht="15.75">
      <c r="A6" s="502" t="s">
        <v>360</v>
      </c>
    </row>
    <row r="7" spans="1:10" ht="15.75">
      <c r="A7" s="502" t="s">
        <v>359</v>
      </c>
    </row>
    <row r="8" spans="1:10">
      <c r="A8" s="503"/>
    </row>
    <row r="9" spans="1:10" ht="15.75">
      <c r="A9" s="501" t="s">
        <v>342</v>
      </c>
    </row>
    <row r="10" spans="1:10" ht="15">
      <c r="A10" s="504"/>
    </row>
    <row r="11" spans="1:10" ht="15">
      <c r="A11" s="504" t="s">
        <v>343</v>
      </c>
    </row>
    <row r="12" spans="1:10" ht="15">
      <c r="A12" s="499"/>
    </row>
    <row r="13" spans="1:10" ht="15">
      <c r="A13" s="505" t="s">
        <v>344</v>
      </c>
    </row>
    <row r="14" spans="1:10" ht="15">
      <c r="A14" s="505" t="s">
        <v>345</v>
      </c>
    </row>
    <row r="15" spans="1:10" ht="15">
      <c r="A15" s="504"/>
    </row>
    <row r="16" spans="1:10" ht="30">
      <c r="A16" s="499" t="s">
        <v>346</v>
      </c>
    </row>
    <row r="17" spans="1:1" ht="15">
      <c r="A17" s="499"/>
    </row>
    <row r="18" spans="1:1" ht="15">
      <c r="A18" s="505" t="s">
        <v>347</v>
      </c>
    </row>
    <row r="19" spans="1:1" ht="15">
      <c r="A19" s="505" t="s">
        <v>348</v>
      </c>
    </row>
    <row r="20" spans="1:1" ht="15">
      <c r="A20" s="505" t="s">
        <v>349</v>
      </c>
    </row>
    <row r="21" spans="1:1" ht="15">
      <c r="A21" s="505" t="s">
        <v>350</v>
      </c>
    </row>
    <row r="22" spans="1:1" ht="15">
      <c r="A22" s="505" t="s">
        <v>351</v>
      </c>
    </row>
    <row r="23" spans="1:1" ht="15">
      <c r="A23" s="505" t="s">
        <v>352</v>
      </c>
    </row>
    <row r="24" spans="1:1" ht="15">
      <c r="A24" s="499"/>
    </row>
    <row r="25" spans="1:1" ht="30">
      <c r="A25" s="499" t="s">
        <v>353</v>
      </c>
    </row>
    <row r="26" spans="1:1" ht="15">
      <c r="A26" s="499"/>
    </row>
    <row r="27" spans="1:1" ht="45">
      <c r="A27" s="499" t="s">
        <v>354</v>
      </c>
    </row>
    <row r="28" spans="1:1" ht="15">
      <c r="A28" s="499"/>
    </row>
    <row r="29" spans="1:1" ht="15">
      <c r="A29" s="499" t="s">
        <v>355</v>
      </c>
    </row>
    <row r="30" spans="1:1" ht="15">
      <c r="A30" s="499"/>
    </row>
    <row r="31" spans="1:1" ht="15">
      <c r="A31" s="506" t="s">
        <v>356</v>
      </c>
    </row>
    <row r="32" spans="1:1" ht="15">
      <c r="A32" s="506" t="s">
        <v>357</v>
      </c>
    </row>
    <row r="33" spans="1:1" ht="30">
      <c r="A33" s="506" t="s">
        <v>358</v>
      </c>
    </row>
    <row r="34" spans="1:1" ht="15">
      <c r="A34" s="499"/>
    </row>
    <row r="35" spans="1:1" ht="15">
      <c r="A35" s="499"/>
    </row>
  </sheetData>
  <sheetProtection sheet="1" objects="1" scenarios="1"/>
  <customSheetViews>
    <customSheetView guid="{2A3E70A9-51A3-4722-9775-16DBEA0F14B3}">
      <selection activeCell="D4" sqref="D4"/>
      <pageMargins left="0.7" right="0.7" top="0.75" bottom="0.75" header="0.3" footer="0.3"/>
      <printOptions horizontalCentered="1"/>
      <pageSetup orientation="portrait" r:id="rId1"/>
    </customSheetView>
    <customSheetView guid="{A13B25D0-B104-46DD-B5CC-B628EEB53163}">
      <selection activeCell="D4" sqref="D4"/>
      <pageMargins left="0.7" right="0.7" top="0.75" bottom="0.75" header="0.3" footer="0.3"/>
      <printOptions horizontalCentered="1"/>
      <pageSetup orientation="portrait" r:id="rId2"/>
    </customSheetView>
  </customSheetViews>
  <printOptions horizontalCentered="1"/>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7"/>
  </sheetPr>
  <dimension ref="A1:D34"/>
  <sheetViews>
    <sheetView zoomScaleNormal="100" zoomScaleSheetLayoutView="85" workbookViewId="0">
      <pane ySplit="1" topLeftCell="A2" activePane="bottomLeft" state="frozen"/>
      <selection activeCell="B4" sqref="B4"/>
      <selection pane="bottomLeft" activeCell="B27" sqref="B27"/>
    </sheetView>
  </sheetViews>
  <sheetFormatPr defaultColWidth="8.85546875" defaultRowHeight="12.75"/>
  <cols>
    <col min="1" max="1" width="72" style="4" customWidth="1"/>
    <col min="2" max="2" width="67.7109375" style="5" customWidth="1"/>
    <col min="3" max="4" width="8.85546875" style="3" hidden="1" customWidth="1"/>
    <col min="5" max="16384" width="8.85546875" style="3"/>
  </cols>
  <sheetData>
    <row r="1" spans="1:4" ht="40.15" customHeight="1">
      <c r="A1" s="1" t="s">
        <v>0</v>
      </c>
      <c r="B1" s="2"/>
    </row>
    <row r="2" spans="1:4" ht="12.95" customHeight="1" thickBot="1"/>
    <row r="3" spans="1:4" ht="59.85" customHeight="1" thickBot="1">
      <c r="A3" s="138" t="s">
        <v>1</v>
      </c>
      <c r="B3" s="139"/>
      <c r="D3" s="154"/>
    </row>
    <row r="4" spans="1:4" s="8" customFormat="1" ht="23.1" customHeight="1" thickBot="1">
      <c r="A4" s="6" t="s">
        <v>165</v>
      </c>
      <c r="B4" s="7" t="s">
        <v>185</v>
      </c>
    </row>
    <row r="5" spans="1:4" s="8" customFormat="1" ht="23.1" customHeight="1">
      <c r="A5" s="256" t="s">
        <v>160</v>
      </c>
      <c r="B5" s="257" t="s">
        <v>230</v>
      </c>
    </row>
    <row r="6" spans="1:4" s="8" customFormat="1" ht="23.1" customHeight="1">
      <c r="A6" s="258" t="s">
        <v>148</v>
      </c>
      <c r="B6" s="259" t="s">
        <v>231</v>
      </c>
    </row>
    <row r="7" spans="1:4" s="8" customFormat="1" ht="23.1" customHeight="1">
      <c r="A7" s="258" t="s">
        <v>149</v>
      </c>
      <c r="B7" s="259" t="s">
        <v>229</v>
      </c>
    </row>
    <row r="8" spans="1:4" s="8" customFormat="1" ht="23.1" customHeight="1">
      <c r="A8" s="258" t="s">
        <v>150</v>
      </c>
      <c r="B8" s="259"/>
    </row>
    <row r="9" spans="1:4" s="8" customFormat="1" ht="23.1" customHeight="1">
      <c r="A9" s="258" t="s">
        <v>151</v>
      </c>
      <c r="B9" s="259"/>
    </row>
    <row r="10" spans="1:4" s="8" customFormat="1" ht="23.1" customHeight="1">
      <c r="A10" s="258" t="s">
        <v>175</v>
      </c>
      <c r="B10" s="259"/>
    </row>
    <row r="11" spans="1:4" s="8" customFormat="1" ht="23.1" customHeight="1">
      <c r="A11" s="258" t="s">
        <v>176</v>
      </c>
      <c r="B11" s="259"/>
    </row>
    <row r="12" spans="1:4" s="8" customFormat="1" ht="23.1" customHeight="1" thickBot="1">
      <c r="A12" s="260" t="s">
        <v>177</v>
      </c>
      <c r="B12" s="261"/>
    </row>
    <row r="13" spans="1:4" s="8" customFormat="1" ht="23.1" customHeight="1">
      <c r="A13" s="256" t="s">
        <v>3</v>
      </c>
      <c r="B13" s="264">
        <v>43661</v>
      </c>
    </row>
    <row r="14" spans="1:4" s="8" customFormat="1" ht="23.1" customHeight="1" thickBot="1">
      <c r="A14" s="262" t="s">
        <v>4</v>
      </c>
      <c r="B14" s="263">
        <v>43661</v>
      </c>
    </row>
    <row r="15" spans="1:4" s="10" customFormat="1">
      <c r="A15" s="4"/>
      <c r="B15" s="9"/>
    </row>
    <row r="16" spans="1:4" s="10" customFormat="1">
      <c r="A16" s="4"/>
      <c r="B16" s="9"/>
    </row>
    <row r="17" spans="1:4" s="10" customFormat="1">
      <c r="A17" s="4"/>
      <c r="B17" s="9"/>
    </row>
    <row r="18" spans="1:4" s="10" customFormat="1">
      <c r="A18" s="4"/>
      <c r="B18" s="9"/>
    </row>
    <row r="19" spans="1:4" s="10" customFormat="1" ht="30.4" customHeight="1">
      <c r="A19" s="1" t="s">
        <v>5</v>
      </c>
      <c r="B19" s="2"/>
    </row>
    <row r="20" spans="1:4" s="10" customFormat="1" ht="31.5">
      <c r="A20" s="11" t="s">
        <v>6</v>
      </c>
      <c r="B20" s="11" t="s">
        <v>7</v>
      </c>
    </row>
    <row r="21" spans="1:4" s="10" customFormat="1" ht="20.100000000000001" customHeight="1">
      <c r="A21" s="12" t="s">
        <v>263</v>
      </c>
      <c r="B21" s="13" t="s">
        <v>8</v>
      </c>
      <c r="C21" s="194">
        <f t="shared" ref="C21:C32" si="0">IF(B21="Yes",ROW(),"")</f>
        <v>21</v>
      </c>
      <c r="D21" s="194">
        <f t="shared" ref="D21:D32" si="1">IF(C21="","",RANK(C21,$C$21:$C$32,-1))</f>
        <v>1</v>
      </c>
    </row>
    <row r="22" spans="1:4" s="10" customFormat="1" ht="20.100000000000001" customHeight="1">
      <c r="A22" s="12" t="s">
        <v>264</v>
      </c>
      <c r="B22" s="13" t="s">
        <v>8</v>
      </c>
      <c r="C22" s="194">
        <f t="shared" si="0"/>
        <v>22</v>
      </c>
      <c r="D22" s="194">
        <f t="shared" si="1"/>
        <v>2</v>
      </c>
    </row>
    <row r="23" spans="1:4" s="10" customFormat="1" ht="20.100000000000001" customHeight="1">
      <c r="A23" s="12" t="s">
        <v>361</v>
      </c>
      <c r="B23" s="13" t="s">
        <v>8</v>
      </c>
      <c r="C23" s="194"/>
      <c r="D23" s="194"/>
    </row>
    <row r="24" spans="1:4" s="10" customFormat="1" ht="20.100000000000001" customHeight="1">
      <c r="A24" s="12" t="s">
        <v>362</v>
      </c>
      <c r="B24" s="13" t="s">
        <v>8</v>
      </c>
      <c r="C24" s="194"/>
      <c r="D24" s="194"/>
    </row>
    <row r="25" spans="1:4" s="10" customFormat="1" ht="20.100000000000001" customHeight="1">
      <c r="A25" s="12" t="s">
        <v>265</v>
      </c>
      <c r="B25" s="13" t="s">
        <v>8</v>
      </c>
      <c r="C25" s="194">
        <f t="shared" si="0"/>
        <v>25</v>
      </c>
      <c r="D25" s="194">
        <f t="shared" si="1"/>
        <v>3</v>
      </c>
    </row>
    <row r="26" spans="1:4" s="10" customFormat="1" ht="20.100000000000001" customHeight="1">
      <c r="A26" s="12" t="s">
        <v>266</v>
      </c>
      <c r="B26" s="13" t="s">
        <v>8</v>
      </c>
      <c r="C26" s="194">
        <f t="shared" si="0"/>
        <v>26</v>
      </c>
      <c r="D26" s="194">
        <f t="shared" si="1"/>
        <v>4</v>
      </c>
    </row>
    <row r="27" spans="1:4" s="10" customFormat="1" ht="20.100000000000001" customHeight="1">
      <c r="A27" s="12" t="s">
        <v>267</v>
      </c>
      <c r="B27" s="13" t="s">
        <v>8</v>
      </c>
      <c r="C27" s="194">
        <f t="shared" si="0"/>
        <v>27</v>
      </c>
      <c r="D27" s="194">
        <f t="shared" si="1"/>
        <v>5</v>
      </c>
    </row>
    <row r="28" spans="1:4" s="10" customFormat="1" ht="20.100000000000001" customHeight="1">
      <c r="A28" s="12" t="s">
        <v>268</v>
      </c>
      <c r="B28" s="13" t="s">
        <v>8</v>
      </c>
      <c r="C28" s="194">
        <f t="shared" si="0"/>
        <v>28</v>
      </c>
      <c r="D28" s="194">
        <f t="shared" si="1"/>
        <v>6</v>
      </c>
    </row>
    <row r="29" spans="1:4" ht="20.100000000000001" customHeight="1">
      <c r="A29" s="12" t="s">
        <v>269</v>
      </c>
      <c r="B29" s="14" t="s">
        <v>8</v>
      </c>
      <c r="C29" s="194">
        <f t="shared" si="0"/>
        <v>29</v>
      </c>
      <c r="D29" s="194">
        <f t="shared" si="1"/>
        <v>7</v>
      </c>
    </row>
    <row r="30" spans="1:4" ht="20.100000000000001" customHeight="1">
      <c r="A30" s="12" t="s">
        <v>270</v>
      </c>
      <c r="B30" s="14" t="s">
        <v>8</v>
      </c>
      <c r="C30" s="194">
        <f t="shared" si="0"/>
        <v>30</v>
      </c>
      <c r="D30" s="194">
        <f t="shared" si="1"/>
        <v>8</v>
      </c>
    </row>
    <row r="31" spans="1:4" ht="20.100000000000001" customHeight="1">
      <c r="A31" s="12" t="s">
        <v>271</v>
      </c>
      <c r="B31" s="14" t="s">
        <v>8</v>
      </c>
      <c r="C31" s="194">
        <f t="shared" si="0"/>
        <v>31</v>
      </c>
      <c r="D31" s="194">
        <f t="shared" si="1"/>
        <v>9</v>
      </c>
    </row>
    <row r="32" spans="1:4" ht="20.100000000000001" customHeight="1">
      <c r="A32" s="12" t="s">
        <v>272</v>
      </c>
      <c r="B32" s="14" t="s">
        <v>8</v>
      </c>
      <c r="C32" s="194">
        <f t="shared" si="0"/>
        <v>32</v>
      </c>
      <c r="D32" s="194">
        <f t="shared" si="1"/>
        <v>10</v>
      </c>
    </row>
    <row r="33" spans="1:2" s="10" customFormat="1">
      <c r="A33" s="4"/>
      <c r="B33" s="9"/>
    </row>
    <row r="34" spans="1:2" s="10" customFormat="1">
      <c r="A34" s="4"/>
      <c r="B34" s="9"/>
    </row>
  </sheetData>
  <sheetProtection sheet="1" objects="1" scenarios="1"/>
  <customSheetViews>
    <customSheetView guid="{2A3E70A9-51A3-4722-9775-16DBEA0F14B3}" hiddenColumns="1">
      <pane ySplit="1" topLeftCell="A2" activePane="bottomLeft" state="frozen"/>
      <selection pane="bottomLeft" activeCell="B13" sqref="B13:B14"/>
      <rowBreaks count="1" manualBreakCount="1">
        <brk id="18" max="16383" man="1"/>
      </rowBreaks>
      <pageMargins left="0.2" right="0.2" top="0.3" bottom="0.3" header="0.25" footer="0"/>
      <printOptions horizontalCentered="1"/>
      <pageSetup orientation="landscape" r:id="rId1"/>
      <headerFooter alignWithMargins="0">
        <oddFooter>&amp;L&amp;8Agency Information</oddFooter>
      </headerFooter>
    </customSheetView>
    <customSheetView guid="{A13B25D0-B104-46DD-B5CC-B628EEB53163}" hiddenColumns="1">
      <pane ySplit="1" topLeftCell="A2" activePane="bottomLeft" state="frozen"/>
      <selection pane="bottomLeft" activeCell="B13" sqref="B13:B14"/>
      <rowBreaks count="1" manualBreakCount="1">
        <brk id="18" max="16383" man="1"/>
      </rowBreaks>
      <pageMargins left="0.2" right="0.2" top="0.3" bottom="0.3" header="0.25" footer="0"/>
      <printOptions horizontalCentered="1"/>
      <pageSetup orientation="landscape" r:id="rId2"/>
      <headerFooter alignWithMargins="0">
        <oddFooter>&amp;L&amp;8Agency Information</oddFooter>
      </headerFooter>
    </customSheetView>
  </customSheetViews>
  <conditionalFormatting sqref="B4:B14">
    <cfRule type="expression" dxfId="295" priority="46" stopIfTrue="1">
      <formula>B4=""</formula>
    </cfRule>
  </conditionalFormatting>
  <conditionalFormatting sqref="B22:B32">
    <cfRule type="cellIs" dxfId="294" priority="45" operator="equal">
      <formula>""</formula>
    </cfRule>
  </conditionalFormatting>
  <conditionalFormatting sqref="B21">
    <cfRule type="cellIs" dxfId="293" priority="44" operator="equal">
      <formula>""</formula>
    </cfRule>
  </conditionalFormatting>
  <dataValidations xWindow="949" yWindow="527" count="2">
    <dataValidation type="list" allowBlank="1" showInputMessage="1" showErrorMessage="1" prompt="Select the appropriate LME-MCO from the drop-down box choices." sqref="B4" xr:uid="{00000000-0002-0000-0300-000000000000}">
      <formula1>LME_MCO</formula1>
    </dataValidation>
    <dataValidation type="list" allowBlank="1" showInputMessage="1" showErrorMessage="1" sqref="B21:B32" xr:uid="{00000000-0002-0000-0300-000001000000}">
      <formula1>"Yes,No"</formula1>
    </dataValidation>
  </dataValidations>
  <printOptions horizontalCentered="1"/>
  <pageMargins left="0.2" right="0.2" top="0.3" bottom="0.3" header="0.25" footer="0"/>
  <pageSetup orientation="landscape" r:id="rId3"/>
  <headerFooter alignWithMargins="0">
    <oddFooter>&amp;L&amp;8Agency Information</oddFooter>
  </headerFooter>
  <rowBreaks count="1" manualBreakCount="1">
    <brk id="18" max="16383" man="1"/>
  </rowBreaks>
  <drawing r:id="rId4"/>
  <extLst>
    <ext xmlns:x14="http://schemas.microsoft.com/office/spreadsheetml/2009/9/main" uri="{CCE6A557-97BC-4b89-ADB6-D9C93CAAB3DF}">
      <x14:dataValidations xmlns:xm="http://schemas.microsoft.com/office/excel/2006/main" xWindow="949" yWindow="527" count="1">
        <x14:dataValidation type="list" allowBlank="1" showInputMessage="1" showErrorMessage="1" xr:uid="{00000000-0002-0000-0300-000002000000}">
          <x14:formula1>
            <xm:f>Reviewers!$A$1:$A$5</xm:f>
          </x14:formula1>
          <xm:sqref>B5:B12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100"/>
  <sheetViews>
    <sheetView workbookViewId="0"/>
  </sheetViews>
  <sheetFormatPr defaultRowHeight="12.75"/>
  <sheetData>
    <row r="1" spans="1:1">
      <c r="A1" s="129" t="s">
        <v>48</v>
      </c>
    </row>
    <row r="2" spans="1:1">
      <c r="A2" s="129" t="s">
        <v>49</v>
      </c>
    </row>
    <row r="3" spans="1:1">
      <c r="A3" s="129" t="s">
        <v>50</v>
      </c>
    </row>
    <row r="4" spans="1:1">
      <c r="A4" s="129" t="s">
        <v>51</v>
      </c>
    </row>
    <row r="5" spans="1:1">
      <c r="A5" s="129" t="s">
        <v>52</v>
      </c>
    </row>
    <row r="6" spans="1:1">
      <c r="A6" s="129" t="s">
        <v>53</v>
      </c>
    </row>
    <row r="7" spans="1:1">
      <c r="A7" s="129" t="s">
        <v>54</v>
      </c>
    </row>
    <row r="8" spans="1:1">
      <c r="A8" s="129" t="s">
        <v>55</v>
      </c>
    </row>
    <row r="9" spans="1:1">
      <c r="A9" s="129" t="s">
        <v>56</v>
      </c>
    </row>
    <row r="10" spans="1:1">
      <c r="A10" s="129" t="s">
        <v>57</v>
      </c>
    </row>
    <row r="11" spans="1:1">
      <c r="A11" s="129" t="s">
        <v>58</v>
      </c>
    </row>
    <row r="12" spans="1:1">
      <c r="A12" s="129" t="s">
        <v>59</v>
      </c>
    </row>
    <row r="13" spans="1:1">
      <c r="A13" s="129" t="s">
        <v>60</v>
      </c>
    </row>
    <row r="14" spans="1:1">
      <c r="A14" s="129" t="s">
        <v>61</v>
      </c>
    </row>
    <row r="15" spans="1:1">
      <c r="A15" s="129" t="s">
        <v>62</v>
      </c>
    </row>
    <row r="16" spans="1:1">
      <c r="A16" s="129" t="s">
        <v>63</v>
      </c>
    </row>
    <row r="17" spans="1:1">
      <c r="A17" s="129" t="s">
        <v>64</v>
      </c>
    </row>
    <row r="18" spans="1:1">
      <c r="A18" s="129" t="s">
        <v>65</v>
      </c>
    </row>
    <row r="19" spans="1:1">
      <c r="A19" s="129" t="s">
        <v>66</v>
      </c>
    </row>
    <row r="20" spans="1:1">
      <c r="A20" s="129" t="s">
        <v>67</v>
      </c>
    </row>
    <row r="21" spans="1:1">
      <c r="A21" s="129" t="s">
        <v>68</v>
      </c>
    </row>
    <row r="22" spans="1:1">
      <c r="A22" s="129" t="s">
        <v>69</v>
      </c>
    </row>
    <row r="23" spans="1:1">
      <c r="A23" s="129" t="s">
        <v>70</v>
      </c>
    </row>
    <row r="24" spans="1:1">
      <c r="A24" s="129" t="s">
        <v>71</v>
      </c>
    </row>
    <row r="25" spans="1:1">
      <c r="A25" s="129" t="s">
        <v>72</v>
      </c>
    </row>
    <row r="26" spans="1:1">
      <c r="A26" s="129" t="s">
        <v>147</v>
      </c>
    </row>
    <row r="27" spans="1:1">
      <c r="A27" s="129" t="s">
        <v>73</v>
      </c>
    </row>
    <row r="28" spans="1:1">
      <c r="A28" s="129" t="s">
        <v>74</v>
      </c>
    </row>
    <row r="29" spans="1:1">
      <c r="A29" s="129" t="s">
        <v>75</v>
      </c>
    </row>
    <row r="30" spans="1:1">
      <c r="A30" s="129" t="s">
        <v>76</v>
      </c>
    </row>
    <row r="31" spans="1:1">
      <c r="A31" s="129" t="s">
        <v>77</v>
      </c>
    </row>
    <row r="32" spans="1:1">
      <c r="A32" s="129" t="s">
        <v>78</v>
      </c>
    </row>
    <row r="33" spans="1:1">
      <c r="A33" s="129" t="s">
        <v>79</v>
      </c>
    </row>
    <row r="34" spans="1:1">
      <c r="A34" s="129" t="s">
        <v>80</v>
      </c>
    </row>
    <row r="35" spans="1:1">
      <c r="A35" s="129" t="s">
        <v>81</v>
      </c>
    </row>
    <row r="36" spans="1:1">
      <c r="A36" s="129" t="s">
        <v>82</v>
      </c>
    </row>
    <row r="37" spans="1:1">
      <c r="A37" s="129" t="s">
        <v>83</v>
      </c>
    </row>
    <row r="38" spans="1:1">
      <c r="A38" s="129" t="s">
        <v>84</v>
      </c>
    </row>
    <row r="39" spans="1:1">
      <c r="A39" s="129" t="s">
        <v>85</v>
      </c>
    </row>
    <row r="40" spans="1:1">
      <c r="A40" s="129" t="s">
        <v>86</v>
      </c>
    </row>
    <row r="41" spans="1:1">
      <c r="A41" s="129" t="s">
        <v>87</v>
      </c>
    </row>
    <row r="42" spans="1:1">
      <c r="A42" s="129" t="s">
        <v>88</v>
      </c>
    </row>
    <row r="43" spans="1:1">
      <c r="A43" s="129" t="s">
        <v>89</v>
      </c>
    </row>
    <row r="44" spans="1:1">
      <c r="A44" s="129" t="s">
        <v>90</v>
      </c>
    </row>
    <row r="45" spans="1:1">
      <c r="A45" s="129" t="s">
        <v>91</v>
      </c>
    </row>
    <row r="46" spans="1:1">
      <c r="A46" s="129" t="s">
        <v>92</v>
      </c>
    </row>
    <row r="47" spans="1:1">
      <c r="A47" s="129" t="s">
        <v>93</v>
      </c>
    </row>
    <row r="48" spans="1:1">
      <c r="A48" s="129" t="s">
        <v>94</v>
      </c>
    </row>
    <row r="49" spans="1:1">
      <c r="A49" s="129" t="s">
        <v>95</v>
      </c>
    </row>
    <row r="50" spans="1:1">
      <c r="A50" s="129" t="s">
        <v>96</v>
      </c>
    </row>
    <row r="51" spans="1:1">
      <c r="A51" s="129" t="s">
        <v>97</v>
      </c>
    </row>
    <row r="52" spans="1:1">
      <c r="A52" s="129" t="s">
        <v>98</v>
      </c>
    </row>
    <row r="53" spans="1:1">
      <c r="A53" s="129" t="s">
        <v>99</v>
      </c>
    </row>
    <row r="54" spans="1:1">
      <c r="A54" s="129" t="s">
        <v>100</v>
      </c>
    </row>
    <row r="55" spans="1:1">
      <c r="A55" s="129" t="s">
        <v>101</v>
      </c>
    </row>
    <row r="56" spans="1:1">
      <c r="A56" s="129" t="s">
        <v>102</v>
      </c>
    </row>
    <row r="57" spans="1:1">
      <c r="A57" s="129" t="s">
        <v>103</v>
      </c>
    </row>
    <row r="58" spans="1:1">
      <c r="A58" s="129" t="s">
        <v>104</v>
      </c>
    </row>
    <row r="59" spans="1:1">
      <c r="A59" s="129" t="s">
        <v>105</v>
      </c>
    </row>
    <row r="60" spans="1:1">
      <c r="A60" s="129" t="s">
        <v>106</v>
      </c>
    </row>
    <row r="61" spans="1:1">
      <c r="A61" s="129" t="s">
        <v>107</v>
      </c>
    </row>
    <row r="62" spans="1:1">
      <c r="A62" s="129" t="s">
        <v>108</v>
      </c>
    </row>
    <row r="63" spans="1:1">
      <c r="A63" s="129" t="s">
        <v>109</v>
      </c>
    </row>
    <row r="64" spans="1:1">
      <c r="A64" s="129" t="s">
        <v>110</v>
      </c>
    </row>
    <row r="65" spans="1:1">
      <c r="A65" s="129" t="s">
        <v>111</v>
      </c>
    </row>
    <row r="66" spans="1:1">
      <c r="A66" s="129" t="s">
        <v>112</v>
      </c>
    </row>
    <row r="67" spans="1:1">
      <c r="A67" s="129" t="s">
        <v>113</v>
      </c>
    </row>
    <row r="68" spans="1:1">
      <c r="A68" s="129" t="s">
        <v>114</v>
      </c>
    </row>
    <row r="69" spans="1:1">
      <c r="A69" s="129" t="s">
        <v>115</v>
      </c>
    </row>
    <row r="70" spans="1:1">
      <c r="A70" s="129" t="s">
        <v>116</v>
      </c>
    </row>
    <row r="71" spans="1:1">
      <c r="A71" s="129" t="s">
        <v>117</v>
      </c>
    </row>
    <row r="72" spans="1:1">
      <c r="A72" s="129" t="s">
        <v>118</v>
      </c>
    </row>
    <row r="73" spans="1:1">
      <c r="A73" s="129" t="s">
        <v>119</v>
      </c>
    </row>
    <row r="74" spans="1:1">
      <c r="A74" s="129" t="s">
        <v>120</v>
      </c>
    </row>
    <row r="75" spans="1:1">
      <c r="A75" s="129" t="s">
        <v>121</v>
      </c>
    </row>
    <row r="76" spans="1:1">
      <c r="A76" s="129" t="s">
        <v>122</v>
      </c>
    </row>
    <row r="77" spans="1:1">
      <c r="A77" s="129" t="s">
        <v>123</v>
      </c>
    </row>
    <row r="78" spans="1:1">
      <c r="A78" s="129" t="s">
        <v>124</v>
      </c>
    </row>
    <row r="79" spans="1:1">
      <c r="A79" s="129" t="s">
        <v>125</v>
      </c>
    </row>
    <row r="80" spans="1:1">
      <c r="A80" s="129" t="s">
        <v>126</v>
      </c>
    </row>
    <row r="81" spans="1:1">
      <c r="A81" s="129" t="s">
        <v>127</v>
      </c>
    </row>
    <row r="82" spans="1:1">
      <c r="A82" s="129" t="s">
        <v>128</v>
      </c>
    </row>
    <row r="83" spans="1:1">
      <c r="A83" s="129" t="s">
        <v>129</v>
      </c>
    </row>
    <row r="84" spans="1:1">
      <c r="A84" s="129" t="s">
        <v>130</v>
      </c>
    </row>
    <row r="85" spans="1:1">
      <c r="A85" s="129" t="s">
        <v>131</v>
      </c>
    </row>
    <row r="86" spans="1:1">
      <c r="A86" s="129" t="s">
        <v>132</v>
      </c>
    </row>
    <row r="87" spans="1:1">
      <c r="A87" s="129" t="s">
        <v>133</v>
      </c>
    </row>
    <row r="88" spans="1:1">
      <c r="A88" s="129" t="s">
        <v>134</v>
      </c>
    </row>
    <row r="89" spans="1:1">
      <c r="A89" s="129" t="s">
        <v>135</v>
      </c>
    </row>
    <row r="90" spans="1:1">
      <c r="A90" s="129" t="s">
        <v>136</v>
      </c>
    </row>
    <row r="91" spans="1:1">
      <c r="A91" s="129" t="s">
        <v>137</v>
      </c>
    </row>
    <row r="92" spans="1:1">
      <c r="A92" s="129" t="s">
        <v>138</v>
      </c>
    </row>
    <row r="93" spans="1:1">
      <c r="A93" s="129" t="s">
        <v>139</v>
      </c>
    </row>
    <row r="94" spans="1:1">
      <c r="A94" s="129" t="s">
        <v>140</v>
      </c>
    </row>
    <row r="95" spans="1:1">
      <c r="A95" s="129" t="s">
        <v>141</v>
      </c>
    </row>
    <row r="96" spans="1:1">
      <c r="A96" s="129" t="s">
        <v>142</v>
      </c>
    </row>
    <row r="97" spans="1:1">
      <c r="A97" s="129" t="s">
        <v>143</v>
      </c>
    </row>
    <row r="98" spans="1:1">
      <c r="A98" s="129" t="s">
        <v>144</v>
      </c>
    </row>
    <row r="99" spans="1:1">
      <c r="A99" s="129" t="s">
        <v>145</v>
      </c>
    </row>
    <row r="100" spans="1:1">
      <c r="A100" s="129" t="s">
        <v>146</v>
      </c>
    </row>
  </sheetData>
  <customSheetViews>
    <customSheetView guid="{2A3E70A9-51A3-4722-9775-16DBEA0F14B3}" state="hidden">
      <pageMargins left="0.7" right="0.7" top="0.75" bottom="0.75" header="0.3" footer="0.3"/>
    </customSheetView>
    <customSheetView guid="{A13B25D0-B104-46DD-B5CC-B628EEB53163}" state="hidden">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tabColor theme="8" tint="0.59999389629810485"/>
  </sheetPr>
  <dimension ref="A1:H19"/>
  <sheetViews>
    <sheetView showGridLines="0" zoomScale="110" zoomScaleNormal="110" workbookViewId="0">
      <pane xSplit="2" ySplit="11" topLeftCell="C12" activePane="bottomRight" state="frozen"/>
      <selection activeCell="C6" sqref="C6"/>
      <selection pane="topRight" activeCell="C6" sqref="C6"/>
      <selection pane="bottomLeft" activeCell="C6" sqref="C6"/>
      <selection pane="bottomRight" activeCell="C12" sqref="C12"/>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246</v>
      </c>
      <c r="D1" s="535"/>
      <c r="E1" s="535"/>
      <c r="F1" s="535"/>
      <c r="G1" s="535"/>
      <c r="H1" s="535"/>
    </row>
    <row r="2" spans="1:8" ht="18" customHeight="1">
      <c r="A2" s="158"/>
      <c r="B2" s="159"/>
      <c r="C2" s="158" t="s">
        <v>244</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3"/>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cale="90" showGridLines="0">
      <pane xSplit="2" ySplit="11" topLeftCell="C12" activePane="bottomRight" state="frozen"/>
      <selection pane="bottomRight" activeCell="B10" sqref="B10"/>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cale="90" showGridLines="0">
      <pane xSplit="2" ySplit="11" topLeftCell="C12" activePane="bottomRight" state="frozen"/>
      <selection pane="bottomRight" activeCell="B14" sqref="B14"/>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92" priority="1" operator="equal">
      <formula>"NOT MET"</formula>
    </cfRule>
    <cfRule type="cellIs" dxfId="291" priority="2" operator="equal">
      <formula>"MET"</formula>
    </cfRule>
  </conditionalFormatting>
  <dataValidations count="2">
    <dataValidation type="list" allowBlank="1" showInputMessage="1" showErrorMessage="1" sqref="C7:H7" xr:uid="{00000000-0002-0000-0700-000000000000}">
      <formula1>"ADSN, CDSN"</formula1>
    </dataValidation>
    <dataValidation type="list" allowBlank="1" showInputMessage="1" showErrorMessage="1" sqref="C13:H17" xr:uid="{00000000-0002-0000-0700-000001000000}">
      <formula1>"YES, NO"</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theme="8" tint="-0.249977111117893"/>
  </sheetPr>
  <dimension ref="A1:M32"/>
  <sheetViews>
    <sheetView tabSelected="1" zoomScale="120" zoomScaleNormal="120" zoomScaleSheetLayoutView="50" workbookViewId="0">
      <pane xSplit="2" ySplit="8" topLeftCell="C9" activePane="bottomRight" state="frozen"/>
      <selection activeCell="C6" sqref="C6"/>
      <selection pane="topRight" activeCell="C6" sqref="C6"/>
      <selection pane="bottomLeft" activeCell="C6" sqref="C6"/>
      <selection pane="bottomRight" activeCell="C12" sqref="C12"/>
    </sheetView>
  </sheetViews>
  <sheetFormatPr defaultColWidth="8.85546875" defaultRowHeight="12.75"/>
  <cols>
    <col min="1" max="1" width="3.28515625" style="161" customWidth="1"/>
    <col min="2" max="2" width="75.7109375" style="69" customWidth="1"/>
    <col min="3" max="8" width="7.7109375" style="70" customWidth="1"/>
    <col min="9" max="13" width="7.7109375" style="71" customWidth="1"/>
    <col min="14" max="16384" width="8.85546875" style="3"/>
  </cols>
  <sheetData>
    <row r="1" spans="1:13" ht="18" customHeight="1">
      <c r="A1" s="130"/>
      <c r="B1" s="131"/>
      <c r="C1" s="342" t="s">
        <v>245</v>
      </c>
      <c r="D1" s="340"/>
      <c r="E1" s="340"/>
      <c r="F1" s="340"/>
      <c r="G1" s="340"/>
      <c r="H1" s="340"/>
      <c r="I1" s="340"/>
      <c r="J1" s="340"/>
      <c r="K1" s="340"/>
      <c r="L1" s="340"/>
      <c r="M1" s="341"/>
    </row>
    <row r="2" spans="1:13" ht="18" customHeight="1">
      <c r="A2" s="132"/>
      <c r="B2" s="146" t="s">
        <v>165</v>
      </c>
      <c r="C2" s="145" t="str">
        <f>IF('Workbook Set-up'!$B$4="","[Name of LME-MCO]",'Workbook Set-up'!$B$4)</f>
        <v>Trillium Health Resources</v>
      </c>
      <c r="D2" s="133"/>
      <c r="E2" s="133"/>
      <c r="F2" s="133"/>
      <c r="G2" s="133"/>
      <c r="H2" s="133"/>
      <c r="I2" s="133"/>
      <c r="J2" s="133"/>
      <c r="K2" s="133"/>
      <c r="L2" s="133"/>
      <c r="M2" s="140"/>
    </row>
    <row r="3" spans="1:13" ht="18" customHeight="1">
      <c r="A3" s="132"/>
      <c r="B3" s="146" t="s">
        <v>2</v>
      </c>
      <c r="C3" s="145"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3" s="343"/>
      <c r="E3" s="343"/>
      <c r="F3" s="343"/>
      <c r="G3" s="343"/>
      <c r="H3" s="343"/>
      <c r="I3" s="343"/>
      <c r="J3" s="343"/>
      <c r="K3" s="343"/>
      <c r="L3" s="343"/>
      <c r="M3" s="344"/>
    </row>
    <row r="4" spans="1:13" ht="17.649999999999999" customHeight="1" thickBot="1">
      <c r="A4" s="134"/>
      <c r="B4" s="147" t="s">
        <v>9</v>
      </c>
      <c r="C4" s="134" t="str">
        <f>IF(AND('Workbook Set-up'!$B$13="",'Workbook Set-up'!$B$14=""),"",IF('Workbook Set-up'!$B$13='Workbook Set-up'!$B$14,TEXT('Workbook Set-up'!$B$13,"m/d/yyyy"),IF('Workbook Set-up'!$B$13&lt;&gt;'Workbook Set-up'!$B$14,TEXT('Workbook Set-up'!$B$13,"m/d/yyyy")&amp;" to "&amp;TEXT('Workbook Set-up'!$B$14,"m/d/yyyy"),"")))</f>
        <v>7/15/2019</v>
      </c>
      <c r="D4" s="135"/>
      <c r="E4" s="135"/>
      <c r="F4" s="135"/>
      <c r="G4" s="135"/>
      <c r="H4" s="135"/>
      <c r="I4" s="135"/>
      <c r="J4" s="135"/>
      <c r="K4" s="135"/>
      <c r="L4" s="135"/>
      <c r="M4" s="137"/>
    </row>
    <row r="5" spans="1:13" s="8" customFormat="1" ht="14.85" customHeight="1">
      <c r="A5" s="18"/>
      <c r="B5" s="148" t="s">
        <v>189</v>
      </c>
      <c r="C5" s="19" t="str">
        <f>IF('Support Employ Initial Eligibil'!C6="","",'Support Employ Initial Eligibil'!C6)</f>
        <v/>
      </c>
      <c r="D5" s="241" t="str">
        <f>IF('Support Employ Initial Eligibil'!D6="","",'Support Employ Initial Eligibil'!D6)</f>
        <v/>
      </c>
      <c r="E5" s="242" t="str">
        <f>IF('Support Employ Initial Eligibil'!E6="","",'Support Employ Initial Eligibil'!E6)</f>
        <v/>
      </c>
      <c r="F5" s="242" t="str">
        <f>IF('Support Employ Initial Eligibil'!F6="","",'Support Employ Initial Eligibil'!F6)</f>
        <v/>
      </c>
      <c r="G5" s="242" t="str">
        <f>IF('Support Employ Initial Eligibil'!G6="","",'Support Employ Initial Eligibil'!G6)</f>
        <v/>
      </c>
      <c r="H5" s="77" t="str">
        <f>IF('Support Employ Initial Eligibil'!H6="","",'Support Employ Initial Eligibil'!H6)</f>
        <v/>
      </c>
      <c r="I5" s="15"/>
      <c r="J5" s="16"/>
      <c r="K5" s="16"/>
      <c r="L5" s="16"/>
      <c r="M5" s="17"/>
    </row>
    <row r="6" spans="1:13" s="8" customFormat="1" ht="14.85" customHeight="1">
      <c r="A6" s="18"/>
      <c r="B6" s="148" t="s">
        <v>190</v>
      </c>
      <c r="C6" s="19" t="str">
        <f>IF('Support Employ Initial Eligibil'!C7="","",'Support Employ Initial Eligibil'!C7)</f>
        <v/>
      </c>
      <c r="D6" s="244" t="str">
        <f>IF('Support Employ Initial Eligibil'!D7="","",'Support Employ Initial Eligibil'!D7)</f>
        <v/>
      </c>
      <c r="E6" s="244" t="str">
        <f>IF('Support Employ Initial Eligibil'!E7="","",'Support Employ Initial Eligibil'!E7)</f>
        <v/>
      </c>
      <c r="F6" s="244" t="str">
        <f>IF('Support Employ Initial Eligibil'!F7="","",'Support Employ Initial Eligibil'!F7)</f>
        <v/>
      </c>
      <c r="G6" s="244" t="str">
        <f>IF('Support Employ Initial Eligibil'!G7="","",'Support Employ Initial Eligibil'!G7)</f>
        <v/>
      </c>
      <c r="H6" s="20" t="str">
        <f>IF('Support Employ Initial Eligibil'!H7="","",'Support Employ Initial Eligibil'!H7)</f>
        <v/>
      </c>
      <c r="I6" s="15"/>
      <c r="J6" s="16"/>
      <c r="K6" s="16"/>
      <c r="L6" s="16"/>
      <c r="M6" s="17"/>
    </row>
    <row r="7" spans="1:13" s="8" customFormat="1" ht="14.85" customHeight="1" thickBot="1">
      <c r="A7" s="18"/>
      <c r="B7" s="148" t="s">
        <v>188</v>
      </c>
      <c r="C7" s="196" t="str">
        <f>IF('Support Employ Initial Eligibil'!C9="","",'Support Employ Initial Eligibil'!C9)</f>
        <v/>
      </c>
      <c r="D7" s="243" t="str">
        <f>IF('Support Employ Initial Eligibil'!D9="","",'Support Employ Initial Eligibil'!D9)</f>
        <v/>
      </c>
      <c r="E7" s="243" t="str">
        <f>IF('Support Employ Initial Eligibil'!E9="","",'Support Employ Initial Eligibil'!E9)</f>
        <v/>
      </c>
      <c r="F7" s="243" t="str">
        <f>IF('Support Employ Initial Eligibil'!F9="","",'Support Employ Initial Eligibil'!F9)</f>
        <v/>
      </c>
      <c r="G7" s="243" t="str">
        <f>IF('Support Employ Initial Eligibil'!G9="","",'Support Employ Initial Eligibil'!G9)</f>
        <v/>
      </c>
      <c r="H7" s="197" t="str">
        <f>IF('Support Employ Initial Eligibil'!H9="","",'Support Employ Initial Eligibil'!H9)</f>
        <v/>
      </c>
      <c r="I7" s="22" t="s">
        <v>10</v>
      </c>
      <c r="J7" s="16"/>
      <c r="K7" s="16"/>
      <c r="L7" s="16"/>
      <c r="M7" s="17"/>
    </row>
    <row r="8" spans="1:13" s="10" customFormat="1" ht="32.1" customHeight="1" thickBot="1">
      <c r="A8" s="25" t="s">
        <v>11</v>
      </c>
      <c r="B8" s="26" t="s">
        <v>12</v>
      </c>
      <c r="C8" s="27">
        <v>1</v>
      </c>
      <c r="D8" s="28">
        <v>2</v>
      </c>
      <c r="E8" s="28">
        <v>3</v>
      </c>
      <c r="F8" s="28">
        <v>4</v>
      </c>
      <c r="G8" s="28">
        <v>5</v>
      </c>
      <c r="H8" s="29">
        <v>6</v>
      </c>
      <c r="I8" s="30" t="s">
        <v>13</v>
      </c>
      <c r="J8" s="31" t="s">
        <v>14</v>
      </c>
      <c r="K8" s="32" t="s">
        <v>15</v>
      </c>
      <c r="L8" s="33" t="s">
        <v>16</v>
      </c>
      <c r="M8" s="34" t="s">
        <v>17</v>
      </c>
    </row>
    <row r="9" spans="1:13" s="37" customFormat="1" ht="25.5">
      <c r="A9" s="45" t="s">
        <v>18</v>
      </c>
      <c r="B9" s="157" t="s">
        <v>242</v>
      </c>
      <c r="C9" s="174" t="str">
        <f>IF('Support Employ Initial Eligibil'!C12=0,"",'Support Employ Initial Eligibil'!C12)</f>
        <v/>
      </c>
      <c r="D9" s="174" t="str">
        <f>IF('Support Employ Initial Eligibil'!D12=0,"",'Support Employ Initial Eligibil'!D12)</f>
        <v/>
      </c>
      <c r="E9" s="174" t="str">
        <f>IF('Support Employ Initial Eligibil'!E12=0,"",'Support Employ Initial Eligibil'!E12)</f>
        <v/>
      </c>
      <c r="F9" s="174" t="str">
        <f>IF('Support Employ Initial Eligibil'!F12=0,"",'Support Employ Initial Eligibil'!F12)</f>
        <v/>
      </c>
      <c r="G9" s="174" t="str">
        <f>IF('Support Employ Initial Eligibil'!G12=0,"",'Support Employ Initial Eligibil'!G12)</f>
        <v/>
      </c>
      <c r="H9" s="174" t="str">
        <f>IF('Support Employ Initial Eligibil'!H12=0,"",'Support Employ Initial Eligibil'!H12)</f>
        <v/>
      </c>
      <c r="I9" s="47">
        <f>COUNTIF(C9:H9,"=Met")</f>
        <v>0</v>
      </c>
      <c r="J9" s="48">
        <f>IF(SUM(I9,K9)=0,0,I9/SUM(I9,K9))</f>
        <v>0</v>
      </c>
      <c r="K9" s="41">
        <f>COUNTIF(C9:H9,"=Not Met")</f>
        <v>0</v>
      </c>
      <c r="L9" s="48">
        <f t="shared" ref="L9" si="0">IF(SUM(I9,K9)=0,0,K9/SUM(I9,K9))</f>
        <v>0</v>
      </c>
      <c r="M9" s="49">
        <f>COUNTIF(C9:H9,"=N/A")</f>
        <v>0</v>
      </c>
    </row>
    <row r="10" spans="1:13" s="10" customFormat="1" ht="26.25" thickBot="1">
      <c r="A10" s="156" t="s">
        <v>19</v>
      </c>
      <c r="B10" s="309" t="s">
        <v>207</v>
      </c>
      <c r="C10" s="179" t="str">
        <f>IF(COUNTIF(C11:C12, "NO")=1,"NOT MET",IF(COUNTIF(C11:C12, "YES")&gt;=2, "MET",IF(COUNTIF(C11:C12,"=N/A")=2,"N/A","")))</f>
        <v/>
      </c>
      <c r="D10" s="179" t="str">
        <f>IF(COUNTIF(D11:D12, "NO")=1,"NOT MET",IF(COUNTIF(D11:D12, "YES")&gt;=1, "MET",IF(COUNTIF(D11:D12,"=N/A")=2,"N/A","")))</f>
        <v/>
      </c>
      <c r="E10" s="179" t="str">
        <f>IF(COUNTIF(E11:E12, "NO")=1,"NOT MET",IF(COUNTIF(E11:E12, "YES")&gt;=1, "MET",IF(COUNTIF(E11:E12,"=N/A")=2,"N/A","")))</f>
        <v/>
      </c>
      <c r="F10" s="179" t="str">
        <f>IF(COUNTIF(F11:F12, "NO")=1,"NOT MET",IF(COUNTIF(F11:F12, "YES")&gt;=1, "MET",IF(COUNTIF(F11:F12,"=N/A")=2,"N/A","")))</f>
        <v/>
      </c>
      <c r="G10" s="179" t="str">
        <f>IF(COUNTIF(G11:G12, "NO")=1,"NOT MET",IF(COUNTIF(G11:G12, "YES")&gt;=1, "MET",IF(COUNTIF(G11:G12,"=N/A")=2,"N/A","")))</f>
        <v/>
      </c>
      <c r="H10" s="179" t="str">
        <f t="shared" ref="H10" si="1">IF(COUNTIF(H11:H12, "NO")=2,"NOT MET",IF(COUNTIF(H11:H12, "YES")&gt;=1, "MET",IF(COUNTIF(H11:H12,"=N/A")=2,"N/A","")))</f>
        <v/>
      </c>
      <c r="I10" s="437">
        <f t="shared" ref="I10" si="2">COUNTIF(C10:H10,"=Met")</f>
        <v>0</v>
      </c>
      <c r="J10" s="438">
        <f t="shared" ref="J10:J13" si="3">IF(SUM(I10,K10)=0,0,I10/SUM(I10,K10))</f>
        <v>0</v>
      </c>
      <c r="K10" s="439">
        <f t="shared" ref="K10" si="4">COUNTIF(C10:H10,"=Not Met")</f>
        <v>0</v>
      </c>
      <c r="L10" s="438">
        <f t="shared" ref="L10" si="5">IF(SUM(I10,K10)=0,0,K10/SUM(I10,K10))</f>
        <v>0</v>
      </c>
      <c r="M10" s="440">
        <f t="shared" ref="M10" si="6">COUNTIF(C10:H10,"=N/A")</f>
        <v>0</v>
      </c>
    </row>
    <row r="11" spans="1:13" s="10" customFormat="1" ht="25.5">
      <c r="A11" s="156" t="s">
        <v>192</v>
      </c>
      <c r="B11" s="36" t="s">
        <v>204</v>
      </c>
      <c r="C11" s="388" t="str">
        <f>IF(C9="MET","YES",IF(C9="NOT MET","NO",IF(C9="","")))</f>
        <v/>
      </c>
      <c r="D11" s="388" t="str">
        <f>IF(D9="MET","YES",IF(D9="NOT MET","NO",IF(D9="","")))</f>
        <v/>
      </c>
      <c r="E11" s="388" t="str">
        <f>IF(E9="MET","YES",IF(E9="NOT MET","NO",IF(E9="","")))</f>
        <v/>
      </c>
      <c r="F11" s="388" t="str">
        <f t="shared" ref="F11:H11" si="7">IF(F9="MET","YES",IF(F9="NOT MET","NO",IF(F9="","")))</f>
        <v/>
      </c>
      <c r="G11" s="388" t="str">
        <f t="shared" si="7"/>
        <v/>
      </c>
      <c r="H11" s="471" t="str">
        <f t="shared" si="7"/>
        <v/>
      </c>
      <c r="I11" s="444"/>
      <c r="J11" s="445"/>
      <c r="K11" s="446"/>
      <c r="L11" s="445"/>
      <c r="M11" s="447"/>
    </row>
    <row r="12" spans="1:13" s="10" customFormat="1">
      <c r="A12" s="156" t="s">
        <v>195</v>
      </c>
      <c r="B12" s="36" t="s">
        <v>250</v>
      </c>
      <c r="C12" s="35"/>
      <c r="D12" s="50"/>
      <c r="E12" s="50"/>
      <c r="F12" s="50"/>
      <c r="G12" s="50"/>
      <c r="H12" s="144"/>
      <c r="I12" s="437">
        <f>COUNTIF(C12:H12,"=YES")</f>
        <v>0</v>
      </c>
      <c r="J12" s="438">
        <f t="shared" si="3"/>
        <v>0</v>
      </c>
      <c r="K12" s="439">
        <f>COUNTIF(C12:H12,"=No")</f>
        <v>0</v>
      </c>
      <c r="L12" s="438">
        <f t="shared" ref="L12" si="8">IF(SUM(I12,K12)=0,0,K12/SUM(I12,K12))</f>
        <v>0</v>
      </c>
      <c r="M12" s="440">
        <f t="shared" ref="M12" si="9">COUNTIF(C12:H12,"=N/A")</f>
        <v>0</v>
      </c>
    </row>
    <row r="13" spans="1:13" s="10" customFormat="1" ht="39" thickBot="1">
      <c r="A13" s="385" t="s">
        <v>251</v>
      </c>
      <c r="B13" s="386" t="s">
        <v>316</v>
      </c>
      <c r="C13" s="180" t="str">
        <f>IF(COUNTIF(C14:C15, "NO")=2,"NOT MET",IF(COUNTIF(C14:C15, "YES")&gt;=1, "MET",IF(COUNTIF(C14:C15,"=N/A")=2,"N/A","")))</f>
        <v/>
      </c>
      <c r="D13" s="180" t="str">
        <f>IF(COUNTIF(D14:D15, "NO")=2,"NOT MET",IF(COUNTIF(D14:D15, "YES")&gt;=1, "MET",IF(COUNTIF(D14:D15,"=N/A")=2,"N/A","")))</f>
        <v/>
      </c>
      <c r="E13" s="180" t="str">
        <f t="shared" ref="E13:H13" si="10">IF(COUNTIF(E14:E15, "NO")=2,"NOT MET",IF(COUNTIF(E14:E15, "YES")&gt;=1, "MET",IF(COUNTIF(E14:E15,"=N/A")=2,"N/A","")))</f>
        <v/>
      </c>
      <c r="F13" s="180" t="str">
        <f t="shared" si="10"/>
        <v/>
      </c>
      <c r="G13" s="180" t="str">
        <f t="shared" si="10"/>
        <v/>
      </c>
      <c r="H13" s="180" t="str">
        <f t="shared" si="10"/>
        <v/>
      </c>
      <c r="I13" s="437">
        <f t="shared" ref="I13" si="11">COUNTIF(C13:H13,"=Met")</f>
        <v>0</v>
      </c>
      <c r="J13" s="438">
        <f t="shared" si="3"/>
        <v>0</v>
      </c>
      <c r="K13" s="439">
        <f t="shared" ref="K13" si="12">COUNTIF(C13:H13,"=Not Met")</f>
        <v>0</v>
      </c>
      <c r="L13" s="438">
        <f t="shared" ref="L13" si="13">IF(SUM(I13,K13)=0,0,K13/SUM(I13,K13))</f>
        <v>0</v>
      </c>
      <c r="M13" s="440">
        <f t="shared" ref="M13" si="14">COUNTIF(C13:H13,"=N/A")</f>
        <v>0</v>
      </c>
    </row>
    <row r="14" spans="1:13" s="10" customFormat="1" ht="25.5">
      <c r="A14" s="385" t="s">
        <v>192</v>
      </c>
      <c r="B14" s="387" t="s">
        <v>317</v>
      </c>
      <c r="C14" s="384"/>
      <c r="D14" s="50"/>
      <c r="E14" s="50"/>
      <c r="F14" s="50"/>
      <c r="G14" s="50"/>
      <c r="H14" s="144"/>
      <c r="I14" s="444"/>
      <c r="J14" s="445"/>
      <c r="K14" s="446"/>
      <c r="L14" s="445"/>
      <c r="M14" s="447"/>
    </row>
    <row r="15" spans="1:13" s="10" customFormat="1" ht="58.7" customHeight="1" thickBot="1">
      <c r="A15" s="385" t="s">
        <v>195</v>
      </c>
      <c r="B15" s="387" t="s">
        <v>252</v>
      </c>
      <c r="C15" s="384"/>
      <c r="D15" s="50"/>
      <c r="E15" s="50"/>
      <c r="F15" s="50"/>
      <c r="G15" s="50"/>
      <c r="H15" s="144"/>
      <c r="I15" s="450"/>
      <c r="J15" s="451"/>
      <c r="K15" s="452"/>
      <c r="L15" s="451"/>
      <c r="M15" s="453"/>
    </row>
    <row r="16" spans="1:13" s="10" customFormat="1" ht="13.9" customHeight="1" thickBot="1">
      <c r="A16" s="161"/>
      <c r="B16" s="53" t="s">
        <v>24</v>
      </c>
      <c r="C16" s="122"/>
      <c r="D16" s="123"/>
      <c r="E16" s="123"/>
      <c r="F16" s="123"/>
      <c r="G16" s="123"/>
      <c r="H16" s="143"/>
      <c r="I16" s="248"/>
      <c r="J16" s="248"/>
      <c r="K16" s="248"/>
      <c r="L16" s="248"/>
      <c r="M16" s="249"/>
    </row>
    <row r="17" spans="1:13" s="10" customFormat="1" ht="13.9" customHeight="1" thickBot="1">
      <c r="A17" s="161"/>
      <c r="B17" s="53"/>
      <c r="C17" s="55"/>
      <c r="D17" s="55"/>
      <c r="E17" s="55"/>
      <c r="F17" s="55"/>
      <c r="G17" s="55"/>
      <c r="H17" s="55"/>
      <c r="I17" s="54"/>
      <c r="J17" s="54"/>
      <c r="K17" s="54"/>
      <c r="L17" s="54"/>
      <c r="M17" s="54"/>
    </row>
    <row r="18" spans="1:13" s="10" customFormat="1" ht="13.9" customHeight="1">
      <c r="A18" s="161"/>
      <c r="B18" s="56" t="s">
        <v>25</v>
      </c>
      <c r="C18" s="57">
        <f t="shared" ref="C18:H18" si="15">COUNTIF(C9:C15,"=Met")</f>
        <v>0</v>
      </c>
      <c r="D18" s="58">
        <f t="shared" si="15"/>
        <v>0</v>
      </c>
      <c r="E18" s="58">
        <f t="shared" si="15"/>
        <v>0</v>
      </c>
      <c r="F18" s="58">
        <f t="shared" si="15"/>
        <v>0</v>
      </c>
      <c r="G18" s="58">
        <f t="shared" si="15"/>
        <v>0</v>
      </c>
      <c r="H18" s="150">
        <f t="shared" si="15"/>
        <v>0</v>
      </c>
      <c r="I18" s="59"/>
      <c r="J18" s="60"/>
      <c r="K18" s="60"/>
      <c r="L18" s="60"/>
      <c r="M18" s="60"/>
    </row>
    <row r="19" spans="1:13" s="10" customFormat="1" ht="13.9" customHeight="1">
      <c r="A19" s="161"/>
      <c r="B19" s="56" t="s">
        <v>26</v>
      </c>
      <c r="C19" s="61">
        <f t="shared" ref="C19:H19" si="16">IF(SUM(C18,C20)=0,0,C18/SUM(C18,C20))</f>
        <v>0</v>
      </c>
      <c r="D19" s="62">
        <f t="shared" si="16"/>
        <v>0</v>
      </c>
      <c r="E19" s="62">
        <f t="shared" si="16"/>
        <v>0</v>
      </c>
      <c r="F19" s="62">
        <f t="shared" si="16"/>
        <v>0</v>
      </c>
      <c r="G19" s="62">
        <f t="shared" si="16"/>
        <v>0</v>
      </c>
      <c r="H19" s="151">
        <f t="shared" si="16"/>
        <v>0</v>
      </c>
      <c r="I19" s="59"/>
      <c r="J19" s="60"/>
      <c r="K19" s="60"/>
      <c r="L19" s="60"/>
      <c r="M19" s="60"/>
    </row>
    <row r="20" spans="1:13" s="10" customFormat="1" ht="13.9" customHeight="1">
      <c r="A20" s="161"/>
      <c r="B20" s="56" t="s">
        <v>27</v>
      </c>
      <c r="C20" s="63">
        <f t="shared" ref="C20:H20" si="17">COUNTIF(C9:C15,"=Not Met")</f>
        <v>0</v>
      </c>
      <c r="D20" s="64">
        <f t="shared" si="17"/>
        <v>0</v>
      </c>
      <c r="E20" s="64">
        <f t="shared" si="17"/>
        <v>0</v>
      </c>
      <c r="F20" s="64">
        <f t="shared" si="17"/>
        <v>0</v>
      </c>
      <c r="G20" s="64">
        <f t="shared" si="17"/>
        <v>0</v>
      </c>
      <c r="H20" s="152">
        <f t="shared" si="17"/>
        <v>0</v>
      </c>
      <c r="I20" s="59"/>
      <c r="J20" s="60"/>
      <c r="K20" s="60"/>
      <c r="L20" s="60"/>
      <c r="M20" s="60"/>
    </row>
    <row r="21" spans="1:13" s="10" customFormat="1" ht="13.9" customHeight="1">
      <c r="A21" s="161"/>
      <c r="B21" s="56" t="s">
        <v>28</v>
      </c>
      <c r="C21" s="61">
        <f t="shared" ref="C21:H21" si="18">IF(SUM(C18,C20)=0,0,C20/SUM(C18,C20))</f>
        <v>0</v>
      </c>
      <c r="D21" s="62">
        <f t="shared" si="18"/>
        <v>0</v>
      </c>
      <c r="E21" s="62">
        <f t="shared" si="18"/>
        <v>0</v>
      </c>
      <c r="F21" s="62">
        <f t="shared" si="18"/>
        <v>0</v>
      </c>
      <c r="G21" s="62">
        <f t="shared" si="18"/>
        <v>0</v>
      </c>
      <c r="H21" s="151">
        <f t="shared" si="18"/>
        <v>0</v>
      </c>
      <c r="I21" s="59"/>
      <c r="J21" s="60"/>
      <c r="K21" s="60"/>
      <c r="L21" s="60"/>
      <c r="M21" s="60"/>
    </row>
    <row r="22" spans="1:13" s="10" customFormat="1" ht="13.9" customHeight="1" thickBot="1">
      <c r="A22" s="161"/>
      <c r="B22" s="56" t="s">
        <v>29</v>
      </c>
      <c r="C22" s="65">
        <f t="shared" ref="C22:H22" si="19">COUNTIF(C9:C15,"=N/A")</f>
        <v>0</v>
      </c>
      <c r="D22" s="66">
        <f t="shared" si="19"/>
        <v>0</v>
      </c>
      <c r="E22" s="66">
        <f t="shared" si="19"/>
        <v>0</v>
      </c>
      <c r="F22" s="66">
        <f t="shared" si="19"/>
        <v>0</v>
      </c>
      <c r="G22" s="66">
        <f t="shared" si="19"/>
        <v>0</v>
      </c>
      <c r="H22" s="153">
        <f t="shared" si="19"/>
        <v>0</v>
      </c>
      <c r="I22" s="67"/>
      <c r="J22" s="68"/>
      <c r="K22" s="68"/>
      <c r="L22" s="68"/>
      <c r="M22" s="68"/>
    </row>
    <row r="23" spans="1:13" s="10" customFormat="1" ht="13.9" customHeight="1">
      <c r="A23" s="545"/>
      <c r="B23" s="545"/>
      <c r="C23" s="545"/>
      <c r="D23" s="545"/>
      <c r="E23" s="545"/>
      <c r="F23" s="545"/>
      <c r="G23" s="545"/>
      <c r="H23" s="545"/>
      <c r="I23" s="545"/>
      <c r="J23" s="545"/>
      <c r="K23" s="545"/>
      <c r="L23" s="545"/>
      <c r="M23" s="545"/>
    </row>
    <row r="24" spans="1:13" s="10" customFormat="1" ht="25.15" customHeight="1">
      <c r="A24" s="211"/>
      <c r="B24" s="212" t="s">
        <v>152</v>
      </c>
      <c r="C24" s="215" t="s">
        <v>18</v>
      </c>
      <c r="D24" s="546"/>
      <c r="E24" s="547"/>
      <c r="F24" s="547"/>
      <c r="G24" s="547"/>
      <c r="H24" s="547"/>
      <c r="I24" s="547"/>
      <c r="J24" s="547"/>
      <c r="K24" s="547"/>
      <c r="L24" s="547"/>
      <c r="M24" s="548"/>
    </row>
    <row r="25" spans="1:13" s="10" customFormat="1" ht="25.15" customHeight="1">
      <c r="A25" s="211"/>
      <c r="B25" s="213"/>
      <c r="C25" s="216" t="s">
        <v>19</v>
      </c>
      <c r="D25" s="539"/>
      <c r="E25" s="540"/>
      <c r="F25" s="540"/>
      <c r="G25" s="540"/>
      <c r="H25" s="540"/>
      <c r="I25" s="540"/>
      <c r="J25" s="540"/>
      <c r="K25" s="540"/>
      <c r="L25" s="540"/>
      <c r="M25" s="541"/>
    </row>
    <row r="26" spans="1:13" s="10" customFormat="1" ht="25.15" customHeight="1">
      <c r="A26" s="211"/>
      <c r="B26" s="213"/>
      <c r="C26" s="216" t="s">
        <v>20</v>
      </c>
      <c r="D26" s="539"/>
      <c r="E26" s="540"/>
      <c r="F26" s="540"/>
      <c r="G26" s="540"/>
      <c r="H26" s="540"/>
      <c r="I26" s="540"/>
      <c r="J26" s="540"/>
      <c r="K26" s="540"/>
      <c r="L26" s="540"/>
      <c r="M26" s="541"/>
    </row>
    <row r="27" spans="1:13" s="10" customFormat="1" ht="25.15" customHeight="1">
      <c r="A27" s="211"/>
      <c r="B27" s="213"/>
      <c r="C27" s="216" t="s">
        <v>21</v>
      </c>
      <c r="D27" s="539"/>
      <c r="E27" s="540"/>
      <c r="F27" s="540"/>
      <c r="G27" s="540"/>
      <c r="H27" s="540"/>
      <c r="I27" s="540"/>
      <c r="J27" s="540"/>
      <c r="K27" s="540"/>
      <c r="L27" s="540"/>
      <c r="M27" s="541"/>
    </row>
    <row r="28" spans="1:13" s="10" customFormat="1" ht="25.15" customHeight="1">
      <c r="A28" s="211"/>
      <c r="B28" s="213"/>
      <c r="C28" s="216" t="s">
        <v>22</v>
      </c>
      <c r="D28" s="539"/>
      <c r="E28" s="540"/>
      <c r="F28" s="540"/>
      <c r="G28" s="540"/>
      <c r="H28" s="540"/>
      <c r="I28" s="540"/>
      <c r="J28" s="540"/>
      <c r="K28" s="540"/>
      <c r="L28" s="540"/>
      <c r="M28" s="541"/>
    </row>
    <row r="29" spans="1:13" ht="25.15" customHeight="1">
      <c r="A29" s="211"/>
      <c r="B29" s="214"/>
      <c r="C29" s="217" t="s">
        <v>23</v>
      </c>
      <c r="D29" s="542"/>
      <c r="E29" s="543"/>
      <c r="F29" s="543"/>
      <c r="G29" s="543"/>
      <c r="H29" s="543"/>
      <c r="I29" s="543"/>
      <c r="J29" s="543"/>
      <c r="K29" s="543"/>
      <c r="L29" s="543"/>
      <c r="M29" s="544"/>
    </row>
    <row r="30" spans="1:13">
      <c r="A30" s="195"/>
      <c r="B30" s="163"/>
    </row>
    <row r="31" spans="1:13">
      <c r="A31" s="195"/>
      <c r="B31" s="163"/>
    </row>
    <row r="32" spans="1:13">
      <c r="A32" s="195"/>
      <c r="B32" s="163"/>
    </row>
  </sheetData>
  <sheetProtection sheet="1" objects="1" scenarios="1"/>
  <customSheetViews>
    <customSheetView guid="{2A3E70A9-51A3-4722-9775-16DBEA0F14B3}">
      <pane xSplit="2" ySplit="8" topLeftCell="C12" activePane="bottomRight" state="frozen"/>
      <selection pane="bottomRight" activeCell="C16" sqref="C16"/>
      <pageMargins left="0.2" right="0.2" top="0.3" bottom="0.35" header="0.25" footer="0"/>
      <printOptions horizontalCentered="1"/>
      <pageSetup paperSize="5" scale="94" orientation="landscape" r:id="rId1"/>
      <headerFooter alignWithMargins="0">
        <oddFooter>&amp;L&amp;8&amp;K000000IDD Group Living - Sevices Initial Authorization&amp;R&amp;8&amp;K000000&amp;P</oddFooter>
      </headerFooter>
    </customSheetView>
    <customSheetView guid="{A13B25D0-B104-46DD-B5CC-B628EEB53163}">
      <pane xSplit="2" ySplit="8" topLeftCell="C12" activePane="bottomRight" state="frozen"/>
      <selection pane="bottomRight" activeCell="C16" sqref="C16"/>
      <pageMargins left="0.2" right="0.2" top="0.3" bottom="0.35" header="0.25" footer="0"/>
      <printOptions horizontalCentered="1"/>
      <pageSetup paperSize="5" scale="94" orientation="landscape" r:id="rId2"/>
      <headerFooter alignWithMargins="0">
        <oddFooter>&amp;L&amp;8&amp;K000000IDD Group Living - Sevices Initial Authorization&amp;R&amp;8&amp;K000000&amp;P</oddFooter>
      </headerFooter>
    </customSheetView>
  </customSheetViews>
  <mergeCells count="7">
    <mergeCell ref="D28:M28"/>
    <mergeCell ref="D29:M29"/>
    <mergeCell ref="A23:M23"/>
    <mergeCell ref="D24:M24"/>
    <mergeCell ref="D25:M25"/>
    <mergeCell ref="D26:M26"/>
    <mergeCell ref="D27:M27"/>
  </mergeCells>
  <conditionalFormatting sqref="C14:H15 C12:H12">
    <cfRule type="expression" dxfId="290" priority="17" stopIfTrue="1">
      <formula>AND(C$9&lt;&gt;"",C12="")</formula>
    </cfRule>
    <cfRule type="cellIs" dxfId="289" priority="19" stopIfTrue="1" operator="equal">
      <formula>"N/A"</formula>
    </cfRule>
  </conditionalFormatting>
  <conditionalFormatting sqref="C14:H15 C12:H12 C9:H9">
    <cfRule type="cellIs" dxfId="288" priority="18" stopIfTrue="1" operator="equal">
      <formula>"Not Met"</formula>
    </cfRule>
  </conditionalFormatting>
  <conditionalFormatting sqref="C9:H9">
    <cfRule type="expression" dxfId="287" priority="16" stopIfTrue="1">
      <formula>OR(C9="",C9="N/A")</formula>
    </cfRule>
  </conditionalFormatting>
  <conditionalFormatting sqref="C10:H10">
    <cfRule type="cellIs" dxfId="286" priority="6" stopIfTrue="1" operator="equal">
      <formula>"Not Met"</formula>
    </cfRule>
  </conditionalFormatting>
  <conditionalFormatting sqref="C10:H10">
    <cfRule type="expression" dxfId="285" priority="5" stopIfTrue="1">
      <formula>OR(C10="",C10="N/A")</formula>
    </cfRule>
  </conditionalFormatting>
  <conditionalFormatting sqref="C13:H13">
    <cfRule type="cellIs" dxfId="284" priority="2" stopIfTrue="1" operator="equal">
      <formula>"Not Met"</formula>
    </cfRule>
  </conditionalFormatting>
  <conditionalFormatting sqref="C13:H13">
    <cfRule type="expression" dxfId="283" priority="1" stopIfTrue="1">
      <formula>OR(C13="",C13="N/A")</formula>
    </cfRule>
  </conditionalFormatting>
  <dataValidations count="2">
    <dataValidation type="list" allowBlank="1" showInputMessage="1" showErrorMessage="1" sqref="C14:H15" xr:uid="{00000000-0002-0000-0800-000000000000}">
      <formula1>"YES,NO,N/A"</formula1>
    </dataValidation>
    <dataValidation type="list" allowBlank="1" showInputMessage="1" showErrorMessage="1" sqref="E12 C12:D12 F12:H12" xr:uid="{00000000-0002-0000-0800-000001000000}">
      <formula1>"YES,NO"</formula1>
    </dataValidation>
  </dataValidations>
  <printOptions horizontalCentered="1"/>
  <pageMargins left="0.2" right="0.2" top="0.3" bottom="0.35" header="0.25" footer="0"/>
  <pageSetup paperSize="5" scale="94" orientation="landscape" r:id="rId3"/>
  <headerFooter alignWithMargins="0">
    <oddFooter>&amp;L&amp;8&amp;K000000IDD Group Living - Sevices Initial Authorization&amp;R&amp;8&amp;K000000&amp;P</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H19"/>
  <sheetViews>
    <sheetView showGridLines="0" zoomScaleNormal="100" workbookViewId="0">
      <pane xSplit="2" ySplit="11" topLeftCell="C12" activePane="bottomRight" state="frozen"/>
      <selection activeCell="C13" sqref="C13"/>
      <selection pane="topRight" activeCell="C13" sqref="C13"/>
      <selection pane="bottomLeft" activeCell="C13" sqref="C13"/>
      <selection pane="bottomRight" activeCell="F15" sqref="F15"/>
    </sheetView>
  </sheetViews>
  <sheetFormatPr defaultColWidth="8.85546875" defaultRowHeight="12.75"/>
  <cols>
    <col min="1" max="1" width="5.7109375" style="75" customWidth="1"/>
    <col min="2" max="2" width="40.7109375" style="75" customWidth="1"/>
    <col min="3" max="8" width="17.7109375" style="75" customWidth="1"/>
    <col min="9" max="16384" width="8.85546875" style="74"/>
  </cols>
  <sheetData>
    <row r="1" spans="1:8" s="118" customFormat="1" ht="41.85" customHeight="1" thickBot="1">
      <c r="A1" s="117"/>
      <c r="B1" s="117"/>
      <c r="C1" s="535" t="s">
        <v>219</v>
      </c>
      <c r="D1" s="535"/>
      <c r="E1" s="535"/>
      <c r="F1" s="535"/>
      <c r="G1" s="535"/>
      <c r="H1" s="535"/>
    </row>
    <row r="2" spans="1:8" ht="18" customHeight="1">
      <c r="A2" s="158"/>
      <c r="B2" s="159"/>
      <c r="C2" s="158" t="s">
        <v>243</v>
      </c>
      <c r="D2" s="159"/>
      <c r="E2" s="159"/>
      <c r="F2" s="159"/>
      <c r="G2" s="159"/>
      <c r="H2" s="160"/>
    </row>
    <row r="3" spans="1:8" s="3" customFormat="1" ht="18" customHeight="1">
      <c r="A3" s="132"/>
      <c r="B3" s="146" t="s">
        <v>165</v>
      </c>
      <c r="C3" s="145" t="str">
        <f>IF('Workbook Set-up'!$B$4="","[Name of LME-MCO]",'Workbook Set-up'!$B$4)</f>
        <v>Trillium Health Resources</v>
      </c>
      <c r="D3" s="133"/>
      <c r="E3" s="133"/>
      <c r="F3" s="133"/>
      <c r="G3" s="133"/>
      <c r="H3" s="140"/>
    </row>
    <row r="4" spans="1:8" s="3" customFormat="1" ht="18" customHeight="1">
      <c r="A4" s="132"/>
      <c r="B4" s="146" t="s">
        <v>2</v>
      </c>
      <c r="C4" s="536" t="str">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LaToya Chancey, Rachel Noell, Mya Lewis</v>
      </c>
      <c r="D4" s="537"/>
      <c r="E4" s="537"/>
      <c r="F4" s="537"/>
      <c r="G4" s="537"/>
      <c r="H4" s="538"/>
    </row>
    <row r="5" spans="1:8" s="3" customFormat="1" ht="17.649999999999999" customHeight="1" thickBot="1">
      <c r="A5" s="134"/>
      <c r="B5" s="147" t="s">
        <v>9</v>
      </c>
      <c r="C5" s="134" t="str">
        <f>IF(AND('Workbook Set-up'!$B$13="",'Workbook Set-up'!$B$14=""),"",IF('Workbook Set-up'!$B$13='Workbook Set-up'!$B$14,TEXT('Workbook Set-up'!$B$13,"m/d/yyyy"),IF('Workbook Set-up'!$B$13&lt;&gt;'Workbook Set-up'!$B$14,TEXT('Workbook Set-up'!$B$13,"m/d/yyyy")&amp;" to "&amp;TEXT('Workbook Set-up'!$B$14,"m/d/yyyy"),"")))</f>
        <v>7/15/2019</v>
      </c>
      <c r="D5" s="135"/>
      <c r="E5" s="135"/>
      <c r="F5" s="135"/>
      <c r="G5" s="135"/>
      <c r="H5" s="137"/>
    </row>
    <row r="6" spans="1:8" ht="19.5" customHeight="1">
      <c r="A6" s="201"/>
      <c r="B6" s="202" t="s">
        <v>189</v>
      </c>
      <c r="C6" s="198"/>
      <c r="D6" s="240"/>
      <c r="E6" s="237"/>
      <c r="F6" s="237"/>
      <c r="G6" s="237"/>
      <c r="H6" s="199"/>
    </row>
    <row r="7" spans="1:8" ht="19.5" customHeight="1">
      <c r="A7" s="201"/>
      <c r="B7" s="202" t="s">
        <v>190</v>
      </c>
      <c r="C7" s="198"/>
      <c r="D7" s="239"/>
      <c r="E7" s="239"/>
      <c r="F7" s="239"/>
      <c r="G7" s="239"/>
      <c r="H7" s="200"/>
    </row>
    <row r="8" spans="1:8" ht="19.5" customHeight="1">
      <c r="A8" s="345"/>
      <c r="B8" s="346" t="s">
        <v>203</v>
      </c>
      <c r="C8" s="350"/>
      <c r="D8" s="351"/>
      <c r="E8" s="351"/>
      <c r="F8" s="351"/>
      <c r="G8" s="351"/>
      <c r="H8" s="352"/>
    </row>
    <row r="9" spans="1:8" ht="19.5" customHeight="1" thickBot="1">
      <c r="A9" s="245"/>
      <c r="B9" s="315" t="s">
        <v>188</v>
      </c>
      <c r="C9" s="347"/>
      <c r="D9" s="348"/>
      <c r="E9" s="348"/>
      <c r="F9" s="348"/>
      <c r="G9" s="348"/>
      <c r="H9" s="349"/>
    </row>
    <row r="10" spans="1:8" s="116" customFormat="1" ht="19.5" customHeight="1">
      <c r="A10" s="327"/>
      <c r="B10" s="328"/>
      <c r="C10" s="329" t="s">
        <v>30</v>
      </c>
      <c r="D10" s="329"/>
      <c r="E10" s="329"/>
      <c r="F10" s="329"/>
      <c r="G10" s="329"/>
      <c r="H10" s="330"/>
    </row>
    <row r="11" spans="1:8">
      <c r="A11" s="317" t="s">
        <v>11</v>
      </c>
      <c r="B11" s="318" t="s">
        <v>202</v>
      </c>
      <c r="C11" s="331">
        <v>1</v>
      </c>
      <c r="D11" s="319">
        <v>2</v>
      </c>
      <c r="E11" s="319">
        <v>3</v>
      </c>
      <c r="F11" s="319">
        <v>4</v>
      </c>
      <c r="G11" s="319">
        <v>5</v>
      </c>
      <c r="H11" s="320">
        <v>6</v>
      </c>
    </row>
    <row r="12" spans="1:8" ht="89.25">
      <c r="A12" s="321">
        <v>1</v>
      </c>
      <c r="B12" s="335" t="s">
        <v>191</v>
      </c>
      <c r="C12" s="372" t="str">
        <f>IF(COUNTIF(C13:C17,"YES")=5,"MET",IF(COUNTIF(C13:C17,"NO")&gt;=1,"NOT MET",""))</f>
        <v/>
      </c>
      <c r="D12" s="332" t="str">
        <f t="shared" ref="D12:H12" si="0">IF(COUNTIF(D13:D17,"YES")=5,"MET",IF(COUNTIF(D13:D17,"NO")&gt;=1,"NOT MET",""))</f>
        <v/>
      </c>
      <c r="E12" s="332" t="str">
        <f t="shared" si="0"/>
        <v/>
      </c>
      <c r="F12" s="332" t="str">
        <f t="shared" si="0"/>
        <v/>
      </c>
      <c r="G12" s="332" t="str">
        <f t="shared" si="0"/>
        <v/>
      </c>
      <c r="H12" s="373" t="str">
        <f t="shared" si="0"/>
        <v/>
      </c>
    </row>
    <row r="13" spans="1:8" ht="25.5">
      <c r="A13" s="316" t="s">
        <v>192</v>
      </c>
      <c r="B13" s="336" t="s">
        <v>197</v>
      </c>
      <c r="C13" s="333"/>
      <c r="D13" s="323"/>
      <c r="E13" s="323"/>
      <c r="F13" s="323"/>
      <c r="G13" s="323"/>
      <c r="H13" s="324"/>
    </row>
    <row r="14" spans="1:8" ht="38.25">
      <c r="A14" s="316" t="s">
        <v>195</v>
      </c>
      <c r="B14" s="336" t="s">
        <v>198</v>
      </c>
      <c r="C14" s="333"/>
      <c r="D14" s="323"/>
      <c r="E14" s="323"/>
      <c r="F14" s="323"/>
      <c r="G14" s="323"/>
      <c r="H14" s="324"/>
    </row>
    <row r="15" spans="1:8" ht="16.5">
      <c r="A15" s="316" t="s">
        <v>196</v>
      </c>
      <c r="B15" s="336" t="s">
        <v>199</v>
      </c>
      <c r="C15" s="333"/>
      <c r="D15" s="323"/>
      <c r="E15" s="323"/>
      <c r="F15" s="323"/>
      <c r="G15" s="323"/>
      <c r="H15" s="324"/>
    </row>
    <row r="16" spans="1:8" ht="63.75">
      <c r="A16" s="316" t="s">
        <v>193</v>
      </c>
      <c r="B16" s="336" t="s">
        <v>200</v>
      </c>
      <c r="C16" s="333"/>
      <c r="D16" s="323"/>
      <c r="E16" s="323"/>
      <c r="F16" s="323"/>
      <c r="G16" s="323"/>
      <c r="H16" s="324"/>
    </row>
    <row r="17" spans="1:8" ht="64.5" thickBot="1">
      <c r="A17" s="322" t="s">
        <v>194</v>
      </c>
      <c r="B17" s="337" t="s">
        <v>201</v>
      </c>
      <c r="C17" s="334"/>
      <c r="D17" s="325"/>
      <c r="E17" s="325"/>
      <c r="F17" s="325"/>
      <c r="G17" s="325"/>
      <c r="H17" s="326"/>
    </row>
    <row r="18" spans="1:8" ht="100.15" customHeight="1" thickBot="1">
      <c r="A18" s="338"/>
      <c r="B18" s="339" t="s">
        <v>152</v>
      </c>
      <c r="C18" s="493"/>
      <c r="D18" s="494"/>
      <c r="E18" s="494"/>
      <c r="F18" s="494"/>
      <c r="G18" s="494"/>
      <c r="H18" s="495"/>
    </row>
    <row r="19" spans="1:8" ht="20.100000000000001" customHeight="1">
      <c r="B19" s="76"/>
    </row>
  </sheetData>
  <sheetProtection sheet="1" objects="1" scenarios="1"/>
  <customSheetViews>
    <customSheetView guid="{2A3E70A9-51A3-4722-9775-16DBEA0F14B3}" showGridLines="0">
      <pane xSplit="2" ySplit="11" topLeftCell="C18" activePane="bottomRight" state="frozen"/>
      <selection pane="bottomRight" activeCell="F12" sqref="F12"/>
      <pageMargins left="0.2" right="0.2" top="0.3" bottom="0.35" header="0" footer="0"/>
      <printOptions horizontalCentered="1"/>
      <pageSetup scale="90" fitToWidth="2" orientation="landscape" r:id="rId1"/>
      <headerFooter alignWithMargins="0">
        <oddFooter>&amp;C&amp;P of &amp;N</oddFooter>
      </headerFooter>
    </customSheetView>
    <customSheetView guid="{A13B25D0-B104-46DD-B5CC-B628EEB53163}" showGridLines="0">
      <pane xSplit="2" ySplit="11" topLeftCell="C18" activePane="bottomRight" state="frozen"/>
      <selection pane="bottomRight" activeCell="F12" sqref="F12"/>
      <pageMargins left="0.2" right="0.2" top="0.3" bottom="0.35" header="0" footer="0"/>
      <printOptions horizontalCentered="1"/>
      <pageSetup scale="90" fitToWidth="2" orientation="landscape" r:id="rId2"/>
      <headerFooter alignWithMargins="0">
        <oddFooter>&amp;C&amp;P of &amp;N</oddFooter>
      </headerFooter>
    </customSheetView>
  </customSheetViews>
  <mergeCells count="2">
    <mergeCell ref="C1:H1"/>
    <mergeCell ref="C4:H4"/>
  </mergeCells>
  <conditionalFormatting sqref="C12:H12">
    <cfRule type="cellIs" dxfId="282" priority="1" operator="equal">
      <formula>"NOT MET"</formula>
    </cfRule>
    <cfRule type="cellIs" dxfId="281" priority="2" operator="equal">
      <formula>"MET"</formula>
    </cfRule>
  </conditionalFormatting>
  <dataValidations count="2">
    <dataValidation type="list" allowBlank="1" showInputMessage="1" showErrorMessage="1" sqref="C13:H17" xr:uid="{00000000-0002-0000-0900-000000000000}">
      <formula1>"YES, NO"</formula1>
    </dataValidation>
    <dataValidation type="list" allowBlank="1" showInputMessage="1" showErrorMessage="1" sqref="C7:H7" xr:uid="{00000000-0002-0000-0900-000001000000}">
      <formula1>"ADSN, CDSN"</formula1>
    </dataValidation>
  </dataValidations>
  <printOptions horizontalCentered="1"/>
  <pageMargins left="0.2" right="0.2" top="0.3" bottom="0.35" header="0" footer="0"/>
  <pageSetup scale="90" fitToWidth="2" orientation="landscape" r:id="rId3"/>
  <headerFooter alignWithMargins="0">
    <oddFooter>&amp;C&amp;P of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46</vt:i4>
      </vt:variant>
    </vt:vector>
  </HeadingPairs>
  <TitlesOfParts>
    <vt:vector size="81" baseType="lpstr">
      <vt:lpstr>Reviewers</vt:lpstr>
      <vt:lpstr>Data Validation</vt:lpstr>
      <vt:lpstr>Instructions</vt:lpstr>
      <vt:lpstr>Guidelines</vt:lpstr>
      <vt:lpstr>Workbook Set-up</vt:lpstr>
      <vt:lpstr>County List</vt:lpstr>
      <vt:lpstr>Support Employ Initial Eligibil</vt:lpstr>
      <vt:lpstr>Support Employ Initial</vt:lpstr>
      <vt:lpstr>Support Employ Cont Eligibilit</vt:lpstr>
      <vt:lpstr>Support Employ Continuation</vt:lpstr>
      <vt:lpstr>LTVS Initial Elig</vt:lpstr>
      <vt:lpstr>LTVS Initial</vt:lpstr>
      <vt:lpstr>LTVS Continuation Elig</vt:lpstr>
      <vt:lpstr>LTVS Continuation</vt:lpstr>
      <vt:lpstr>Dev Day Initial Eligibil</vt:lpstr>
      <vt:lpstr>Dev Day Initial</vt:lpstr>
      <vt:lpstr>Dev Day Cont Eligibilit</vt:lpstr>
      <vt:lpstr>Dev Day Continuation</vt:lpstr>
      <vt:lpstr>Day Activity Initial Eligibi</vt:lpstr>
      <vt:lpstr>Day Activity Initial</vt:lpstr>
      <vt:lpstr>Day Activity Cont Eligibilit</vt:lpstr>
      <vt:lpstr>Day Activity Continuation</vt:lpstr>
      <vt:lpstr>Day Supports Initial Eligibil</vt:lpstr>
      <vt:lpstr>Day Supports Initial</vt:lpstr>
      <vt:lpstr>Day Supports Continuation Eli</vt:lpstr>
      <vt:lpstr>Day Supports Continuation)</vt:lpstr>
      <vt:lpstr>CAET Initial Eligibil</vt:lpstr>
      <vt:lpstr>CAET Initial</vt:lpstr>
      <vt:lpstr>CAET Continuation Eli</vt:lpstr>
      <vt:lpstr>CAET Continuation</vt:lpstr>
      <vt:lpstr>POC Summary</vt:lpstr>
      <vt:lpstr>OVERALL SUMMARY</vt:lpstr>
      <vt:lpstr>Data Extraction (1)</vt:lpstr>
      <vt:lpstr>Data Extraction (2)</vt:lpstr>
      <vt:lpstr>County</vt:lpstr>
      <vt:lpstr>County</vt:lpstr>
      <vt:lpstr>LME_MCO</vt:lpstr>
      <vt:lpstr>'CAET Continuation'!Print_Area</vt:lpstr>
      <vt:lpstr>'CAET Initial'!Print_Area</vt:lpstr>
      <vt:lpstr>'Day Activity Continuation'!Print_Area</vt:lpstr>
      <vt:lpstr>'Day Activity Initial'!Print_Area</vt:lpstr>
      <vt:lpstr>'Day Supports Continuation)'!Print_Area</vt:lpstr>
      <vt:lpstr>'Day Supports Initial'!Print_Area</vt:lpstr>
      <vt:lpstr>'Dev Day Continuation'!Print_Area</vt:lpstr>
      <vt:lpstr>'Dev Day Initial'!Print_Area</vt:lpstr>
      <vt:lpstr>Instructions!Print_Area</vt:lpstr>
      <vt:lpstr>'LTVS Continuation'!Print_Area</vt:lpstr>
      <vt:lpstr>'LTVS Initial'!Print_Area</vt:lpstr>
      <vt:lpstr>'OVERALL SUMMARY'!Print_Area</vt:lpstr>
      <vt:lpstr>'Support Employ Continuation'!Print_Area</vt:lpstr>
      <vt:lpstr>'Support Employ Initial'!Print_Area</vt:lpstr>
      <vt:lpstr>'Workbook Set-up'!Print_Area</vt:lpstr>
      <vt:lpstr>'CAET Continuation'!Print_Titles</vt:lpstr>
      <vt:lpstr>'CAET Continuation Eli'!Print_Titles</vt:lpstr>
      <vt:lpstr>'CAET Initial'!Print_Titles</vt:lpstr>
      <vt:lpstr>'CAET Initial Eligibil'!Print_Titles</vt:lpstr>
      <vt:lpstr>'Data Extraction (1)'!Print_Titles</vt:lpstr>
      <vt:lpstr>'Data Extraction (2)'!Print_Titles</vt:lpstr>
      <vt:lpstr>'Day Activity Cont Eligibilit'!Print_Titles</vt:lpstr>
      <vt:lpstr>'Day Activity Continuation'!Print_Titles</vt:lpstr>
      <vt:lpstr>'Day Activity Initial'!Print_Titles</vt:lpstr>
      <vt:lpstr>'Day Activity Initial Eligibi'!Print_Titles</vt:lpstr>
      <vt:lpstr>'Day Supports Continuation Eli'!Print_Titles</vt:lpstr>
      <vt:lpstr>'Day Supports Continuation)'!Print_Titles</vt:lpstr>
      <vt:lpstr>'Day Supports Initial'!Print_Titles</vt:lpstr>
      <vt:lpstr>'Day Supports Initial Eligibil'!Print_Titles</vt:lpstr>
      <vt:lpstr>'Dev Day Cont Eligibilit'!Print_Titles</vt:lpstr>
      <vt:lpstr>'Dev Day Continuation'!Print_Titles</vt:lpstr>
      <vt:lpstr>'Dev Day Initial'!Print_Titles</vt:lpstr>
      <vt:lpstr>'Dev Day Initial Eligibil'!Print_Titles</vt:lpstr>
      <vt:lpstr>'LTVS Continuation'!Print_Titles</vt:lpstr>
      <vt:lpstr>'LTVS Continuation Elig'!Print_Titles</vt:lpstr>
      <vt:lpstr>'LTVS Initial'!Print_Titles</vt:lpstr>
      <vt:lpstr>'LTVS Initial Elig'!Print_Titles</vt:lpstr>
      <vt:lpstr>'OVERALL SUMMARY'!Print_Titles</vt:lpstr>
      <vt:lpstr>'POC Summary'!Print_Titles</vt:lpstr>
      <vt:lpstr>'Support Employ Cont Eligibilit'!Print_Titles</vt:lpstr>
      <vt:lpstr>'Support Employ Continuation'!Print_Titles</vt:lpstr>
      <vt:lpstr>'Support Employ Initial'!Print_Titles</vt:lpstr>
      <vt:lpstr>'Support Employ Initial Eligibil'!Print_Titles</vt:lpstr>
      <vt:lpstr>'Workbook Set-up'!Print_Titles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Flood, Barbara</cp:lastModifiedBy>
  <cp:lastPrinted>2018-04-18T17:13:05Z</cp:lastPrinted>
  <dcterms:created xsi:type="dcterms:W3CDTF">2013-02-17T18:06:16Z</dcterms:created>
  <dcterms:modified xsi:type="dcterms:W3CDTF">2019-06-12T13:27:43Z</dcterms:modified>
</cp:coreProperties>
</file>