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H:\MCO Communication Bulletins\"/>
    </mc:Choice>
  </mc:AlternateContent>
  <bookViews>
    <workbookView xWindow="0" yWindow="0" windowWidth="19200" windowHeight="7536"/>
  </bookViews>
  <sheets>
    <sheet name="Instructions" sheetId="4" r:id="rId1"/>
    <sheet name="Page 1" sheetId="7" r:id="rId2"/>
    <sheet name="Page 2" sheetId="6" r:id="rId3"/>
    <sheet name="Page 3" sheetId="10" r:id="rId4"/>
    <sheet name="Data Validation and Lookup" sheetId="8" r:id="rId5"/>
    <sheet name="Data Extraction" sheetId="12" r:id="rId6"/>
  </sheets>
  <definedNames>
    <definedName name="_xlnm._FilterDatabase" localSheetId="5" hidden="1">'Data Extraction'!$A$4:$R$85</definedName>
    <definedName name="_xlnm._FilterDatabase" localSheetId="4" hidden="1">'Data Validation and Lookup'!$I$5:$J$107</definedName>
    <definedName name="_xlnm._FilterDatabase" localSheetId="3" hidden="1">'Page 3'!$A$6:$B$33</definedName>
    <definedName name="Counties">'Data Validation and Lookup'!$I$6:$J$107</definedName>
    <definedName name="County_Lookup">'Data Validation and Lookup'!$L$6:$AL$12</definedName>
    <definedName name="LME_MCO">'Data Validation and Lookup'!$A$10:$A$16</definedName>
    <definedName name="Population">'Data Validation and Lookup'!$A$10:$C$16</definedName>
    <definedName name="_xlnm.Print_Area" localSheetId="0">Instructions!$A$1:$D$55</definedName>
    <definedName name="_xlnm.Print_Area" localSheetId="1">'Page 1'!$A$1:$E$48</definedName>
    <definedName name="_xlnm.Print_Area" localSheetId="2">'Page 2'!$A$1:$F$36</definedName>
    <definedName name="_xlnm.Print_Area" localSheetId="3">'Page 3'!$A$2:$AB$41</definedName>
    <definedName name="_xlnm.Print_Titles" localSheetId="5">'Data Extraction'!$1:$3</definedName>
    <definedName name="_xlnm.Print_Titles" localSheetId="3">'Page 3'!$2:$6</definedName>
    <definedName name="SFY">'Data Validation and Lookup'!$A$19:$A$25</definedName>
  </definedNames>
  <calcPr calcId="152511"/>
</workbook>
</file>

<file path=xl/calcChain.xml><?xml version="1.0" encoding="utf-8"?>
<calcChain xmlns="http://schemas.openxmlformats.org/spreadsheetml/2006/main">
  <c r="C2" i="12" l="1"/>
  <c r="E84" i="12" s="1"/>
  <c r="E19" i="12" l="1"/>
  <c r="E25" i="12"/>
  <c r="E36" i="12"/>
  <c r="E9" i="12"/>
  <c r="E52" i="12"/>
  <c r="E69" i="12"/>
  <c r="E12" i="12"/>
  <c r="E42" i="12"/>
  <c r="E59" i="12"/>
  <c r="E75" i="12"/>
  <c r="E5" i="12"/>
  <c r="E13" i="12"/>
  <c r="E27" i="12"/>
  <c r="E44" i="12"/>
  <c r="E61" i="12"/>
  <c r="E77" i="12"/>
  <c r="E8" i="12"/>
  <c r="E17" i="12"/>
  <c r="E34" i="12"/>
  <c r="E50" i="12"/>
  <c r="E67" i="12"/>
  <c r="E83" i="12"/>
  <c r="E6" i="12"/>
  <c r="E10" i="12"/>
  <c r="E14" i="12"/>
  <c r="E21" i="12"/>
  <c r="E29" i="12"/>
  <c r="E38" i="12"/>
  <c r="E46" i="12"/>
  <c r="E54" i="12"/>
  <c r="E63" i="12"/>
  <c r="E71" i="12"/>
  <c r="E79" i="12"/>
  <c r="E7" i="12"/>
  <c r="E11" i="12"/>
  <c r="E15" i="12"/>
  <c r="E23" i="12"/>
  <c r="E32" i="12"/>
  <c r="E40" i="12"/>
  <c r="E48" i="12"/>
  <c r="E56" i="12"/>
  <c r="E65" i="12"/>
  <c r="E73" i="12"/>
  <c r="E81" i="12"/>
  <c r="E16" i="12"/>
  <c r="E20" i="12"/>
  <c r="E24" i="12"/>
  <c r="E28" i="12"/>
  <c r="E33" i="12"/>
  <c r="E37" i="12"/>
  <c r="E41" i="12"/>
  <c r="E45" i="12"/>
  <c r="E49" i="12"/>
  <c r="E53" i="12"/>
  <c r="E57" i="12"/>
  <c r="E62" i="12"/>
  <c r="E66" i="12"/>
  <c r="E70" i="12"/>
  <c r="E74" i="12"/>
  <c r="E78" i="12"/>
  <c r="E82" i="12"/>
  <c r="E18" i="12"/>
  <c r="E22" i="12"/>
  <c r="E26" i="12"/>
  <c r="E30" i="12"/>
  <c r="E35" i="12"/>
  <c r="E39" i="12"/>
  <c r="E43" i="12"/>
  <c r="E47" i="12"/>
  <c r="E51" i="12"/>
  <c r="E55" i="12"/>
  <c r="E60" i="12"/>
  <c r="E64" i="12"/>
  <c r="E68" i="12"/>
  <c r="E72" i="12"/>
  <c r="E76" i="12"/>
  <c r="E80" i="12"/>
  <c r="J4" i="8"/>
  <c r="H3" i="10" l="1"/>
  <c r="D30" i="7"/>
  <c r="C85" i="12" l="1"/>
  <c r="B85" i="12"/>
  <c r="A85" i="12"/>
  <c r="C84" i="12"/>
  <c r="B84" i="12"/>
  <c r="A84" i="12"/>
  <c r="C83" i="12"/>
  <c r="B83" i="12"/>
  <c r="A83" i="12"/>
  <c r="C82" i="12"/>
  <c r="B82" i="12"/>
  <c r="A82" i="12"/>
  <c r="C81" i="12"/>
  <c r="B81" i="12"/>
  <c r="A81" i="12"/>
  <c r="C80" i="12"/>
  <c r="B80" i="12"/>
  <c r="A80" i="12"/>
  <c r="C79" i="12"/>
  <c r="B79" i="12"/>
  <c r="A79" i="12"/>
  <c r="C78" i="12"/>
  <c r="B78" i="12"/>
  <c r="A78" i="12"/>
  <c r="C77" i="12"/>
  <c r="B77" i="12"/>
  <c r="A77" i="12"/>
  <c r="C76" i="12"/>
  <c r="B76" i="12"/>
  <c r="A76" i="12"/>
  <c r="C75" i="12"/>
  <c r="B75" i="12"/>
  <c r="A75" i="12"/>
  <c r="C74" i="12"/>
  <c r="B74" i="12"/>
  <c r="A74" i="12"/>
  <c r="C73" i="12"/>
  <c r="B73" i="12"/>
  <c r="A73" i="12"/>
  <c r="C72" i="12"/>
  <c r="B72" i="12"/>
  <c r="A72" i="12"/>
  <c r="C71" i="12"/>
  <c r="B71" i="12"/>
  <c r="A71" i="12"/>
  <c r="C70" i="12"/>
  <c r="B70" i="12"/>
  <c r="A70" i="12"/>
  <c r="C69" i="12"/>
  <c r="B69" i="12"/>
  <c r="A69" i="12"/>
  <c r="C68" i="12"/>
  <c r="B68" i="12"/>
  <c r="A68" i="12"/>
  <c r="C67" i="12"/>
  <c r="B67" i="12"/>
  <c r="A67" i="12"/>
  <c r="C66" i="12"/>
  <c r="B66" i="12"/>
  <c r="A66" i="12"/>
  <c r="C65" i="12"/>
  <c r="B65" i="12"/>
  <c r="A65" i="12"/>
  <c r="C64" i="12"/>
  <c r="B64" i="12"/>
  <c r="A64" i="12"/>
  <c r="C63" i="12"/>
  <c r="B63" i="12"/>
  <c r="A63" i="12"/>
  <c r="C62" i="12"/>
  <c r="B62" i="12"/>
  <c r="A62" i="12"/>
  <c r="C61" i="12"/>
  <c r="B61" i="12"/>
  <c r="A61" i="12"/>
  <c r="C60" i="12"/>
  <c r="B60" i="12"/>
  <c r="A60" i="12"/>
  <c r="C59" i="12"/>
  <c r="B59" i="12"/>
  <c r="A59" i="12"/>
  <c r="C58" i="12" l="1"/>
  <c r="B58" i="12"/>
  <c r="A58" i="12"/>
  <c r="C57" i="12"/>
  <c r="B57" i="12"/>
  <c r="A57" i="12"/>
  <c r="C56" i="12"/>
  <c r="B56" i="12"/>
  <c r="A56" i="12"/>
  <c r="C55" i="12"/>
  <c r="B55" i="12"/>
  <c r="A55" i="12"/>
  <c r="C54" i="12"/>
  <c r="B54" i="12"/>
  <c r="A54" i="12"/>
  <c r="C53" i="12"/>
  <c r="B53" i="12"/>
  <c r="A53" i="12"/>
  <c r="C52" i="12"/>
  <c r="B52" i="12"/>
  <c r="A52" i="12"/>
  <c r="C51" i="12"/>
  <c r="B51" i="12"/>
  <c r="A51" i="12"/>
  <c r="C50" i="12"/>
  <c r="B50" i="12"/>
  <c r="A50" i="12"/>
  <c r="C49" i="12"/>
  <c r="B49" i="12"/>
  <c r="A49" i="12"/>
  <c r="C48" i="12"/>
  <c r="B48" i="12"/>
  <c r="A48" i="12"/>
  <c r="C47" i="12"/>
  <c r="B47" i="12"/>
  <c r="A47" i="12"/>
  <c r="C46" i="12"/>
  <c r="B46" i="12"/>
  <c r="A46" i="12"/>
  <c r="C45" i="12"/>
  <c r="B45" i="12"/>
  <c r="A45" i="12"/>
  <c r="C44" i="12"/>
  <c r="B44" i="12"/>
  <c r="A44" i="12"/>
  <c r="C43" i="12"/>
  <c r="B43" i="12"/>
  <c r="A43" i="12"/>
  <c r="C42" i="12"/>
  <c r="B42" i="12"/>
  <c r="A42" i="12"/>
  <c r="C41" i="12"/>
  <c r="B41" i="12"/>
  <c r="A41" i="12"/>
  <c r="C40" i="12"/>
  <c r="B40" i="12"/>
  <c r="A40" i="12"/>
  <c r="C39" i="12"/>
  <c r="B39" i="12"/>
  <c r="A39" i="12"/>
  <c r="C38" i="12"/>
  <c r="B38" i="12"/>
  <c r="A38" i="12"/>
  <c r="C37" i="12"/>
  <c r="B37" i="12"/>
  <c r="A37" i="12"/>
  <c r="C36" i="12"/>
  <c r="B36" i="12"/>
  <c r="A36" i="12"/>
  <c r="C35" i="12"/>
  <c r="B35" i="12"/>
  <c r="A35" i="12"/>
  <c r="C34" i="12"/>
  <c r="B34" i="12"/>
  <c r="A34" i="12"/>
  <c r="C33" i="12"/>
  <c r="B33" i="12"/>
  <c r="A33" i="12"/>
  <c r="C32" i="12"/>
  <c r="B32" i="12"/>
  <c r="A32" i="12"/>
  <c r="C31" i="12" l="1"/>
  <c r="B31" i="12"/>
  <c r="A31" i="12"/>
  <c r="C30" i="12"/>
  <c r="B30" i="12"/>
  <c r="A30" i="12"/>
  <c r="C29" i="12"/>
  <c r="B29" i="12"/>
  <c r="A29" i="12"/>
  <c r="C28" i="12"/>
  <c r="B28" i="12"/>
  <c r="A28" i="12"/>
  <c r="C27" i="12"/>
  <c r="B27" i="12"/>
  <c r="A27" i="12"/>
  <c r="C26" i="12"/>
  <c r="B26" i="12"/>
  <c r="A26" i="12"/>
  <c r="C25" i="12"/>
  <c r="B25" i="12"/>
  <c r="A25" i="12"/>
  <c r="C24" i="12"/>
  <c r="B24" i="12"/>
  <c r="A24" i="12"/>
  <c r="C23" i="12"/>
  <c r="B23" i="12"/>
  <c r="A23" i="12"/>
  <c r="C22" i="12"/>
  <c r="B22" i="12"/>
  <c r="A22" i="12"/>
  <c r="C21" i="12"/>
  <c r="B21" i="12"/>
  <c r="A21" i="12"/>
  <c r="C20" i="12"/>
  <c r="B20" i="12"/>
  <c r="A20" i="12"/>
  <c r="C19" i="12"/>
  <c r="B19" i="12"/>
  <c r="A19" i="12"/>
  <c r="C18" i="12"/>
  <c r="B18" i="12"/>
  <c r="A18" i="12"/>
  <c r="C17" i="12"/>
  <c r="B17" i="12"/>
  <c r="A17" i="12"/>
  <c r="C16" i="12"/>
  <c r="B16" i="12"/>
  <c r="A16" i="12"/>
  <c r="C15" i="12"/>
  <c r="B15" i="12"/>
  <c r="A15" i="12"/>
  <c r="C14" i="12"/>
  <c r="B14" i="12"/>
  <c r="A14" i="12"/>
  <c r="C13" i="12"/>
  <c r="B13" i="12"/>
  <c r="A13" i="12"/>
  <c r="C12" i="12"/>
  <c r="B12" i="12"/>
  <c r="A12" i="12"/>
  <c r="C11" i="12"/>
  <c r="B11" i="12"/>
  <c r="A11" i="12"/>
  <c r="C10" i="12"/>
  <c r="B10" i="12"/>
  <c r="A10" i="12"/>
  <c r="C9" i="12"/>
  <c r="B9" i="12"/>
  <c r="A9" i="12"/>
  <c r="C8" i="12"/>
  <c r="B8" i="12"/>
  <c r="A8" i="12"/>
  <c r="C7" i="12"/>
  <c r="B7" i="12"/>
  <c r="A7" i="12"/>
  <c r="C6" i="12"/>
  <c r="B6" i="12"/>
  <c r="A6" i="12"/>
  <c r="C5" i="12" l="1"/>
  <c r="B5" i="12"/>
  <c r="A5" i="12"/>
  <c r="X36" i="10" l="1"/>
  <c r="W36" i="10"/>
  <c r="L36" i="10"/>
  <c r="K36" i="10"/>
  <c r="C30" i="7" l="1"/>
  <c r="B30" i="7"/>
  <c r="T33" i="10"/>
  <c r="C28" i="7" s="1"/>
  <c r="S33" i="10"/>
  <c r="R33" i="10"/>
  <c r="C25" i="7" s="1"/>
  <c r="Q33" i="10"/>
  <c r="P33" i="10"/>
  <c r="C22" i="7" s="1"/>
  <c r="O33" i="10"/>
  <c r="C21" i="7" s="1"/>
  <c r="N33" i="10"/>
  <c r="C20" i="7" s="1"/>
  <c r="C23" i="7" s="1"/>
  <c r="H33" i="10"/>
  <c r="B28" i="7" s="1"/>
  <c r="G33" i="10"/>
  <c r="F33" i="10"/>
  <c r="B25" i="7" s="1"/>
  <c r="E33" i="10"/>
  <c r="D33" i="10"/>
  <c r="B22" i="7" s="1"/>
  <c r="C33" i="10"/>
  <c r="B21" i="7" s="1"/>
  <c r="B33" i="10"/>
  <c r="B20" i="7" s="1"/>
  <c r="Y32" i="10"/>
  <c r="X32" i="10"/>
  <c r="W32" i="10"/>
  <c r="V32" i="10"/>
  <c r="Y31" i="10"/>
  <c r="X31" i="10"/>
  <c r="W31" i="10"/>
  <c r="V31" i="10"/>
  <c r="Y30" i="10"/>
  <c r="X30" i="10"/>
  <c r="W30" i="10"/>
  <c r="V30" i="10"/>
  <c r="Y29" i="10"/>
  <c r="X29" i="10"/>
  <c r="W29" i="10"/>
  <c r="V29" i="10"/>
  <c r="Y28" i="10"/>
  <c r="X28" i="10"/>
  <c r="W28" i="10"/>
  <c r="V28" i="10"/>
  <c r="Y27" i="10"/>
  <c r="X27" i="10"/>
  <c r="W27" i="10"/>
  <c r="V27" i="10"/>
  <c r="Y26" i="10"/>
  <c r="X26" i="10"/>
  <c r="W26" i="10"/>
  <c r="V26" i="10"/>
  <c r="Y25" i="10"/>
  <c r="X25" i="10"/>
  <c r="W25" i="10"/>
  <c r="V25" i="10"/>
  <c r="Y24" i="10"/>
  <c r="X24" i="10"/>
  <c r="W24" i="10"/>
  <c r="V24" i="10"/>
  <c r="Y23" i="10"/>
  <c r="X23" i="10"/>
  <c r="W23" i="10"/>
  <c r="V23" i="10"/>
  <c r="Y22" i="10"/>
  <c r="X22" i="10"/>
  <c r="W22" i="10"/>
  <c r="V22" i="10"/>
  <c r="Y21" i="10"/>
  <c r="X21" i="10"/>
  <c r="W21" i="10"/>
  <c r="V21" i="10"/>
  <c r="Y20" i="10"/>
  <c r="X20" i="10"/>
  <c r="W20" i="10"/>
  <c r="V20" i="10"/>
  <c r="Y19" i="10"/>
  <c r="X19" i="10"/>
  <c r="W19" i="10"/>
  <c r="V19" i="10"/>
  <c r="Y18" i="10"/>
  <c r="X18" i="10"/>
  <c r="W18" i="10"/>
  <c r="V18" i="10"/>
  <c r="Y17" i="10"/>
  <c r="X17" i="10"/>
  <c r="W17" i="10"/>
  <c r="V17" i="10"/>
  <c r="Y16" i="10"/>
  <c r="X16" i="10"/>
  <c r="W16" i="10"/>
  <c r="V16" i="10"/>
  <c r="Y15" i="10"/>
  <c r="X15" i="10"/>
  <c r="W15" i="10"/>
  <c r="V15" i="10"/>
  <c r="Y14" i="10"/>
  <c r="X14" i="10"/>
  <c r="W14" i="10"/>
  <c r="V14" i="10"/>
  <c r="Y13" i="10"/>
  <c r="X13" i="10"/>
  <c r="W13" i="10"/>
  <c r="V13" i="10"/>
  <c r="Y12" i="10"/>
  <c r="X12" i="10"/>
  <c r="W12" i="10"/>
  <c r="V12" i="10"/>
  <c r="Y11" i="10"/>
  <c r="X11" i="10"/>
  <c r="W11" i="10"/>
  <c r="V11" i="10"/>
  <c r="Y10" i="10"/>
  <c r="X10" i="10"/>
  <c r="W10" i="10"/>
  <c r="V10" i="10"/>
  <c r="Y9" i="10"/>
  <c r="X9" i="10"/>
  <c r="W9" i="10"/>
  <c r="V9" i="10"/>
  <c r="Y8" i="10"/>
  <c r="X8" i="10"/>
  <c r="W8" i="10"/>
  <c r="V8" i="10"/>
  <c r="Y7" i="10"/>
  <c r="Y33" i="10" s="1"/>
  <c r="X7" i="10"/>
  <c r="W7" i="10"/>
  <c r="W35" i="10" s="1"/>
  <c r="V7" i="10"/>
  <c r="M32" i="10"/>
  <c r="M31" i="10"/>
  <c r="M30" i="10"/>
  <c r="M29" i="10"/>
  <c r="M28" i="10"/>
  <c r="M27" i="10"/>
  <c r="M26" i="10"/>
  <c r="M25" i="10"/>
  <c r="M24" i="10"/>
  <c r="M23" i="10"/>
  <c r="M22" i="10"/>
  <c r="M21" i="10"/>
  <c r="M20" i="10"/>
  <c r="M19" i="10"/>
  <c r="M18" i="10"/>
  <c r="M17" i="10"/>
  <c r="M16" i="10"/>
  <c r="M15" i="10"/>
  <c r="M14" i="10"/>
  <c r="M13" i="10"/>
  <c r="M12" i="10"/>
  <c r="M11" i="10"/>
  <c r="M10" i="10"/>
  <c r="M9" i="10"/>
  <c r="M8" i="10"/>
  <c r="M7" i="10"/>
  <c r="L32" i="10"/>
  <c r="L31" i="10"/>
  <c r="L30" i="10"/>
  <c r="L29" i="10"/>
  <c r="L28" i="10"/>
  <c r="L27" i="10"/>
  <c r="L26" i="10"/>
  <c r="L25" i="10"/>
  <c r="L24" i="10"/>
  <c r="L23" i="10"/>
  <c r="L22" i="10"/>
  <c r="L21" i="10"/>
  <c r="L20" i="10"/>
  <c r="L19" i="10"/>
  <c r="L18" i="10"/>
  <c r="L17" i="10"/>
  <c r="L16" i="10"/>
  <c r="L15" i="10"/>
  <c r="L14" i="10"/>
  <c r="L13" i="10"/>
  <c r="L12" i="10"/>
  <c r="L11" i="10"/>
  <c r="L10" i="10"/>
  <c r="L9" i="10"/>
  <c r="L8" i="10"/>
  <c r="L7" i="10"/>
  <c r="K32" i="10"/>
  <c r="K31" i="10"/>
  <c r="K30" i="10"/>
  <c r="K29" i="10"/>
  <c r="K28" i="10"/>
  <c r="K27" i="10"/>
  <c r="K26" i="10"/>
  <c r="K25" i="10"/>
  <c r="K24" i="10"/>
  <c r="K23" i="10"/>
  <c r="K22" i="10"/>
  <c r="K21" i="10"/>
  <c r="K20" i="10"/>
  <c r="K19" i="10"/>
  <c r="K18" i="10"/>
  <c r="K17" i="10"/>
  <c r="K16" i="10"/>
  <c r="K15" i="10"/>
  <c r="K14" i="10"/>
  <c r="K13" i="10"/>
  <c r="K12" i="10"/>
  <c r="K11" i="10"/>
  <c r="K10" i="10"/>
  <c r="K9" i="10"/>
  <c r="K8" i="10"/>
  <c r="K7" i="10"/>
  <c r="J32" i="10"/>
  <c r="J31" i="10"/>
  <c r="J30" i="10"/>
  <c r="J29" i="10"/>
  <c r="J28" i="10"/>
  <c r="J27" i="10"/>
  <c r="J26" i="10"/>
  <c r="J25" i="10"/>
  <c r="J24" i="10"/>
  <c r="J23" i="10"/>
  <c r="J22" i="10"/>
  <c r="J21" i="10"/>
  <c r="J20" i="10"/>
  <c r="J19" i="10"/>
  <c r="J18" i="10"/>
  <c r="J17" i="10"/>
  <c r="J16" i="10"/>
  <c r="J15" i="10"/>
  <c r="J14" i="10"/>
  <c r="J13" i="10"/>
  <c r="J12" i="10"/>
  <c r="J11" i="10"/>
  <c r="J10" i="10"/>
  <c r="J9" i="10"/>
  <c r="J8" i="10"/>
  <c r="J7" i="10"/>
  <c r="B3" i="10"/>
  <c r="A7" i="10" s="1"/>
  <c r="A31" i="10" l="1"/>
  <c r="A27" i="10"/>
  <c r="A23" i="10"/>
  <c r="A19" i="10"/>
  <c r="A15" i="10"/>
  <c r="A11" i="10"/>
  <c r="A30" i="10"/>
  <c r="A26" i="10"/>
  <c r="A18" i="10"/>
  <c r="A14" i="10"/>
  <c r="A10" i="10"/>
  <c r="A29" i="10"/>
  <c r="A25" i="10"/>
  <c r="A21" i="10"/>
  <c r="A17" i="10"/>
  <c r="A13" i="10"/>
  <c r="A9" i="10"/>
  <c r="A32" i="10"/>
  <c r="A28" i="10"/>
  <c r="A24" i="10"/>
  <c r="A20" i="10"/>
  <c r="A16" i="10"/>
  <c r="A12" i="10"/>
  <c r="A22" i="10"/>
  <c r="A8" i="10"/>
  <c r="X35" i="10"/>
  <c r="B23" i="7"/>
  <c r="L33" i="10"/>
  <c r="B27" i="7"/>
  <c r="B29" i="7" s="1"/>
  <c r="K35" i="10"/>
  <c r="V35" i="10"/>
  <c r="V36" i="10" s="1"/>
  <c r="X33" i="10"/>
  <c r="C27" i="7"/>
  <c r="C29" i="7" s="1"/>
  <c r="D28" i="7"/>
  <c r="W33" i="10"/>
  <c r="C24" i="7"/>
  <c r="C26" i="7" s="1"/>
  <c r="K33" i="10"/>
  <c r="B24" i="7"/>
  <c r="B26" i="7" s="1"/>
  <c r="L35" i="10"/>
  <c r="V33" i="10"/>
  <c r="J33" i="10"/>
  <c r="M33" i="10"/>
  <c r="E18" i="7"/>
  <c r="M85" i="12" l="1"/>
  <c r="M84" i="12"/>
  <c r="M80" i="12"/>
  <c r="M76" i="12"/>
  <c r="M72" i="12"/>
  <c r="M68" i="12"/>
  <c r="M64" i="12"/>
  <c r="M60" i="12"/>
  <c r="M55" i="12"/>
  <c r="M51" i="12"/>
  <c r="M47" i="12"/>
  <c r="M43" i="12"/>
  <c r="M39" i="12"/>
  <c r="M35" i="12"/>
  <c r="L56" i="12"/>
  <c r="L52" i="12"/>
  <c r="L48" i="12"/>
  <c r="L44" i="12"/>
  <c r="M83" i="12"/>
  <c r="M79" i="12"/>
  <c r="M75" i="12"/>
  <c r="M71" i="12"/>
  <c r="M67" i="12"/>
  <c r="M63" i="12"/>
  <c r="M59" i="12"/>
  <c r="M54" i="12"/>
  <c r="M50" i="12"/>
  <c r="M46" i="12"/>
  <c r="M42" i="12"/>
  <c r="M38" i="12"/>
  <c r="M34" i="12"/>
  <c r="M81" i="12"/>
  <c r="M77" i="12"/>
  <c r="M73" i="12"/>
  <c r="M69" i="12"/>
  <c r="M65" i="12"/>
  <c r="M61" i="12"/>
  <c r="M56" i="12"/>
  <c r="M52" i="12"/>
  <c r="M48" i="12"/>
  <c r="M44" i="12"/>
  <c r="M40" i="12"/>
  <c r="M36" i="12"/>
  <c r="M32" i="12"/>
  <c r="L57" i="12"/>
  <c r="L53" i="12"/>
  <c r="L49" i="12"/>
  <c r="L45" i="12"/>
  <c r="L41" i="12"/>
  <c r="L37" i="12"/>
  <c r="L33" i="12"/>
  <c r="M78" i="12"/>
  <c r="M62" i="12"/>
  <c r="M57" i="12"/>
  <c r="M41" i="12"/>
  <c r="L54" i="12"/>
  <c r="L46" i="12"/>
  <c r="L39" i="12"/>
  <c r="L34" i="12"/>
  <c r="K57" i="12"/>
  <c r="P57" i="12" s="1"/>
  <c r="K53" i="12"/>
  <c r="P53" i="12" s="1"/>
  <c r="K49" i="12"/>
  <c r="P49" i="12" s="1"/>
  <c r="K45" i="12"/>
  <c r="P45" i="12" s="1"/>
  <c r="K41" i="12"/>
  <c r="P41" i="12" s="1"/>
  <c r="K37" i="12"/>
  <c r="P37" i="12" s="1"/>
  <c r="K33" i="12"/>
  <c r="P33" i="12" s="1"/>
  <c r="J54" i="12"/>
  <c r="J50" i="12"/>
  <c r="J46" i="12"/>
  <c r="J42" i="12"/>
  <c r="J38" i="12"/>
  <c r="J34" i="12"/>
  <c r="M74" i="12"/>
  <c r="M58" i="12"/>
  <c r="M53" i="12"/>
  <c r="M37" i="12"/>
  <c r="L51" i="12"/>
  <c r="L43" i="12"/>
  <c r="L38" i="12"/>
  <c r="L32" i="12"/>
  <c r="K56" i="12"/>
  <c r="P56" i="12" s="1"/>
  <c r="K52" i="12"/>
  <c r="P52" i="12" s="1"/>
  <c r="K48" i="12"/>
  <c r="P48" i="12" s="1"/>
  <c r="K44" i="12"/>
  <c r="P44" i="12" s="1"/>
  <c r="K40" i="12"/>
  <c r="P40" i="12" s="1"/>
  <c r="K36" i="12"/>
  <c r="P36" i="12" s="1"/>
  <c r="K32" i="12"/>
  <c r="M70" i="12"/>
  <c r="M49" i="12"/>
  <c r="M33" i="12"/>
  <c r="L50" i="12"/>
  <c r="L42" i="12"/>
  <c r="L36" i="12"/>
  <c r="K55" i="12"/>
  <c r="P55" i="12" s="1"/>
  <c r="K51" i="12"/>
  <c r="P51" i="12" s="1"/>
  <c r="K47" i="12"/>
  <c r="P47" i="12" s="1"/>
  <c r="K43" i="12"/>
  <c r="P43" i="12" s="1"/>
  <c r="K39" i="12"/>
  <c r="P39" i="12" s="1"/>
  <c r="K35" i="12"/>
  <c r="P35" i="12" s="1"/>
  <c r="J56" i="12"/>
  <c r="J52" i="12"/>
  <c r="J48" i="12"/>
  <c r="J44" i="12"/>
  <c r="J40" i="12"/>
  <c r="J36" i="12"/>
  <c r="J32" i="12"/>
  <c r="M82" i="12"/>
  <c r="L35" i="12"/>
  <c r="K46" i="12"/>
  <c r="P46" i="12" s="1"/>
  <c r="J55" i="12"/>
  <c r="J47" i="12"/>
  <c r="J39" i="12"/>
  <c r="I57" i="12"/>
  <c r="O57" i="12" s="1"/>
  <c r="I53" i="12"/>
  <c r="O53" i="12" s="1"/>
  <c r="I49" i="12"/>
  <c r="O49" i="12" s="1"/>
  <c r="I45" i="12"/>
  <c r="O45" i="12" s="1"/>
  <c r="I41" i="12"/>
  <c r="O41" i="12" s="1"/>
  <c r="I37" i="12"/>
  <c r="O37" i="12" s="1"/>
  <c r="I33" i="12"/>
  <c r="O33" i="12" s="1"/>
  <c r="M28" i="12"/>
  <c r="M24" i="12"/>
  <c r="M20" i="12"/>
  <c r="M16" i="12"/>
  <c r="M12" i="12"/>
  <c r="M8" i="12"/>
  <c r="M66" i="12"/>
  <c r="L55" i="12"/>
  <c r="K42" i="12"/>
  <c r="P42" i="12" s="1"/>
  <c r="J53" i="12"/>
  <c r="J45" i="12"/>
  <c r="J37" i="12"/>
  <c r="I56" i="12"/>
  <c r="O56" i="12" s="1"/>
  <c r="I52" i="12"/>
  <c r="O52" i="12" s="1"/>
  <c r="I48" i="12"/>
  <c r="O48" i="12" s="1"/>
  <c r="I44" i="12"/>
  <c r="O44" i="12" s="1"/>
  <c r="I40" i="12"/>
  <c r="O40" i="12" s="1"/>
  <c r="I36" i="12"/>
  <c r="O36" i="12" s="1"/>
  <c r="I32" i="12"/>
  <c r="M27" i="12"/>
  <c r="M23" i="12"/>
  <c r="M19" i="12"/>
  <c r="M15" i="12"/>
  <c r="M11" i="12"/>
  <c r="M7" i="12"/>
  <c r="M45" i="12"/>
  <c r="L40" i="12"/>
  <c r="K50" i="12"/>
  <c r="P50" i="12" s="1"/>
  <c r="K34" i="12"/>
  <c r="P34" i="12" s="1"/>
  <c r="J57" i="12"/>
  <c r="J49" i="12"/>
  <c r="J41" i="12"/>
  <c r="J33" i="12"/>
  <c r="I54" i="12"/>
  <c r="O54" i="12" s="1"/>
  <c r="I50" i="12"/>
  <c r="O50" i="12" s="1"/>
  <c r="I46" i="12"/>
  <c r="O46" i="12" s="1"/>
  <c r="I42" i="12"/>
  <c r="O42" i="12" s="1"/>
  <c r="I38" i="12"/>
  <c r="O38" i="12" s="1"/>
  <c r="I34" i="12"/>
  <c r="O34" i="12" s="1"/>
  <c r="M29" i="12"/>
  <c r="M25" i="12"/>
  <c r="M21" i="12"/>
  <c r="M17" i="12"/>
  <c r="M13" i="12"/>
  <c r="M9" i="12"/>
  <c r="M5" i="12"/>
  <c r="L30" i="12"/>
  <c r="L84" i="12" s="1"/>
  <c r="L26" i="12"/>
  <c r="L80" i="12" s="1"/>
  <c r="L22" i="12"/>
  <c r="L18" i="12"/>
  <c r="L14" i="12"/>
  <c r="L68" i="12" s="1"/>
  <c r="L10" i="12"/>
  <c r="L64" i="12" s="1"/>
  <c r="L6" i="12"/>
  <c r="L47" i="12"/>
  <c r="J51" i="12"/>
  <c r="I47" i="12"/>
  <c r="O47" i="12" s="1"/>
  <c r="M31" i="12"/>
  <c r="M26" i="12"/>
  <c r="M10" i="12"/>
  <c r="L28" i="12"/>
  <c r="L23" i="12"/>
  <c r="L17" i="12"/>
  <c r="L12" i="12"/>
  <c r="L7" i="12"/>
  <c r="L61" i="12" s="1"/>
  <c r="K27" i="12"/>
  <c r="K23" i="12"/>
  <c r="K19" i="12"/>
  <c r="K15" i="12"/>
  <c r="K11" i="12"/>
  <c r="K7" i="12"/>
  <c r="J28" i="12"/>
  <c r="J24" i="12"/>
  <c r="J20" i="12"/>
  <c r="J16" i="12"/>
  <c r="J12" i="12"/>
  <c r="J8" i="12"/>
  <c r="I29" i="12"/>
  <c r="I25" i="12"/>
  <c r="I21" i="12"/>
  <c r="K54" i="12"/>
  <c r="P54" i="12" s="1"/>
  <c r="J43" i="12"/>
  <c r="I43" i="12"/>
  <c r="O43" i="12" s="1"/>
  <c r="M22" i="12"/>
  <c r="M6" i="12"/>
  <c r="L27" i="12"/>
  <c r="L81" i="12" s="1"/>
  <c r="L21" i="12"/>
  <c r="L16" i="12"/>
  <c r="L70" i="12" s="1"/>
  <c r="L11" i="12"/>
  <c r="L5" i="12"/>
  <c r="K30" i="12"/>
  <c r="K26" i="12"/>
  <c r="K22" i="12"/>
  <c r="K18" i="12"/>
  <c r="K14" i="12"/>
  <c r="K10" i="12"/>
  <c r="K6" i="12"/>
  <c r="J27" i="12"/>
  <c r="J23" i="12"/>
  <c r="J19" i="12"/>
  <c r="J15" i="12"/>
  <c r="J69" i="12" s="1"/>
  <c r="J11" i="12"/>
  <c r="J7" i="12"/>
  <c r="I51" i="12"/>
  <c r="O51" i="12" s="1"/>
  <c r="I35" i="12"/>
  <c r="O35" i="12" s="1"/>
  <c r="M30" i="12"/>
  <c r="M14" i="12"/>
  <c r="L29" i="12"/>
  <c r="L24" i="12"/>
  <c r="L19" i="12"/>
  <c r="L13" i="12"/>
  <c r="L8" i="12"/>
  <c r="K28" i="12"/>
  <c r="K24" i="12"/>
  <c r="K20" i="12"/>
  <c r="K16" i="12"/>
  <c r="K12" i="12"/>
  <c r="K8" i="12"/>
  <c r="J29" i="12"/>
  <c r="J25" i="12"/>
  <c r="J79" i="12" s="1"/>
  <c r="J21" i="12"/>
  <c r="J17" i="12"/>
  <c r="J13" i="12"/>
  <c r="J9" i="12"/>
  <c r="J63" i="12" s="1"/>
  <c r="J5" i="12"/>
  <c r="I30" i="12"/>
  <c r="I26" i="12"/>
  <c r="I22" i="12"/>
  <c r="I18" i="12"/>
  <c r="I14" i="12"/>
  <c r="I10" i="12"/>
  <c r="I6" i="12"/>
  <c r="J35" i="12"/>
  <c r="I55" i="12"/>
  <c r="O55" i="12" s="1"/>
  <c r="L25" i="12"/>
  <c r="K21" i="12"/>
  <c r="K5" i="12"/>
  <c r="J26" i="12"/>
  <c r="J10" i="12"/>
  <c r="I23" i="12"/>
  <c r="I16" i="12"/>
  <c r="I11" i="12"/>
  <c r="I5" i="12"/>
  <c r="F57" i="12"/>
  <c r="H55" i="12"/>
  <c r="G54" i="12"/>
  <c r="F53" i="12"/>
  <c r="H51" i="12"/>
  <c r="G50" i="12"/>
  <c r="F49" i="12"/>
  <c r="H47" i="12"/>
  <c r="G46" i="12"/>
  <c r="F45" i="12"/>
  <c r="H43" i="12"/>
  <c r="G42" i="12"/>
  <c r="F41" i="12"/>
  <c r="H39" i="12"/>
  <c r="G38" i="12"/>
  <c r="F37" i="12"/>
  <c r="H35" i="12"/>
  <c r="G34" i="12"/>
  <c r="F33" i="12"/>
  <c r="I39" i="12"/>
  <c r="O39" i="12" s="1"/>
  <c r="L20" i="12"/>
  <c r="K17" i="12"/>
  <c r="J22" i="12"/>
  <c r="J6" i="12"/>
  <c r="I28" i="12"/>
  <c r="I20" i="12"/>
  <c r="I15" i="12"/>
  <c r="I9" i="12"/>
  <c r="H56" i="12"/>
  <c r="G55" i="12"/>
  <c r="F54" i="12"/>
  <c r="H52" i="12"/>
  <c r="G51" i="12"/>
  <c r="F50" i="12"/>
  <c r="H48" i="12"/>
  <c r="G47" i="12"/>
  <c r="F46" i="12"/>
  <c r="H44" i="12"/>
  <c r="G43" i="12"/>
  <c r="F42" i="12"/>
  <c r="H40" i="12"/>
  <c r="G39" i="12"/>
  <c r="F38" i="12"/>
  <c r="H36" i="12"/>
  <c r="G35" i="12"/>
  <c r="F34" i="12"/>
  <c r="H32" i="12"/>
  <c r="M18" i="12"/>
  <c r="L9" i="12"/>
  <c r="L63" i="12" s="1"/>
  <c r="K25" i="12"/>
  <c r="K9" i="12"/>
  <c r="J30" i="12"/>
  <c r="J84" i="12" s="1"/>
  <c r="J14" i="12"/>
  <c r="I24" i="12"/>
  <c r="I17" i="12"/>
  <c r="I12" i="12"/>
  <c r="I7" i="12"/>
  <c r="G57" i="12"/>
  <c r="F56" i="12"/>
  <c r="H54" i="12"/>
  <c r="G53" i="12"/>
  <c r="F52" i="12"/>
  <c r="H50" i="12"/>
  <c r="G49" i="12"/>
  <c r="F48" i="12"/>
  <c r="H46" i="12"/>
  <c r="G45" i="12"/>
  <c r="F44" i="12"/>
  <c r="H42" i="12"/>
  <c r="G41" i="12"/>
  <c r="F40" i="12"/>
  <c r="H38" i="12"/>
  <c r="G37" i="12"/>
  <c r="F36" i="12"/>
  <c r="H34" i="12"/>
  <c r="G33" i="12"/>
  <c r="F32" i="12"/>
  <c r="F30" i="12"/>
  <c r="H28" i="12"/>
  <c r="G27" i="12"/>
  <c r="F26" i="12"/>
  <c r="H24" i="12"/>
  <c r="G23" i="12"/>
  <c r="F22" i="12"/>
  <c r="H20" i="12"/>
  <c r="G19" i="12"/>
  <c r="F18" i="12"/>
  <c r="H16" i="12"/>
  <c r="G15" i="12"/>
  <c r="K38" i="12"/>
  <c r="P38" i="12" s="1"/>
  <c r="K13" i="12"/>
  <c r="I19" i="12"/>
  <c r="F55" i="12"/>
  <c r="H49" i="12"/>
  <c r="G44" i="12"/>
  <c r="F39" i="12"/>
  <c r="H33" i="12"/>
  <c r="G30" i="12"/>
  <c r="G84" i="12" s="1"/>
  <c r="G28" i="12"/>
  <c r="H26" i="12"/>
  <c r="F25" i="12"/>
  <c r="F23" i="12"/>
  <c r="G21" i="12"/>
  <c r="H19" i="12"/>
  <c r="H17" i="12"/>
  <c r="F16" i="12"/>
  <c r="F13" i="12"/>
  <c r="F9" i="12"/>
  <c r="F5" i="12"/>
  <c r="F28" i="12"/>
  <c r="G24" i="12"/>
  <c r="F19" i="12"/>
  <c r="H15" i="12"/>
  <c r="H69" i="12" s="1"/>
  <c r="G11" i="12"/>
  <c r="H8" i="12"/>
  <c r="F6" i="12"/>
  <c r="L15" i="12"/>
  <c r="J18" i="12"/>
  <c r="I8" i="12"/>
  <c r="G52" i="12"/>
  <c r="H41" i="12"/>
  <c r="G36" i="12"/>
  <c r="G29" i="12"/>
  <c r="G22" i="12"/>
  <c r="G20" i="12"/>
  <c r="G74" i="12" s="1"/>
  <c r="F15" i="12"/>
  <c r="F11" i="12"/>
  <c r="F7" i="12"/>
  <c r="I13" i="12"/>
  <c r="H53" i="12"/>
  <c r="G48" i="12"/>
  <c r="F43" i="12"/>
  <c r="H37" i="12"/>
  <c r="G32" i="12"/>
  <c r="H29" i="12"/>
  <c r="F14" i="12"/>
  <c r="H57" i="12"/>
  <c r="F47" i="12"/>
  <c r="H25" i="12"/>
  <c r="H79" i="12" s="1"/>
  <c r="H18" i="12"/>
  <c r="G12" i="12"/>
  <c r="H5" i="12"/>
  <c r="K29" i="12"/>
  <c r="I27" i="12"/>
  <c r="G56" i="12"/>
  <c r="F51" i="12"/>
  <c r="H45" i="12"/>
  <c r="G40" i="12"/>
  <c r="F35" i="12"/>
  <c r="H30" i="12"/>
  <c r="F29" i="12"/>
  <c r="F27" i="12"/>
  <c r="G25" i="12"/>
  <c r="H23" i="12"/>
  <c r="H21" i="12"/>
  <c r="H75" i="12" s="1"/>
  <c r="F20" i="12"/>
  <c r="G18" i="12"/>
  <c r="G16" i="12"/>
  <c r="H14" i="12"/>
  <c r="G13" i="12"/>
  <c r="F12" i="12"/>
  <c r="H10" i="12"/>
  <c r="G9" i="12"/>
  <c r="F8" i="12"/>
  <c r="H6" i="12"/>
  <c r="H60" i="12" s="1"/>
  <c r="G5" i="12"/>
  <c r="G14" i="12"/>
  <c r="H11" i="12"/>
  <c r="G10" i="12"/>
  <c r="H7" i="12"/>
  <c r="G6" i="12"/>
  <c r="G60" i="12" s="1"/>
  <c r="G26" i="12"/>
  <c r="H22" i="12"/>
  <c r="F21" i="12"/>
  <c r="G17" i="12"/>
  <c r="H12" i="12"/>
  <c r="F10" i="12"/>
  <c r="G7" i="12"/>
  <c r="G61" i="12" s="1"/>
  <c r="H27" i="12"/>
  <c r="F24" i="12"/>
  <c r="F17" i="12"/>
  <c r="H13" i="12"/>
  <c r="H9" i="12"/>
  <c r="H63" i="12" s="1"/>
  <c r="G8" i="12"/>
  <c r="J35" i="10"/>
  <c r="J36" i="10" s="1"/>
  <c r="K21" i="7"/>
  <c r="J21" i="7"/>
  <c r="D21" i="7"/>
  <c r="F2" i="6"/>
  <c r="A2" i="6"/>
  <c r="C31" i="7"/>
  <c r="B31" i="7"/>
  <c r="J76" i="12" l="1"/>
  <c r="L71" i="12"/>
  <c r="H67" i="12"/>
  <c r="G73" i="12"/>
  <c r="H78" i="12"/>
  <c r="J78" i="12"/>
  <c r="H61" i="12"/>
  <c r="H64" i="12"/>
  <c r="H77" i="12"/>
  <c r="H84" i="12"/>
  <c r="G65" i="12"/>
  <c r="G72" i="12"/>
  <c r="L69" i="12"/>
  <c r="L62" i="12"/>
  <c r="J66" i="12"/>
  <c r="H70" i="12"/>
  <c r="G81" i="12"/>
  <c r="J67" i="12"/>
  <c r="J83" i="12"/>
  <c r="J61" i="12"/>
  <c r="J77" i="12"/>
  <c r="H76" i="12"/>
  <c r="H66" i="12"/>
  <c r="G68" i="12"/>
  <c r="H83" i="12"/>
  <c r="H62" i="12"/>
  <c r="J65" i="12"/>
  <c r="J81" i="12"/>
  <c r="J68" i="12"/>
  <c r="J64" i="12"/>
  <c r="H81" i="12"/>
  <c r="H65" i="12"/>
  <c r="G69" i="12"/>
  <c r="L78" i="12"/>
  <c r="L66" i="12"/>
  <c r="L60" i="12"/>
  <c r="L76" i="12"/>
  <c r="G76" i="12"/>
  <c r="J80" i="12"/>
  <c r="L75" i="12"/>
  <c r="G63" i="12"/>
  <c r="H68" i="12"/>
  <c r="H72" i="12"/>
  <c r="J60" i="12"/>
  <c r="L79" i="12"/>
  <c r="G80" i="12"/>
  <c r="J72" i="12"/>
  <c r="G78" i="12"/>
  <c r="L73" i="12"/>
  <c r="J74" i="12"/>
  <c r="G62" i="12"/>
  <c r="G64" i="12"/>
  <c r="H80" i="12"/>
  <c r="J62" i="12"/>
  <c r="L72" i="12"/>
  <c r="G58" i="12"/>
  <c r="G77" i="12"/>
  <c r="G75" i="12"/>
  <c r="H71" i="12"/>
  <c r="H58" i="12"/>
  <c r="J75" i="12"/>
  <c r="L58" i="12"/>
  <c r="G71" i="12"/>
  <c r="L77" i="12"/>
  <c r="J58" i="12"/>
  <c r="L59" i="12"/>
  <c r="J71" i="12"/>
  <c r="G70" i="12"/>
  <c r="J70" i="12"/>
  <c r="H82" i="12"/>
  <c r="G82" i="12"/>
  <c r="J82" i="12"/>
  <c r="L67" i="12"/>
  <c r="L82" i="12"/>
  <c r="G67" i="12"/>
  <c r="J73" i="12"/>
  <c r="L83" i="12"/>
  <c r="G66" i="12"/>
  <c r="L74" i="12"/>
  <c r="L65" i="12"/>
  <c r="F78" i="12"/>
  <c r="N24" i="12"/>
  <c r="Q24" i="12"/>
  <c r="R24" i="12" s="1"/>
  <c r="Q51" i="12"/>
  <c r="R51" i="12" s="1"/>
  <c r="N51" i="12"/>
  <c r="O8" i="12"/>
  <c r="I62" i="12"/>
  <c r="O62" i="12" s="1"/>
  <c r="N5" i="12"/>
  <c r="F31" i="12"/>
  <c r="N31" i="12" s="1"/>
  <c r="F59" i="12"/>
  <c r="Q5" i="12"/>
  <c r="R5" i="12" s="1"/>
  <c r="F79" i="12"/>
  <c r="Q25" i="12"/>
  <c r="R25" i="12" s="1"/>
  <c r="N25" i="12"/>
  <c r="I61" i="12"/>
  <c r="O61" i="12" s="1"/>
  <c r="O7" i="12"/>
  <c r="N38" i="12"/>
  <c r="Q38" i="12"/>
  <c r="R38" i="12" s="1"/>
  <c r="N54" i="12"/>
  <c r="Q54" i="12"/>
  <c r="R54" i="12" s="1"/>
  <c r="Q53" i="12"/>
  <c r="R53" i="12" s="1"/>
  <c r="N53" i="12"/>
  <c r="O26" i="12"/>
  <c r="I80" i="12"/>
  <c r="O80" i="12" s="1"/>
  <c r="P16" i="12"/>
  <c r="K70" i="12"/>
  <c r="P70" i="12" s="1"/>
  <c r="P14" i="12"/>
  <c r="K68" i="12"/>
  <c r="P68" i="12" s="1"/>
  <c r="G59" i="12"/>
  <c r="G31" i="12"/>
  <c r="Q35" i="12"/>
  <c r="R35" i="12" s="1"/>
  <c r="N35" i="12"/>
  <c r="F82" i="12"/>
  <c r="Q28" i="12"/>
  <c r="R28" i="12" s="1"/>
  <c r="N28" i="12"/>
  <c r="F63" i="12"/>
  <c r="Q9" i="12"/>
  <c r="R9" i="12" s="1"/>
  <c r="N9" i="12"/>
  <c r="H73" i="12"/>
  <c r="I73" i="12"/>
  <c r="O73" i="12" s="1"/>
  <c r="O19" i="12"/>
  <c r="K67" i="12"/>
  <c r="P67" i="12" s="1"/>
  <c r="P13" i="12"/>
  <c r="H74" i="12"/>
  <c r="N26" i="12"/>
  <c r="Q26" i="12"/>
  <c r="R26" i="12" s="1"/>
  <c r="F80" i="12"/>
  <c r="N32" i="12"/>
  <c r="F58" i="12"/>
  <c r="N58" i="12" s="1"/>
  <c r="Q32" i="12"/>
  <c r="R32" i="12" s="1"/>
  <c r="Q48" i="12"/>
  <c r="R48" i="12" s="1"/>
  <c r="N48" i="12"/>
  <c r="I66" i="12"/>
  <c r="O66" i="12" s="1"/>
  <c r="O12" i="12"/>
  <c r="N34" i="12"/>
  <c r="Q34" i="12"/>
  <c r="R34" i="12" s="1"/>
  <c r="N50" i="12"/>
  <c r="Q50" i="12"/>
  <c r="R50" i="12" s="1"/>
  <c r="I74" i="12"/>
  <c r="O74" i="12" s="1"/>
  <c r="O20" i="12"/>
  <c r="K71" i="12"/>
  <c r="P71" i="12" s="1"/>
  <c r="P17" i="12"/>
  <c r="Q33" i="12"/>
  <c r="R33" i="12" s="1"/>
  <c r="N33" i="12"/>
  <c r="Q49" i="12"/>
  <c r="R49" i="12" s="1"/>
  <c r="N49" i="12"/>
  <c r="I70" i="12"/>
  <c r="O70" i="12" s="1"/>
  <c r="O16" i="12"/>
  <c r="K59" i="12"/>
  <c r="P5" i="12"/>
  <c r="K31" i="12"/>
  <c r="P31" i="12" s="1"/>
  <c r="I68" i="12"/>
  <c r="O68" i="12" s="1"/>
  <c r="O14" i="12"/>
  <c r="O30" i="12"/>
  <c r="I84" i="12"/>
  <c r="O84" i="12" s="1"/>
  <c r="K74" i="12"/>
  <c r="P74" i="12" s="1"/>
  <c r="P20" i="12"/>
  <c r="P18" i="12"/>
  <c r="K72" i="12"/>
  <c r="P72" i="12" s="1"/>
  <c r="I83" i="12"/>
  <c r="O83" i="12" s="1"/>
  <c r="O29" i="12"/>
  <c r="K73" i="12"/>
  <c r="P73" i="12" s="1"/>
  <c r="P19" i="12"/>
  <c r="P32" i="12"/>
  <c r="K58" i="12"/>
  <c r="P58" i="12" s="1"/>
  <c r="F64" i="12"/>
  <c r="N10" i="12"/>
  <c r="Q10" i="12"/>
  <c r="R10" i="12" s="1"/>
  <c r="N29" i="12"/>
  <c r="Q29" i="12"/>
  <c r="R29" i="12" s="1"/>
  <c r="F83" i="12"/>
  <c r="F84" i="12"/>
  <c r="Q30" i="12"/>
  <c r="R30" i="12" s="1"/>
  <c r="N30" i="12"/>
  <c r="N36" i="12"/>
  <c r="Q36" i="12"/>
  <c r="R36" i="12" s="1"/>
  <c r="I69" i="12"/>
  <c r="O69" i="12" s="1"/>
  <c r="O15" i="12"/>
  <c r="I65" i="12"/>
  <c r="O65" i="12" s="1"/>
  <c r="O11" i="12"/>
  <c r="P30" i="12"/>
  <c r="K84" i="12"/>
  <c r="P84" i="12" s="1"/>
  <c r="I79" i="12"/>
  <c r="O79" i="12" s="1"/>
  <c r="O25" i="12"/>
  <c r="K69" i="12"/>
  <c r="P69" i="12" s="1"/>
  <c r="P15" i="12"/>
  <c r="F66" i="12"/>
  <c r="Q12" i="12"/>
  <c r="R12" i="12" s="1"/>
  <c r="N12" i="12"/>
  <c r="G79" i="12"/>
  <c r="H59" i="12"/>
  <c r="H31" i="12"/>
  <c r="Q43" i="12"/>
  <c r="R43" i="12" s="1"/>
  <c r="N43" i="12"/>
  <c r="I67" i="12"/>
  <c r="O67" i="12" s="1"/>
  <c r="O13" i="12"/>
  <c r="N7" i="12"/>
  <c r="F61" i="12"/>
  <c r="Q7" i="12"/>
  <c r="R7" i="12" s="1"/>
  <c r="Q13" i="12"/>
  <c r="R13" i="12" s="1"/>
  <c r="N13" i="12"/>
  <c r="F67" i="12"/>
  <c r="N22" i="12"/>
  <c r="F76" i="12"/>
  <c r="Q22" i="12"/>
  <c r="R22" i="12" s="1"/>
  <c r="Q44" i="12"/>
  <c r="R44" i="12" s="1"/>
  <c r="N44" i="12"/>
  <c r="I71" i="12"/>
  <c r="O71" i="12" s="1"/>
  <c r="O17" i="12"/>
  <c r="K63" i="12"/>
  <c r="P63" i="12" s="1"/>
  <c r="P9" i="12"/>
  <c r="N46" i="12"/>
  <c r="Q46" i="12"/>
  <c r="R46" i="12" s="1"/>
  <c r="O28" i="12"/>
  <c r="I82" i="12"/>
  <c r="O82" i="12" s="1"/>
  <c r="N45" i="12"/>
  <c r="Q45" i="12"/>
  <c r="R45" i="12" s="1"/>
  <c r="I77" i="12"/>
  <c r="O77" i="12" s="1"/>
  <c r="O23" i="12"/>
  <c r="K75" i="12"/>
  <c r="P75" i="12" s="1"/>
  <c r="P21" i="12"/>
  <c r="O18" i="12"/>
  <c r="I72" i="12"/>
  <c r="O72" i="12" s="1"/>
  <c r="P8" i="12"/>
  <c r="K62" i="12"/>
  <c r="P62" i="12" s="1"/>
  <c r="P24" i="12"/>
  <c r="K78" i="12"/>
  <c r="P78" i="12" s="1"/>
  <c r="K60" i="12"/>
  <c r="P60" i="12" s="1"/>
  <c r="P6" i="12"/>
  <c r="K76" i="12"/>
  <c r="P76" i="12" s="1"/>
  <c r="P22" i="12"/>
  <c r="K61" i="12"/>
  <c r="P61" i="12" s="1"/>
  <c r="P7" i="12"/>
  <c r="K77" i="12"/>
  <c r="P77" i="12" s="1"/>
  <c r="P23" i="12"/>
  <c r="F69" i="12"/>
  <c r="Q15" i="12"/>
  <c r="R15" i="12" s="1"/>
  <c r="N15" i="12"/>
  <c r="N39" i="12"/>
  <c r="Q39" i="12"/>
  <c r="R39" i="12" s="1"/>
  <c r="Q52" i="12"/>
  <c r="R52" i="12" s="1"/>
  <c r="N52" i="12"/>
  <c r="Q37" i="12"/>
  <c r="R37" i="12" s="1"/>
  <c r="N37" i="12"/>
  <c r="O10" i="12"/>
  <c r="I64" i="12"/>
  <c r="O64" i="12" s="1"/>
  <c r="J59" i="12"/>
  <c r="J31" i="12"/>
  <c r="O32" i="12"/>
  <c r="I58" i="12"/>
  <c r="O58" i="12" s="1"/>
  <c r="F71" i="12"/>
  <c r="Q17" i="12"/>
  <c r="R17" i="12" s="1"/>
  <c r="N17" i="12"/>
  <c r="N21" i="12"/>
  <c r="Q21" i="12"/>
  <c r="R21" i="12" s="1"/>
  <c r="F75" i="12"/>
  <c r="F62" i="12"/>
  <c r="N8" i="12"/>
  <c r="Q8" i="12"/>
  <c r="R8" i="12" s="1"/>
  <c r="F74" i="12"/>
  <c r="N20" i="12"/>
  <c r="Q20" i="12"/>
  <c r="R20" i="12" s="1"/>
  <c r="F81" i="12"/>
  <c r="Q27" i="12"/>
  <c r="R27" i="12" s="1"/>
  <c r="N27" i="12"/>
  <c r="I81" i="12"/>
  <c r="O81" i="12" s="1"/>
  <c r="O27" i="12"/>
  <c r="K83" i="12"/>
  <c r="P83" i="12" s="1"/>
  <c r="P29" i="12"/>
  <c r="Q47" i="12"/>
  <c r="R47" i="12" s="1"/>
  <c r="N47" i="12"/>
  <c r="N14" i="12"/>
  <c r="F68" i="12"/>
  <c r="Q14" i="12"/>
  <c r="R14" i="12" s="1"/>
  <c r="F65" i="12"/>
  <c r="Q11" i="12"/>
  <c r="R11" i="12" s="1"/>
  <c r="N11" i="12"/>
  <c r="G83" i="12"/>
  <c r="Q6" i="12"/>
  <c r="R6" i="12" s="1"/>
  <c r="N6" i="12"/>
  <c r="F60" i="12"/>
  <c r="N19" i="12"/>
  <c r="F73" i="12"/>
  <c r="Q19" i="12"/>
  <c r="R19" i="12" s="1"/>
  <c r="F70" i="12"/>
  <c r="N16" i="12"/>
  <c r="Q16" i="12"/>
  <c r="R16" i="12" s="1"/>
  <c r="F77" i="12"/>
  <c r="N23" i="12"/>
  <c r="Q23" i="12"/>
  <c r="R23" i="12" s="1"/>
  <c r="N55" i="12"/>
  <c r="Q55" i="12"/>
  <c r="R55" i="12" s="1"/>
  <c r="Q18" i="12"/>
  <c r="R18" i="12" s="1"/>
  <c r="N18" i="12"/>
  <c r="F72" i="12"/>
  <c r="Q40" i="12"/>
  <c r="R40" i="12" s="1"/>
  <c r="N40" i="12"/>
  <c r="Q56" i="12"/>
  <c r="R56" i="12" s="1"/>
  <c r="N56" i="12"/>
  <c r="I78" i="12"/>
  <c r="O78" i="12" s="1"/>
  <c r="O24" i="12"/>
  <c r="P25" i="12"/>
  <c r="K79" i="12"/>
  <c r="P79" i="12" s="1"/>
  <c r="N42" i="12"/>
  <c r="Q42" i="12"/>
  <c r="R42" i="12" s="1"/>
  <c r="I63" i="12"/>
  <c r="O63" i="12" s="1"/>
  <c r="O9" i="12"/>
  <c r="Q41" i="12"/>
  <c r="R41" i="12" s="1"/>
  <c r="N41" i="12"/>
  <c r="Q57" i="12"/>
  <c r="R57" i="12" s="1"/>
  <c r="N57" i="12"/>
  <c r="I59" i="12"/>
  <c r="I31" i="12"/>
  <c r="O31" i="12" s="1"/>
  <c r="O5" i="12"/>
  <c r="I60" i="12"/>
  <c r="O60" i="12" s="1"/>
  <c r="O6" i="12"/>
  <c r="I76" i="12"/>
  <c r="O76" i="12" s="1"/>
  <c r="O22" i="12"/>
  <c r="K66" i="12"/>
  <c r="P66" i="12" s="1"/>
  <c r="P12" i="12"/>
  <c r="P28" i="12"/>
  <c r="K82" i="12"/>
  <c r="P82" i="12" s="1"/>
  <c r="K64" i="12"/>
  <c r="P64" i="12" s="1"/>
  <c r="P10" i="12"/>
  <c r="P26" i="12"/>
  <c r="K80" i="12"/>
  <c r="P80" i="12" s="1"/>
  <c r="I75" i="12"/>
  <c r="O75" i="12" s="1"/>
  <c r="O21" i="12"/>
  <c r="K65" i="12"/>
  <c r="P65" i="12" s="1"/>
  <c r="P11" i="12"/>
  <c r="K81" i="12"/>
  <c r="P81" i="12" s="1"/>
  <c r="P27" i="12"/>
  <c r="L31" i="12"/>
  <c r="B10" i="7"/>
  <c r="H85" i="12" l="1"/>
  <c r="G85" i="12"/>
  <c r="J85" i="12"/>
  <c r="Q60" i="12"/>
  <c r="R60" i="12" s="1"/>
  <c r="N60" i="12"/>
  <c r="Q64" i="12"/>
  <c r="R64" i="12" s="1"/>
  <c r="N64" i="12"/>
  <c r="O59" i="12"/>
  <c r="I85" i="12"/>
  <c r="O85" i="12" s="1"/>
  <c r="N72" i="12"/>
  <c r="Q72" i="12"/>
  <c r="R72" i="12" s="1"/>
  <c r="N77" i="12"/>
  <c r="Q77" i="12"/>
  <c r="R77" i="12" s="1"/>
  <c r="Q73" i="12"/>
  <c r="R73" i="12" s="1"/>
  <c r="N73" i="12"/>
  <c r="N75" i="12"/>
  <c r="Q75" i="12"/>
  <c r="R75" i="12" s="1"/>
  <c r="Q58" i="12"/>
  <c r="R58" i="12" s="1"/>
  <c r="N82" i="12"/>
  <c r="Q82" i="12"/>
  <c r="R82" i="12" s="1"/>
  <c r="Q31" i="12"/>
  <c r="R31" i="12" s="1"/>
  <c r="N67" i="12"/>
  <c r="Q67" i="12"/>
  <c r="R67" i="12" s="1"/>
  <c r="N62" i="12"/>
  <c r="Q62" i="12"/>
  <c r="R62" i="12" s="1"/>
  <c r="Q71" i="12"/>
  <c r="R71" i="12" s="1"/>
  <c r="N71" i="12"/>
  <c r="N76" i="12"/>
  <c r="Q76" i="12"/>
  <c r="R76" i="12" s="1"/>
  <c r="Q83" i="12"/>
  <c r="R83" i="12" s="1"/>
  <c r="N83" i="12"/>
  <c r="P59" i="12"/>
  <c r="K85" i="12"/>
  <c r="P85" i="12" s="1"/>
  <c r="N80" i="12"/>
  <c r="Q80" i="12"/>
  <c r="R80" i="12" s="1"/>
  <c r="N63" i="12"/>
  <c r="Q63" i="12"/>
  <c r="R63" i="12" s="1"/>
  <c r="N59" i="12"/>
  <c r="F85" i="12"/>
  <c r="N85" i="12" s="1"/>
  <c r="Q59" i="12"/>
  <c r="R59" i="12" s="1"/>
  <c r="Q65" i="12"/>
  <c r="R65" i="12" s="1"/>
  <c r="N65" i="12"/>
  <c r="Q74" i="12"/>
  <c r="R74" i="12" s="1"/>
  <c r="N74" i="12"/>
  <c r="N66" i="12"/>
  <c r="Q66" i="12"/>
  <c r="R66" i="12" s="1"/>
  <c r="N84" i="12"/>
  <c r="Q84" i="12"/>
  <c r="R84" i="12" s="1"/>
  <c r="N70" i="12"/>
  <c r="Q70" i="12"/>
  <c r="R70" i="12" s="1"/>
  <c r="Q68" i="12"/>
  <c r="R68" i="12" s="1"/>
  <c r="N68" i="12"/>
  <c r="N81" i="12"/>
  <c r="Q81" i="12"/>
  <c r="R81" i="12" s="1"/>
  <c r="N69" i="12"/>
  <c r="Q69" i="12"/>
  <c r="R69" i="12" s="1"/>
  <c r="Q61" i="12"/>
  <c r="R61" i="12" s="1"/>
  <c r="N61" i="12"/>
  <c r="N79" i="12"/>
  <c r="Q79" i="12"/>
  <c r="R79" i="12" s="1"/>
  <c r="N78" i="12"/>
  <c r="Q78" i="12"/>
  <c r="R78" i="12" s="1"/>
  <c r="L85" i="12"/>
  <c r="C11" i="7"/>
  <c r="B17" i="8"/>
  <c r="L30" i="7"/>
  <c r="F9" i="6"/>
  <c r="J30" i="7"/>
  <c r="K30" i="7"/>
  <c r="K28" i="7"/>
  <c r="J28" i="7"/>
  <c r="K27" i="7"/>
  <c r="J27" i="7"/>
  <c r="K25" i="7"/>
  <c r="J25" i="7"/>
  <c r="K24" i="7"/>
  <c r="J24" i="7"/>
  <c r="K22" i="7"/>
  <c r="J22" i="7"/>
  <c r="K20" i="7"/>
  <c r="J20" i="7"/>
  <c r="F31" i="6"/>
  <c r="F24" i="6"/>
  <c r="F19" i="6"/>
  <c r="F16" i="6"/>
  <c r="F12" i="6"/>
  <c r="E34" i="6"/>
  <c r="E33" i="6"/>
  <c r="E32" i="6"/>
  <c r="E31" i="6"/>
  <c r="E29" i="6"/>
  <c r="E28" i="6"/>
  <c r="E27" i="6"/>
  <c r="E26" i="6"/>
  <c r="E25" i="6"/>
  <c r="E24" i="6"/>
  <c r="E22" i="6"/>
  <c r="E21" i="6"/>
  <c r="E20" i="6"/>
  <c r="E19" i="6"/>
  <c r="E17" i="6"/>
  <c r="E16" i="6"/>
  <c r="E14" i="6"/>
  <c r="E13" i="6"/>
  <c r="E12" i="6"/>
  <c r="E10" i="6"/>
  <c r="E9" i="6"/>
  <c r="B7" i="7"/>
  <c r="D27" i="7"/>
  <c r="D29" i="7" s="1"/>
  <c r="D25" i="7"/>
  <c r="D24" i="7"/>
  <c r="D22" i="7"/>
  <c r="D20" i="7"/>
  <c r="Q85" i="12" l="1"/>
  <c r="R85" i="12" s="1"/>
  <c r="D26" i="7"/>
  <c r="D23" i="7"/>
  <c r="D31" i="7"/>
  <c r="D6" i="6" s="1"/>
  <c r="B11" i="7"/>
  <c r="D11" i="7" l="1"/>
</calcChain>
</file>

<file path=xl/comments1.xml><?xml version="1.0" encoding="utf-8"?>
<comments xmlns="http://schemas.openxmlformats.org/spreadsheetml/2006/main">
  <authors>
    <author>Michael Schwartz</author>
  </authors>
  <commentList>
    <comment ref="D6" authorId="0" shapeId="0">
      <text>
        <r>
          <rPr>
            <sz val="8"/>
            <color indexed="81"/>
            <rFont val="Tahoma"/>
            <family val="2"/>
          </rPr>
          <t>Automatically entered from #1 on the Page 1 worksheet.</t>
        </r>
      </text>
    </comment>
  </commentList>
</comments>
</file>

<file path=xl/comments2.xml><?xml version="1.0" encoding="utf-8"?>
<comments xmlns="http://schemas.openxmlformats.org/spreadsheetml/2006/main">
  <authors>
    <author>Michael Schwartz</author>
  </authors>
  <commentList>
    <comment ref="A5" authorId="0" shapeId="0">
      <text>
        <r>
          <rPr>
            <b/>
            <sz val="9"/>
            <color indexed="81"/>
            <rFont val="Tahoma"/>
            <family val="2"/>
          </rPr>
          <t xml:space="preserve">Consumer's County (county of residence):
</t>
        </r>
        <r>
          <rPr>
            <sz val="9"/>
            <color indexed="81"/>
            <rFont val="Tahoma"/>
            <family val="2"/>
          </rPr>
          <t xml:space="preserve">
When the LME-MCO name is entered on the </t>
        </r>
        <r>
          <rPr>
            <b/>
            <sz val="9"/>
            <color indexed="81"/>
            <rFont val="Tahoma"/>
            <family val="2"/>
          </rPr>
          <t>Page 1</t>
        </r>
        <r>
          <rPr>
            <sz val="9"/>
            <color indexed="81"/>
            <rFont val="Tahoma"/>
            <family val="2"/>
          </rPr>
          <t xml:space="preserve"> worksheet, formulas in </t>
        </r>
        <r>
          <rPr>
            <b/>
            <sz val="9"/>
            <color indexed="81"/>
            <rFont val="Tahoma"/>
            <family val="2"/>
          </rPr>
          <t>Column A</t>
        </r>
        <r>
          <rPr>
            <sz val="9"/>
            <color indexed="81"/>
            <rFont val="Tahoma"/>
            <family val="2"/>
          </rPr>
          <t xml:space="preserve"> automatically enter the LME-MCO's counties along with "</t>
        </r>
        <r>
          <rPr>
            <b/>
            <sz val="9"/>
            <color indexed="81"/>
            <rFont val="Tahoma"/>
            <family val="2"/>
          </rPr>
          <t>Other</t>
        </r>
        <r>
          <rPr>
            <sz val="9"/>
            <color indexed="81"/>
            <rFont val="Tahoma"/>
            <family val="2"/>
          </rPr>
          <t>" and "</t>
        </r>
        <r>
          <rPr>
            <b/>
            <sz val="9"/>
            <color indexed="81"/>
            <rFont val="Tahoma"/>
            <family val="2"/>
          </rPr>
          <t>Uknown</t>
        </r>
        <r>
          <rPr>
            <sz val="9"/>
            <color indexed="81"/>
            <rFont val="Tahoma"/>
            <family val="2"/>
          </rPr>
          <t xml:space="preserve">".  
This worksheet contains a sufficient number of rows to list all counties for the LME-MCO with the most counties.  For LME-MCOs with fewer counties, conditional formatting automatically </t>
        </r>
        <r>
          <rPr>
            <b/>
            <sz val="9"/>
            <color indexed="81"/>
            <rFont val="Tahoma"/>
            <family val="2"/>
          </rPr>
          <t>shades unneeded rows gray</t>
        </r>
        <r>
          <rPr>
            <sz val="9"/>
            <color indexed="81"/>
            <rFont val="Tahoma"/>
            <family val="2"/>
          </rPr>
          <t>.</t>
        </r>
      </text>
    </comment>
  </commentList>
</comments>
</file>

<file path=xl/comments3.xml><?xml version="1.0" encoding="utf-8"?>
<comments xmlns="http://schemas.openxmlformats.org/spreadsheetml/2006/main">
  <authors>
    <author>Michael Schwartz</author>
  </authors>
  <commentList>
    <comment ref="E4" authorId="0" shapeId="0">
      <text>
        <r>
          <rPr>
            <b/>
            <sz val="9"/>
            <color indexed="81"/>
            <rFont val="Tahoma"/>
            <family val="2"/>
          </rPr>
          <t xml:space="preserve">Consumer's County (county of residence):
</t>
        </r>
        <r>
          <rPr>
            <sz val="9"/>
            <color indexed="81"/>
            <rFont val="Tahoma"/>
            <family val="2"/>
          </rPr>
          <t xml:space="preserve">
Conditional formatting automatically causes the </t>
        </r>
        <r>
          <rPr>
            <b/>
            <sz val="9"/>
            <color indexed="81"/>
            <rFont val="Tahoma"/>
            <family val="2"/>
          </rPr>
          <t>font color</t>
        </r>
        <r>
          <rPr>
            <sz val="9"/>
            <color indexed="81"/>
            <rFont val="Tahoma"/>
            <family val="2"/>
          </rPr>
          <t xml:space="preserve"> and</t>
        </r>
        <r>
          <rPr>
            <b/>
            <sz val="9"/>
            <color indexed="81"/>
            <rFont val="Tahoma"/>
            <family val="2"/>
          </rPr>
          <t xml:space="preserve"> cell shading</t>
        </r>
        <r>
          <rPr>
            <sz val="9"/>
            <color indexed="81"/>
            <rFont val="Tahoma"/>
            <family val="2"/>
          </rPr>
          <t xml:space="preserve"> to turn </t>
        </r>
        <r>
          <rPr>
            <b/>
            <sz val="9"/>
            <color indexed="81"/>
            <rFont val="Tahoma"/>
            <family val="2"/>
          </rPr>
          <t>blue</t>
        </r>
        <r>
          <rPr>
            <sz val="9"/>
            <color indexed="81"/>
            <rFont val="Tahoma"/>
            <family val="2"/>
          </rPr>
          <t xml:space="preserve"> for counties in the LME-MCO's catchment area.
To facilitate data entry, the </t>
        </r>
        <r>
          <rPr>
            <b/>
            <sz val="9"/>
            <color indexed="81"/>
            <rFont val="Tahoma"/>
            <family val="2"/>
          </rPr>
          <t>Caller's County</t>
        </r>
        <r>
          <rPr>
            <sz val="9"/>
            <color indexed="81"/>
            <rFont val="Tahoma"/>
            <family val="2"/>
          </rPr>
          <t xml:space="preserve"> may be </t>
        </r>
        <r>
          <rPr>
            <b/>
            <sz val="9"/>
            <color indexed="81"/>
            <rFont val="Tahoma"/>
            <family val="2"/>
          </rPr>
          <t>filtered</t>
        </r>
        <r>
          <rPr>
            <sz val="9"/>
            <color indexed="81"/>
            <rFont val="Tahoma"/>
            <family val="2"/>
          </rPr>
          <t xml:space="preserve"> </t>
        </r>
        <r>
          <rPr>
            <b/>
            <sz val="9"/>
            <color indexed="81"/>
            <rFont val="Tahoma"/>
            <family val="2"/>
          </rPr>
          <t>by color</t>
        </r>
        <r>
          <rPr>
            <sz val="9"/>
            <color indexed="81"/>
            <rFont val="Tahoma"/>
            <family val="2"/>
          </rPr>
          <t xml:space="preserve"> to only display rows for counties in the LME-MCO's catchment area and to hide rows for counties not in the LME-MCO's catchment area.  The filter will need to be reset to display all data in order to enter data for counties not in the LME-MCO's catchment area.</t>
        </r>
      </text>
    </comment>
  </commentList>
</comments>
</file>

<file path=xl/sharedStrings.xml><?xml version="1.0" encoding="utf-8"?>
<sst xmlns="http://schemas.openxmlformats.org/spreadsheetml/2006/main" count="699" uniqueCount="320">
  <si>
    <t>Instructions</t>
  </si>
  <si>
    <t>1.</t>
  </si>
  <si>
    <t>2.</t>
  </si>
  <si>
    <t>a.</t>
  </si>
  <si>
    <t>3.</t>
  </si>
  <si>
    <t>4.</t>
  </si>
  <si>
    <t>5.</t>
  </si>
  <si>
    <r>
      <t xml:space="preserve">A.  </t>
    </r>
    <r>
      <rPr>
        <b/>
        <u/>
        <sz val="10"/>
        <rFont val="Arial"/>
        <family val="2"/>
      </rPr>
      <t>Purpose</t>
    </r>
  </si>
  <si>
    <r>
      <t xml:space="preserve">B.  </t>
    </r>
    <r>
      <rPr>
        <b/>
        <u/>
        <sz val="10"/>
        <rFont val="Arial"/>
        <family val="2"/>
      </rPr>
      <t>When and Where to Submit the Report</t>
    </r>
  </si>
  <si>
    <r>
      <t xml:space="preserve">C.  </t>
    </r>
    <r>
      <rPr>
        <b/>
        <u/>
        <sz val="10"/>
        <rFont val="Arial"/>
        <family val="2"/>
      </rPr>
      <t>Using the Report Template To Create Reports</t>
    </r>
  </si>
  <si>
    <t>Emergent Care</t>
  </si>
  <si>
    <t>Urgent Care</t>
  </si>
  <si>
    <t>Routine Care</t>
  </si>
  <si>
    <t>Medicaid</t>
  </si>
  <si>
    <t>Combined</t>
  </si>
  <si>
    <t>Non-Medicaid</t>
  </si>
  <si>
    <r>
      <t xml:space="preserve">D.  </t>
    </r>
    <r>
      <rPr>
        <b/>
        <u/>
        <sz val="10"/>
        <rFont val="Arial"/>
        <family val="2"/>
      </rPr>
      <t>Medicaid vs. Non-Medicaid</t>
    </r>
  </si>
  <si>
    <r>
      <t xml:space="preserve">E.  </t>
    </r>
    <r>
      <rPr>
        <b/>
        <u/>
        <sz val="10"/>
        <rFont val="Arial"/>
        <family val="2"/>
      </rPr>
      <t>Completing the Report</t>
    </r>
  </si>
  <si>
    <t>Percentage</t>
  </si>
  <si>
    <t>Client Status</t>
  </si>
  <si>
    <t>Veteran Status</t>
  </si>
  <si>
    <t>Primary Language</t>
  </si>
  <si>
    <t>Primary Disability</t>
  </si>
  <si>
    <t>Mental Health</t>
  </si>
  <si>
    <t>Substance Abuse</t>
  </si>
  <si>
    <t>Intellectual/Developmental Disability</t>
  </si>
  <si>
    <t>Age Group</t>
  </si>
  <si>
    <t>Child &lt;18</t>
  </si>
  <si>
    <t>Adult &gt;=18</t>
  </si>
  <si>
    <t>Count</t>
  </si>
  <si>
    <t>Active Military, Reserve or Guard</t>
  </si>
  <si>
    <t>Family Member of Active Military, Reserve or Guard</t>
  </si>
  <si>
    <t>Veteran of Military, Reserve or Guard (Not Active)</t>
  </si>
  <si>
    <t>Not Veteran or Unknown</t>
  </si>
  <si>
    <t>English</t>
  </si>
  <si>
    <t>Spanish</t>
  </si>
  <si>
    <t>Sign</t>
  </si>
  <si>
    <t>French</t>
  </si>
  <si>
    <t xml:space="preserve">Other </t>
  </si>
  <si>
    <t>None</t>
  </si>
  <si>
    <t>Insurance Status</t>
  </si>
  <si>
    <t>Medicaid Only</t>
  </si>
  <si>
    <t>Medicaid/Medicare</t>
  </si>
  <si>
    <t>Other Private or VA coverage</t>
  </si>
  <si>
    <t>Uninsured</t>
  </si>
  <si>
    <t>Number of Calls</t>
  </si>
  <si>
    <t>Partners Behavioral Health Management</t>
  </si>
  <si>
    <t>Person Submitting Report</t>
  </si>
  <si>
    <t>Alliance Behavioral Healthcare</t>
  </si>
  <si>
    <t>Cardinal Innovations Healthcare Solutions</t>
  </si>
  <si>
    <t>Eastpointe</t>
  </si>
  <si>
    <t>Sandhills Center</t>
  </si>
  <si>
    <t>LME-MCO</t>
  </si>
  <si>
    <r>
      <t xml:space="preserve">2.  Please explain if the </t>
    </r>
    <r>
      <rPr>
        <b/>
        <sz val="10"/>
        <rFont val="Arial"/>
        <family val="2"/>
      </rPr>
      <t>percent receiving timely services</t>
    </r>
    <r>
      <rPr>
        <sz val="10"/>
        <rFont val="Arial"/>
        <family val="2"/>
      </rPr>
      <t xml:space="preserve"> is </t>
    </r>
    <r>
      <rPr>
        <b/>
        <sz val="10"/>
        <rFont val="Arial"/>
        <family val="2"/>
      </rPr>
      <t>less than the performance standard</t>
    </r>
    <r>
      <rPr>
        <sz val="10"/>
        <rFont val="Arial"/>
        <family val="2"/>
      </rPr>
      <t>.  What is the reason?  What is being done to improve performance?</t>
    </r>
  </si>
  <si>
    <t>6.</t>
  </si>
  <si>
    <t>7.</t>
  </si>
  <si>
    <t>8.</t>
  </si>
  <si>
    <t>b.</t>
  </si>
  <si>
    <t>c.</t>
  </si>
  <si>
    <t>d.</t>
  </si>
  <si>
    <t>e.</t>
  </si>
  <si>
    <t>f.</t>
  </si>
  <si>
    <t>Unduplicated Number of Persons Represented in Line 1</t>
  </si>
  <si>
    <t># of New Callers (no prior services)</t>
  </si>
  <si>
    <t>State Fiscal Year:  …………………………………………………………………………….</t>
  </si>
  <si>
    <t>Quarter:  ……………………………………………………………………………………….</t>
  </si>
  <si>
    <t>Date Range:  …………………………………………………………………………………..</t>
  </si>
  <si>
    <t>LME-MCO:  …………………………………………………………………………………….</t>
  </si>
  <si>
    <t>Date Submitted:  ……………………………………………………………………………….</t>
  </si>
  <si>
    <t>Name:  ………………………………………………………………………………………….</t>
  </si>
  <si>
    <t>Title:  ……………………………………………………………………………………………</t>
  </si>
  <si>
    <t>Phone Number:  ……………………………………………………………………………….</t>
  </si>
  <si>
    <t>Email Address:  ………………………………………………………………………………..</t>
  </si>
  <si>
    <t>Do not delete.  This section 
used for data extraction.</t>
  </si>
  <si>
    <t>LME-MCO Population at the Beginning of the State Fiscal Year (Ages 3+):  ………….</t>
  </si>
  <si>
    <t>Access Center Calls Requesting MH/DD/SA Services per 10,000 Population:  ……….</t>
  </si>
  <si>
    <t>SFY</t>
  </si>
  <si>
    <t>2015-2016</t>
  </si>
  <si>
    <t>2016-2017</t>
  </si>
  <si>
    <t>2017-2018</t>
  </si>
  <si>
    <t>2018-2019</t>
  </si>
  <si>
    <t>2019-2020</t>
  </si>
  <si>
    <t xml:space="preserve"> LME-MCO Call Center Access To Care Performance Report</t>
  </si>
  <si>
    <t>LME-MCO Call Center Access To Care Performance Report</t>
  </si>
  <si>
    <r>
      <t xml:space="preserve">The </t>
    </r>
    <r>
      <rPr>
        <sz val="10"/>
        <rFont val="Arial"/>
        <family val="2"/>
      </rPr>
      <t>report</t>
    </r>
    <r>
      <rPr>
        <i/>
        <sz val="10"/>
        <rFont val="Arial"/>
        <family val="2"/>
      </rPr>
      <t xml:space="preserve"> </t>
    </r>
    <r>
      <rPr>
        <sz val="10"/>
        <rFont val="Arial"/>
        <family val="2"/>
      </rPr>
      <t>provides the source data for evaluating the LME-MCO's performance against State Fiscal Year standards in the Performance Contract.</t>
    </r>
  </si>
  <si>
    <r>
      <t xml:space="preserve">G.  </t>
    </r>
    <r>
      <rPr>
        <b/>
        <u/>
        <sz val="10"/>
        <rFont val="Arial"/>
        <family val="2"/>
      </rPr>
      <t>Revised Report Procedure</t>
    </r>
  </si>
  <si>
    <r>
      <t xml:space="preserve">H.  </t>
    </r>
    <r>
      <rPr>
        <b/>
        <u/>
        <sz val="10"/>
        <rFont val="Arial"/>
        <family val="2"/>
      </rPr>
      <t>Report Verification Procedure</t>
    </r>
  </si>
  <si>
    <t>has more than one call during the report period, the data below should be based on their status as of the 1st call.</t>
  </si>
  <si>
    <t># of Current or Prior Consumers Calling</t>
  </si>
  <si>
    <r>
      <t xml:space="preserve">   If the sum of the lettered items does not equal item 2, the amount </t>
    </r>
    <r>
      <rPr>
        <b/>
        <sz val="10"/>
        <color indexed="10"/>
        <rFont val="Arial"/>
        <family val="2"/>
      </rPr>
      <t>Over</t>
    </r>
    <r>
      <rPr>
        <sz val="10"/>
        <rFont val="Arial"/>
        <family val="2"/>
      </rPr>
      <t xml:space="preserve"> or </t>
    </r>
    <r>
      <rPr>
        <b/>
        <sz val="10"/>
        <color indexed="10"/>
        <rFont val="Arial"/>
        <family val="2"/>
      </rPr>
      <t>(Under)</t>
    </r>
    <r>
      <rPr>
        <sz val="10"/>
        <rFont val="Arial"/>
        <family val="2"/>
      </rPr>
      <t xml:space="preserve"> will appear in red font.</t>
    </r>
  </si>
  <si>
    <r>
      <rPr>
        <b/>
        <sz val="10"/>
        <rFont val="Arial"/>
        <family val="2"/>
      </rPr>
      <t>*</t>
    </r>
    <r>
      <rPr>
        <sz val="10"/>
        <rFont val="Arial"/>
        <family val="2"/>
      </rPr>
      <t xml:space="preserve">  If the sum of the lettered items in each section equals item 2, an "</t>
    </r>
    <r>
      <rPr>
        <b/>
        <sz val="10"/>
        <rFont val="Arial"/>
        <family val="2"/>
      </rPr>
      <t>=</t>
    </r>
    <r>
      <rPr>
        <sz val="10"/>
        <rFont val="Arial"/>
        <family val="2"/>
      </rPr>
      <t>" will appear in the last column.</t>
    </r>
  </si>
  <si>
    <r>
      <t xml:space="preserve">REMARKS   </t>
    </r>
    <r>
      <rPr>
        <sz val="12"/>
        <rFont val="Arial"/>
        <family val="2"/>
      </rPr>
      <t>[Complete if applicable.]</t>
    </r>
  </si>
  <si>
    <t xml:space="preserve">For example, if a consumer is scheduled to be released from prison on January 9th and the prison social worker calls on December 9th as part of discharge planning, the LME-MCO access unit/call center should engage in the discharge planning process and schedule appropriate appointment(s) at the time of the call, but count January 9th as the date of the request.  If the appointment was scheduled for January 10th, and the consumer kept the appointment, the LME-MCO would be credited with the consumer having been seen within one day of the request rather than 32 days after the request.  </t>
  </si>
  <si>
    <t>It is expected that the number of callers whose service was paid by Medicaid or State/Block Grant funds that were reported to have been seen within timeliness requirements will be verifiable with claims and other supporting data (as needed) for at least 95% of the sample reviewed.</t>
  </si>
  <si>
    <t>If 95% or greater of the selected events are supported with claims and other apppropriate source data showing the person was seen within the timeframe reported, the report will be considered accurate.</t>
  </si>
  <si>
    <t>Data Verification*</t>
  </si>
  <si>
    <t xml:space="preserve">The date of discharge/release also determines in which quarterly report the information shall be included.  In the above example, this consumer's screening would be reported in the Third Quarter's LME-MCO Call Center Access To Care Performance Report which covers calls received in January - March. </t>
  </si>
  <si>
    <t>It is recommended that the LME-MCO verify the reported dates of first service between 105 - 120 days after the end of the quarter (to allow for a minimum 90 day billing lag following the provision of routine care), to ensure that numbers that may have originated from other data sources are verifiable with claims data.  As described in the Report Verification procedure below, the LME-MCO is expected to maintain evidence of Medicaid or State/Block Grant paid claims to support the numbers of calls by or on behalf of consumers reported having received a service within prescribed timeframes.  If needed, a revised report may be submitted 120 days after the end of the quarter (that is, with the next quarterly report submission).</t>
  </si>
  <si>
    <t>Range name: Population</t>
  </si>
  <si>
    <t>Population Data Source:  NC Office of State Budget and Management (OSBM) website.</t>
  </si>
  <si>
    <t>Å</t>
  </si>
  <si>
    <t>CAUTION.  DO NOT DELETE OR CHANGE THE ENTRIES ON THIS WORKSHEET.</t>
  </si>
  <si>
    <r>
      <t xml:space="preserve">1.  Please explain if the </t>
    </r>
    <r>
      <rPr>
        <b/>
        <sz val="10"/>
        <rFont val="Arial"/>
        <family val="2"/>
      </rPr>
      <t>number of calls requesting services</t>
    </r>
    <r>
      <rPr>
        <sz val="10"/>
        <rFont val="Arial"/>
        <family val="2"/>
      </rPr>
      <t xml:space="preserve"> in 1 - 4</t>
    </r>
    <r>
      <rPr>
        <b/>
        <sz val="10"/>
        <rFont val="Arial"/>
        <family val="2"/>
      </rPr>
      <t xml:space="preserve"> </t>
    </r>
    <r>
      <rPr>
        <sz val="10"/>
        <rFont val="Arial"/>
        <family val="2"/>
      </rPr>
      <t>changed</t>
    </r>
    <r>
      <rPr>
        <b/>
        <sz val="10"/>
        <rFont val="Arial"/>
        <family val="2"/>
      </rPr>
      <t xml:space="preserve"> </t>
    </r>
    <r>
      <rPr>
        <sz val="10"/>
        <rFont val="Arial"/>
        <family val="2"/>
      </rPr>
      <t xml:space="preserve">from the prior quarter by </t>
    </r>
    <r>
      <rPr>
        <b/>
        <sz val="10"/>
        <rFont val="Arial"/>
        <family val="2"/>
      </rPr>
      <t>more than 20%</t>
    </r>
    <r>
      <rPr>
        <sz val="10"/>
        <rFont val="Arial"/>
        <family val="2"/>
      </rPr>
      <t>.  What is the reason?  If it causes concern, what is being done?</t>
    </r>
  </si>
  <si>
    <t xml:space="preserve">* Standard will be reviewed and adjusted if needed after </t>
  </si>
  <si>
    <t xml:space="preserve">   consistent data is received using the new methodology.</t>
  </si>
  <si>
    <t>The report form is to be used by Local Management Entities - Managed Care Organizations (LME-MCOs) to submit a quarterly report of Access, Triage, and Referral for Emergent, Urgent, and Routine Care to the DMH/DD/SAS as required by the LME-MCO's Performance Contract with the NC DHHS.  The report provides summary data of requests for services received by its Call Center for the period indicated.</t>
  </si>
  <si>
    <r>
      <t>Customizing The Template</t>
    </r>
    <r>
      <rPr>
        <sz val="10"/>
        <rFont val="Arial"/>
        <family val="2"/>
      </rPr>
      <t xml:space="preserve">.  You may </t>
    </r>
    <r>
      <rPr>
        <b/>
        <sz val="10"/>
        <rFont val="Arial"/>
        <family val="2"/>
      </rPr>
      <t>customize the report template</t>
    </r>
    <r>
      <rPr>
        <sz val="10"/>
        <rFont val="Arial"/>
        <family val="2"/>
      </rPr>
      <t xml:space="preserve"> worksheet by entering information that will remain the same over time (e.g. </t>
    </r>
    <r>
      <rPr>
        <b/>
        <sz val="10"/>
        <rFont val="Arial"/>
        <family val="2"/>
      </rPr>
      <t>LME-MCO Name</t>
    </r>
    <r>
      <rPr>
        <sz val="10"/>
        <rFont val="Arial"/>
        <family val="2"/>
      </rPr>
      <t xml:space="preserve">, the </t>
    </r>
    <r>
      <rPr>
        <b/>
        <sz val="10"/>
        <rFont val="Arial"/>
        <family val="2"/>
      </rPr>
      <t>Name</t>
    </r>
    <r>
      <rPr>
        <sz val="10"/>
        <rFont val="Arial"/>
        <family val="2"/>
      </rPr>
      <t xml:space="preserve">, </t>
    </r>
    <r>
      <rPr>
        <b/>
        <sz val="10"/>
        <rFont val="Arial"/>
        <family val="2"/>
      </rPr>
      <t>Title</t>
    </r>
    <r>
      <rPr>
        <sz val="10"/>
        <rFont val="Arial"/>
        <family val="2"/>
      </rPr>
      <t xml:space="preserve">, </t>
    </r>
    <r>
      <rPr>
        <b/>
        <sz val="10"/>
        <rFont val="Arial"/>
        <family val="2"/>
      </rPr>
      <t>Phone Number</t>
    </r>
    <r>
      <rPr>
        <sz val="10"/>
        <rFont val="Arial"/>
        <family val="2"/>
      </rPr>
      <t xml:space="preserve"> and </t>
    </r>
    <r>
      <rPr>
        <b/>
        <sz val="10"/>
        <rFont val="Arial"/>
        <family val="2"/>
      </rPr>
      <t>Email</t>
    </r>
    <r>
      <rPr>
        <sz val="10"/>
        <rFont val="Arial"/>
        <family val="2"/>
      </rPr>
      <t xml:space="preserve"> </t>
    </r>
    <r>
      <rPr>
        <b/>
        <sz val="10"/>
        <rFont val="Arial"/>
        <family val="2"/>
      </rPr>
      <t>Address</t>
    </r>
    <r>
      <rPr>
        <sz val="10"/>
        <rFont val="Arial"/>
        <family val="2"/>
      </rPr>
      <t xml:space="preserve"> of the person who will be submitting the report, and the </t>
    </r>
    <r>
      <rPr>
        <b/>
        <sz val="10"/>
        <rFont val="Arial"/>
        <family val="2"/>
      </rPr>
      <t>State Fiscal Year</t>
    </r>
    <r>
      <rPr>
        <sz val="10"/>
        <rFont val="Arial"/>
        <family val="2"/>
      </rPr>
      <t xml:space="preserve">) and save this information in the file as part of the template.  </t>
    </r>
    <r>
      <rPr>
        <sz val="10"/>
        <rFont val="Arial"/>
        <family val="2"/>
      </rPr>
      <t>If you customize the template, update the template when any of this information changes, and make sure the information is still current each time a new quarterly report is created from this template file.</t>
    </r>
  </si>
  <si>
    <t>A random or stratified random sample of screening events will be chosen, and evidence of claims after the screening date will be requested for Medicaid and State/Block Grant funded consumers to verify the caller received a service within the reported timeframe.  As claims data do not include time of service, logs or other source data (e.g. appointment schedules showing appointments kept) may be utilized as evidence of time of service for Emergent services.</t>
  </si>
  <si>
    <t>For verification purposes, NC DMH/DD/SAS or its agents may request individual-level screening detail for specified quarter(s), with the following data elements:  Client ID, Client County of Residence, Date of Screening, Time of Screening, Date of Discharge/Release for persons in criminal justice settings at the time of request, Triage Status (Emergent/Urgent/Routine), Date of First Service, Time of Service (for Emergent), Days from Screening to Service, Insurance Status, Client Status, Primary Disability, Age, Veteran Status, Primary Language.</t>
  </si>
  <si>
    <r>
      <t xml:space="preserve">F.  </t>
    </r>
    <r>
      <rPr>
        <b/>
        <u/>
        <sz val="10"/>
        <rFont val="Arial"/>
        <family val="2"/>
      </rPr>
      <t>How To Report Planned Discharges From Criminal Justice Settings</t>
    </r>
  </si>
  <si>
    <r>
      <t xml:space="preserve">When calculating the amount of time between a call requesting an assessment/treatment service and the initial appointment for persons that are in a criminal justice setting (such as jails, prisons, juvenile detention facilities, and youth development centers) at the time of the request, </t>
    </r>
    <r>
      <rPr>
        <b/>
        <sz val="10"/>
        <rFont val="Arial"/>
        <family val="2"/>
      </rPr>
      <t>count the date of discharge/release from the criminal justice setting as the date of request for services</t>
    </r>
    <r>
      <rPr>
        <sz val="10"/>
        <rFont val="Arial"/>
        <family val="2"/>
      </rPr>
      <t xml:space="preserve"> even though the call requesting the service may have occurred earlier.  This should ensure that the LME-MCO receives credit for providing timely access and is not unfairly penalized by the performance indicator for doing discharge planning before the consumer is available to attend an appointment.</t>
    </r>
  </si>
  <si>
    <r>
      <t xml:space="preserve">a. Number of Emergent Calls </t>
    </r>
    <r>
      <rPr>
        <b/>
        <sz val="12"/>
        <rFont val="Arial"/>
        <family val="2"/>
      </rPr>
      <t>Referred To 911</t>
    </r>
    <r>
      <rPr>
        <sz val="12"/>
        <rFont val="Arial"/>
        <family val="2"/>
      </rPr>
      <t xml:space="preserve"> For Safety/Medical Reasons</t>
    </r>
  </si>
  <si>
    <r>
      <t xml:space="preserve">b. Number of Emergent Calls Referred to Community Providers For Which Care Was </t>
    </r>
    <r>
      <rPr>
        <b/>
        <sz val="12"/>
        <rFont val="Arial"/>
        <family val="2"/>
      </rPr>
      <t>Provided Within 2 Hours 15 Minutes</t>
    </r>
    <r>
      <rPr>
        <sz val="12"/>
        <rFont val="Arial"/>
        <family val="2"/>
      </rPr>
      <t xml:space="preserve"> Of Request</t>
    </r>
  </si>
  <si>
    <t>c. Percent of Emergent Calls That Received Timely Services</t>
  </si>
  <si>
    <r>
      <t xml:space="preserve">a. Number For Which A Service Was </t>
    </r>
    <r>
      <rPr>
        <b/>
        <sz val="12"/>
        <rFont val="Arial"/>
        <family val="2"/>
      </rPr>
      <t>Provided Within 2 Calendar Days</t>
    </r>
    <r>
      <rPr>
        <sz val="12"/>
        <rFont val="Arial"/>
        <family val="2"/>
      </rPr>
      <t xml:space="preserve"> of Request</t>
    </r>
  </si>
  <si>
    <t>b. Percent of Calls That Received Timely Services</t>
  </si>
  <si>
    <r>
      <t xml:space="preserve">a. Number For Which A Service was </t>
    </r>
    <r>
      <rPr>
        <b/>
        <sz val="12"/>
        <rFont val="Arial"/>
        <family val="2"/>
      </rPr>
      <t>Provided Within 14 Calendar Days</t>
    </r>
    <r>
      <rPr>
        <sz val="12"/>
        <rFont val="Arial"/>
        <family val="2"/>
      </rPr>
      <t xml:space="preserve"> Of Request</t>
    </r>
  </si>
  <si>
    <r>
      <rPr>
        <sz val="12"/>
        <color theme="3" tint="-0.249977111117893"/>
        <rFont val="Arial"/>
        <family val="2"/>
      </rPr>
      <t>c</t>
    </r>
    <r>
      <rPr>
        <sz val="12"/>
        <rFont val="Arial"/>
        <family val="2"/>
      </rPr>
      <t>. Average Days From Screening To Service For Those Who Received A Service</t>
    </r>
  </si>
  <si>
    <r>
      <t>Purpose</t>
    </r>
    <r>
      <rPr>
        <sz val="10"/>
        <rFont val="Arial"/>
        <family val="2"/>
      </rPr>
      <t>.  This form is to be used by Local Management Entities - Managed Care Organizations (LME-MCOs) to submit a quarterly report of Call Center calls and Access To Care performance.  Source data and methodology should be documented, verifiable and auditable.  All consumer/family calls requesting MH/DD/SA services that meet clinical threshold and eligibility are counted; persons may be duplicated if they call more than once.</t>
    </r>
  </si>
  <si>
    <t xml:space="preserve">These numbers do not include consumer/family calls made directly to a provider, walk-ins, or calls received from a provider for any administrative or care coordination purpose (such as registering a consumer, documenting an STR, requesting service authorization, or arranging follow-up care or a referral to a different service or provider).  These numbers do not include calls that do not meet clinical threshold and eligibility for Medicaid and/or State/Block Grant funded services, and they do not include calls that the LME-MCO Call Center(s) may receive for other purposes (e.g. requesting information about benefits, claims, complaints, appeals, community resources, etc.). </t>
  </si>
  <si>
    <r>
      <t>Item 1.  Number Determined to Need Emergent Care</t>
    </r>
    <r>
      <rPr>
        <sz val="10"/>
        <rFont val="Arial"/>
        <family val="2"/>
      </rPr>
      <t>.  Enter the number of calls requesting services by or on behalf of persons who were determined to need emergent care.  Emergent is defined as a life-threatening or non life-threatening emergency.</t>
    </r>
  </si>
  <si>
    <r>
      <t>Item 1.a. Number of Emergent Calls Referred to 911 For Safety/Medical Reasons</t>
    </r>
    <r>
      <rPr>
        <sz val="10"/>
        <rFont val="Arial"/>
        <family val="2"/>
      </rPr>
      <t>.  Of the number of calls by or on behalf of persons who were determined to need emergent care, enter the number that were referred to 911 for immediate response by law enforcement or emergency medical services for safety and/or medical reasons.</t>
    </r>
  </si>
  <si>
    <r>
      <t>Item 1.b. Number For Which Care Was Provided Within 2 Hours 15 Minutes of Request</t>
    </r>
    <r>
      <rPr>
        <sz val="10"/>
        <rFont val="Arial"/>
        <family val="2"/>
      </rPr>
      <t>.  Of the number of calls by or on behalf of persons who were determined to need emergent care, enter the number that had a face-to-face emergency/crisis service within 2 hours 15 minutes of the start of the call to the LME-MCO's Access Unit/Call Center.  Do not include in this number calls that were referred to 911 and reported in item 1.a.</t>
    </r>
  </si>
  <si>
    <r>
      <t>Item 2.  Number Determined to Need Urgent Care</t>
    </r>
    <r>
      <rPr>
        <sz val="10"/>
        <rFont val="Arial"/>
        <family val="2"/>
      </rPr>
      <t>.  Enter the number of calls requesting services by or on behalf of persons who were determined to need urgent care.  Urgent is defined as a situation in which an individual is determined to be at risk of experiencing an emergency situation if he or she does not receive care, treatment, or support services in the near future.</t>
    </r>
  </si>
  <si>
    <r>
      <t>Item 2.a. Number For Which Care Was Provided within 2 Calendar Days</t>
    </r>
    <r>
      <rPr>
        <sz val="10"/>
        <rFont val="Arial"/>
        <family val="2"/>
      </rPr>
      <t xml:space="preserve">.  Of the number of calls by or on behalf of persons who were determined to need Urgent care, enter the number that were seen within 2 calendar days of the call to the LME-MCO's Access Unit/Call Center.  Include in this number callers who may have "no showed" for or rescheduled an initial appointment offered at an earlier date/time within the 2 day period but were still seen within the 2 day time frame. </t>
    </r>
  </si>
  <si>
    <r>
      <t>Item 3. Number Determined to Need Routine Care</t>
    </r>
    <r>
      <rPr>
        <sz val="10"/>
        <rFont val="Arial"/>
        <family val="2"/>
      </rPr>
      <t>.  Enter the number of calls requesting services by or on behalf of persons who were determined to need routine care.  Routine is defined as a situation in which an individual is determined to be in need of services but the individual does not meet either emergent or urgent care criteria.</t>
    </r>
    <r>
      <rPr>
        <b/>
        <sz val="10"/>
        <rFont val="Arial"/>
        <family val="2"/>
      </rPr>
      <t/>
    </r>
  </si>
  <si>
    <r>
      <t>Item 3.a. Number For Which A Service Was Provided Within 14 Calendar Days</t>
    </r>
    <r>
      <rPr>
        <sz val="10"/>
        <rFont val="Arial"/>
        <family val="2"/>
      </rPr>
      <t xml:space="preserve">.  Of the number of calls by or on behalf of persons who were determined to need Routine care, enter the number that were seen (for assessment and/or treatment) within 14 calendar days of the call to the LME-MCO's Access Unit/Call Center.  Include in this number callers who may have "no showed" for or rescheduled an initial appointment offered at an earlier date/time within the 14 calendar day period but were still seen within the 14 day time frame. </t>
    </r>
  </si>
  <si>
    <r>
      <t>Item 3.c. Average Days From Screening To Service For Those Who Received Service</t>
    </r>
    <r>
      <rPr>
        <sz val="10"/>
        <rFont val="Arial"/>
        <family val="2"/>
      </rPr>
      <t>.  Of the number of calls by or on behalf of persons who were determined to need routine care that received a service, calculate and enter the average number of days from screening to receipt of the service.  Include in the average all callers that received a service regardless of whether or not the service was received within 14 calendar days.  For callers that received a same day service, count the number of days from screening to receipt of the service as "0".  Exclude from the average callers that did not receive a service by the date the report was prepared.</t>
    </r>
  </si>
  <si>
    <t>First Quarter</t>
  </si>
  <si>
    <t>Trillium Health Resources</t>
  </si>
  <si>
    <t>2020-2021</t>
  </si>
  <si>
    <t>2021-2022</t>
  </si>
  <si>
    <t>http://www.osbm.state.nc.us/demog/countytotals_singleage_2016.html</t>
  </si>
  <si>
    <t>As of July 2016</t>
  </si>
  <si>
    <t>SFY2017 Population (Ages 3+)</t>
  </si>
  <si>
    <t>Last updated 10/8/15.  Downloaded 2/23/16.</t>
  </si>
  <si>
    <t>County Name</t>
  </si>
  <si>
    <t>LME-MCO Name</t>
  </si>
  <si>
    <t>Alamance</t>
  </si>
  <si>
    <t>Alexander</t>
  </si>
  <si>
    <t>Alleghany</t>
  </si>
  <si>
    <t>Anson</t>
  </si>
  <si>
    <t>Ashe</t>
  </si>
  <si>
    <t>Avery</t>
  </si>
  <si>
    <t>Beaufort</t>
  </si>
  <si>
    <t>Bertie</t>
  </si>
  <si>
    <t>Bladen</t>
  </si>
  <si>
    <t>Brunswick</t>
  </si>
  <si>
    <t>Buncombe</t>
  </si>
  <si>
    <t>Burke</t>
  </si>
  <si>
    <t>Cabarrus</t>
  </si>
  <si>
    <t>Caldwell</t>
  </si>
  <si>
    <t>Camden</t>
  </si>
  <si>
    <t>Carteret</t>
  </si>
  <si>
    <t>Caswell</t>
  </si>
  <si>
    <t>Catawba</t>
  </si>
  <si>
    <t>Chatham</t>
  </si>
  <si>
    <t>Cherokee</t>
  </si>
  <si>
    <t>Chowan</t>
  </si>
  <si>
    <t>Clay</t>
  </si>
  <si>
    <t>Cleveland</t>
  </si>
  <si>
    <t>Columbus</t>
  </si>
  <si>
    <t>Craven</t>
  </si>
  <si>
    <t>Cumberland</t>
  </si>
  <si>
    <t>Currituck</t>
  </si>
  <si>
    <t>Dare</t>
  </si>
  <si>
    <t>Davidson</t>
  </si>
  <si>
    <t>Davie</t>
  </si>
  <si>
    <t>Duplin</t>
  </si>
  <si>
    <t>Durham</t>
  </si>
  <si>
    <t>Edgecombe</t>
  </si>
  <si>
    <t>Forsyth</t>
  </si>
  <si>
    <t>Franklin</t>
  </si>
  <si>
    <t>Gaston</t>
  </si>
  <si>
    <t>Gates</t>
  </si>
  <si>
    <t>Graham</t>
  </si>
  <si>
    <t>Granville</t>
  </si>
  <si>
    <t>Greene</t>
  </si>
  <si>
    <t>Guilford</t>
  </si>
  <si>
    <t>Halifax</t>
  </si>
  <si>
    <t>Harnett</t>
  </si>
  <si>
    <t>Haywood</t>
  </si>
  <si>
    <t>Henderson</t>
  </si>
  <si>
    <t>Hertford</t>
  </si>
  <si>
    <t>Hoke</t>
  </si>
  <si>
    <t>Hyde</t>
  </si>
  <si>
    <t>Iredell</t>
  </si>
  <si>
    <t>Jackson</t>
  </si>
  <si>
    <t>Johnston</t>
  </si>
  <si>
    <t>Jones</t>
  </si>
  <si>
    <t>Lee</t>
  </si>
  <si>
    <t>Lenoir</t>
  </si>
  <si>
    <t>Lincoln</t>
  </si>
  <si>
    <t>Macon</t>
  </si>
  <si>
    <t>Madison</t>
  </si>
  <si>
    <t>Martin</t>
  </si>
  <si>
    <t>McDowell</t>
  </si>
  <si>
    <t>Mecklenburg</t>
  </si>
  <si>
    <t>Mitchell</t>
  </si>
  <si>
    <t>Montgomery</t>
  </si>
  <si>
    <t>Moore</t>
  </si>
  <si>
    <t>Nash</t>
  </si>
  <si>
    <t>New Hanover</t>
  </si>
  <si>
    <t>Northampton</t>
  </si>
  <si>
    <t>Onslow</t>
  </si>
  <si>
    <t>Orange</t>
  </si>
  <si>
    <t>Pamlico</t>
  </si>
  <si>
    <t>Pasquotank</t>
  </si>
  <si>
    <t>Pender</t>
  </si>
  <si>
    <t>Perquimans</t>
  </si>
  <si>
    <t>Person</t>
  </si>
  <si>
    <t>Pitt</t>
  </si>
  <si>
    <t>Polk</t>
  </si>
  <si>
    <t>Randolph</t>
  </si>
  <si>
    <t>Richmond</t>
  </si>
  <si>
    <t>Robeson</t>
  </si>
  <si>
    <t>Rockingham</t>
  </si>
  <si>
    <t>Rowan</t>
  </si>
  <si>
    <t>Rutherford</t>
  </si>
  <si>
    <t>Sampson</t>
  </si>
  <si>
    <t>Scotland</t>
  </si>
  <si>
    <t>Stanly</t>
  </si>
  <si>
    <t>Stokes</t>
  </si>
  <si>
    <t>Surry</t>
  </si>
  <si>
    <t>Swain</t>
  </si>
  <si>
    <t>Transylvania</t>
  </si>
  <si>
    <t>Tyrrell</t>
  </si>
  <si>
    <t>Union</t>
  </si>
  <si>
    <t>Vance</t>
  </si>
  <si>
    <t>Wake</t>
  </si>
  <si>
    <t>Warren</t>
  </si>
  <si>
    <t>Washington</t>
  </si>
  <si>
    <t>Watauga</t>
  </si>
  <si>
    <t>Wayne</t>
  </si>
  <si>
    <t>Wilkes</t>
  </si>
  <si>
    <t>Wilson</t>
  </si>
  <si>
    <t>Yadkin</t>
  </si>
  <si>
    <t>Yancey</t>
  </si>
  <si>
    <t>July 1, 2016 LME-MCO Configuration</t>
  </si>
  <si>
    <t>Range name:  Counties</t>
  </si>
  <si>
    <t>LME-MCO:</t>
  </si>
  <si>
    <t>c. Average Days From Screening To Service For Those Who Received A Service</t>
  </si>
  <si>
    <t>Total Calls</t>
  </si>
  <si>
    <t>a. Calls Referred To 911 For Safety/Medical Reasons</t>
  </si>
  <si>
    <t>b. Calls Referred to Community Providers Seen Within 2 Hours 15 Minutes</t>
  </si>
  <si>
    <t>a. Service Was Provided Within 2 Calendar Days</t>
  </si>
  <si>
    <t>a. Service Provided Within 14 Calendar Days</t>
  </si>
  <si>
    <t>2. Calls Determined To Need Urgent</t>
  </si>
  <si>
    <t>1. Calls Determined To Need Emergent</t>
  </si>
  <si>
    <t>3. Calls Determined To Need Routine</t>
  </si>
  <si>
    <t>Unknown</t>
  </si>
  <si>
    <t>County</t>
  </si>
  <si>
    <t>County Level Data</t>
  </si>
  <si>
    <t># Counties ≥ Performance Standard:</t>
  </si>
  <si>
    <t>% Counties ≥ Performance Standard:</t>
  </si>
  <si>
    <t>Note:  This field is linked to the population table on the "Data Validation and Lookup" worksheet.  If the SFY on row 5 above does not match the year for the population table, a warning message will display.</t>
  </si>
  <si>
    <t>Emergent Calls</t>
  </si>
  <si>
    <t>Emergent Seen Timely</t>
  </si>
  <si>
    <t>Emergent Pct Timely</t>
  </si>
  <si>
    <t>Urgent Calls</t>
  </si>
  <si>
    <t>Urgent Seen Timely</t>
  </si>
  <si>
    <t>Urgent Pct Timely</t>
  </si>
  <si>
    <t>Routine Calls</t>
  </si>
  <si>
    <t>Routine Seen Timely</t>
  </si>
  <si>
    <t>Routine Pct Timely</t>
  </si>
  <si>
    <t>Avg Days To Service</t>
  </si>
  <si>
    <t>LME-MCO Total</t>
  </si>
  <si>
    <t>Quarter</t>
  </si>
  <si>
    <t>Payer</t>
  </si>
  <si>
    <t>Emergent to 911</t>
  </si>
  <si>
    <r>
      <rPr>
        <b/>
        <sz val="14"/>
        <color rgb="FFFF0000"/>
        <rFont val="Arial"/>
        <family val="2"/>
      </rPr>
      <t>FOR DMH/DD/SAS USE ONLY</t>
    </r>
    <r>
      <rPr>
        <b/>
        <sz val="14"/>
        <color theme="1"/>
        <rFont val="Arial"/>
        <family val="2"/>
      </rPr>
      <t xml:space="preserve"> - Data Extraction Sheet For County Level Data</t>
    </r>
  </si>
  <si>
    <t>Extract</t>
  </si>
  <si>
    <t>Total Threshold Calls</t>
  </si>
  <si>
    <r>
      <rPr>
        <b/>
        <u/>
        <sz val="10"/>
        <rFont val="Arial"/>
        <family val="2"/>
      </rPr>
      <t>Instructions</t>
    </r>
    <r>
      <rPr>
        <b/>
        <sz val="10"/>
        <rFont val="Arial"/>
        <family val="2"/>
      </rPr>
      <t>:</t>
    </r>
    <r>
      <rPr>
        <sz val="10"/>
        <rFont val="Arial"/>
        <family val="2"/>
      </rPr>
      <t xml:space="preserve">  Enter Unduplicated Persons for Items 3 - 8.  The sum of the lettered items should equal Item 2.  If a person</t>
    </r>
  </si>
  <si>
    <r>
      <t xml:space="preserve">When the </t>
    </r>
    <r>
      <rPr>
        <b/>
        <sz val="10"/>
        <rFont val="Arial"/>
        <family val="2"/>
      </rPr>
      <t>State Fiscal Year</t>
    </r>
    <r>
      <rPr>
        <sz val="10"/>
        <rFont val="Arial"/>
        <family val="2"/>
      </rPr>
      <t xml:space="preserve"> and </t>
    </r>
    <r>
      <rPr>
        <b/>
        <sz val="10"/>
        <rFont val="Arial"/>
        <family val="2"/>
      </rPr>
      <t>Quarter</t>
    </r>
    <r>
      <rPr>
        <sz val="10"/>
        <rFont val="Arial"/>
        <family val="2"/>
      </rPr>
      <t xml:space="preserve"> are selected from the drop-down list provided, the worksheet will automatically display the </t>
    </r>
    <r>
      <rPr>
        <b/>
        <sz val="10"/>
        <rFont val="Arial"/>
        <family val="2"/>
      </rPr>
      <t>Date Range</t>
    </r>
    <r>
      <rPr>
        <sz val="10"/>
        <rFont val="Arial"/>
        <family val="2"/>
      </rPr>
      <t xml:space="preserve">.  </t>
    </r>
  </si>
  <si>
    <t>Calls that meet clinical threshold and eligibility for Medicaid and/or State/Block Grant funded services and are determined to need emergent, urgent, and routine care will be reported in items 1, 2, and 3 on page 3 of the report.  The number of calls in item 4 is generated by a formula that automatically sums the numbers entered in items 1 - 3.</t>
  </si>
  <si>
    <r>
      <t>Item 1.c. Percent of Emergent Calls That Received Timely Services</t>
    </r>
    <r>
      <rPr>
        <sz val="10"/>
        <rFont val="Arial"/>
        <family val="2"/>
      </rPr>
      <t xml:space="preserve">.  The formula that calculates this percentage credits both calls that were referred to 911 (in item 1.a.) and the number of calls that had a face-to-face emergency/crisis service within 2 hours 15 minutes (in item 1.b.).  </t>
    </r>
  </si>
  <si>
    <t>Timely Service</t>
  </si>
  <si>
    <t>1.c. Emergent Percent Received Timely Services</t>
  </si>
  <si>
    <t>2.b. Urgent Percent Received Timely Services</t>
  </si>
  <si>
    <t>3.b. Routine Percent Received Timely Services</t>
  </si>
  <si>
    <t>c. Average Days From Screening To Service For Those Who Received A Routine Care Service</t>
  </si>
  <si>
    <t>Combined Payer</t>
  </si>
  <si>
    <r>
      <t>When and Where To Submit</t>
    </r>
    <r>
      <rPr>
        <sz val="10"/>
        <rFont val="Arial"/>
        <family val="2"/>
      </rPr>
      <t xml:space="preserve">.  Submit this report electronically via email </t>
    </r>
    <r>
      <rPr>
        <b/>
        <sz val="10"/>
        <rFont val="Arial"/>
        <family val="2"/>
      </rPr>
      <t>by the 30th of the month following the end of the quarter</t>
    </r>
    <r>
      <rPr>
        <sz val="10"/>
        <rFont val="Arial"/>
        <family val="2"/>
      </rPr>
      <t xml:space="preserve"> to the DMH/DD/SAS Quality Management Section at:  </t>
    </r>
    <r>
      <rPr>
        <b/>
        <sz val="10"/>
        <rFont val="Arial"/>
        <family val="2"/>
      </rPr>
      <t>ContactDMHQuality@dhhs.nc.gov</t>
    </r>
  </si>
  <si>
    <r>
      <t xml:space="preserve">Submit this report electronically via email </t>
    </r>
    <r>
      <rPr>
        <b/>
        <sz val="10"/>
        <color indexed="12"/>
        <rFont val="Arial"/>
        <family val="2"/>
      </rPr>
      <t>as an Excel file</t>
    </r>
    <r>
      <rPr>
        <sz val="10"/>
        <rFont val="Arial"/>
        <family val="2"/>
      </rPr>
      <t xml:space="preserve"> </t>
    </r>
    <r>
      <rPr>
        <b/>
        <sz val="10"/>
        <rFont val="Arial"/>
        <family val="2"/>
      </rPr>
      <t>by the 30th of the month</t>
    </r>
    <r>
      <rPr>
        <sz val="10"/>
        <rFont val="Arial"/>
        <family val="2"/>
      </rPr>
      <t xml:space="preserve"> </t>
    </r>
    <r>
      <rPr>
        <b/>
        <sz val="10"/>
        <rFont val="Arial"/>
        <family val="2"/>
      </rPr>
      <t>following the end of the quarter</t>
    </r>
    <r>
      <rPr>
        <sz val="10"/>
        <rFont val="Arial"/>
        <family val="2"/>
      </rPr>
      <t xml:space="preserve"> to the DMH/DD/SAS Quality Management Section.  The email address is </t>
    </r>
    <r>
      <rPr>
        <b/>
        <sz val="10"/>
        <rFont val="Arial"/>
        <family val="2"/>
      </rPr>
      <t>ContactDMHQuality@dhhs.nc.gov.</t>
    </r>
    <r>
      <rPr>
        <sz val="10"/>
        <rFont val="Arial"/>
        <family val="2"/>
      </rPr>
      <t xml:space="preserve">  </t>
    </r>
  </si>
  <si>
    <r>
      <t>Questions</t>
    </r>
    <r>
      <rPr>
        <sz val="10"/>
        <rFont val="Arial"/>
        <family val="2"/>
      </rPr>
      <t xml:space="preserve"> about the report should be directed to the DMH/DD/SAS Quality Management Section at the </t>
    </r>
    <r>
      <rPr>
        <b/>
        <sz val="10"/>
        <rFont val="Arial"/>
        <family val="2"/>
      </rPr>
      <t xml:space="preserve">above email </t>
    </r>
    <r>
      <rPr>
        <sz val="10"/>
        <rFont val="Arial"/>
        <family val="2"/>
      </rPr>
      <t xml:space="preserve">address or by calling </t>
    </r>
    <r>
      <rPr>
        <b/>
        <sz val="10"/>
        <rFont val="Arial"/>
        <family val="2"/>
      </rPr>
      <t>(919) 733-0696</t>
    </r>
    <r>
      <rPr>
        <sz val="10"/>
        <rFont val="Arial"/>
        <family val="2"/>
      </rPr>
      <t>.</t>
    </r>
  </si>
  <si>
    <r>
      <t xml:space="preserve">Enter the request and appointment timeliness information in the appropriate payer section on the Page 3 worksheet based on the person’s enrollment status </t>
    </r>
    <r>
      <rPr>
        <u/>
        <sz val="10"/>
        <rFont val="Arial"/>
        <family val="2"/>
      </rPr>
      <t>at the time of the request for services</t>
    </r>
    <r>
      <rPr>
        <sz val="10"/>
        <rFont val="Arial"/>
        <family val="2"/>
      </rPr>
      <t xml:space="preserve">. </t>
    </r>
  </si>
  <si>
    <r>
      <t>Medicaid</t>
    </r>
    <r>
      <rPr>
        <sz val="10"/>
        <rFont val="Arial"/>
        <family val="2"/>
      </rPr>
      <t>.  Enter information about the request for service and appointment timeliness in the Medicaid section if the person requesting services was clearly enrolled in Medicaid at the time of the request for services.</t>
    </r>
  </si>
  <si>
    <r>
      <t>Non-Medicaid</t>
    </r>
    <r>
      <rPr>
        <sz val="10"/>
        <rFont val="Arial"/>
        <family val="2"/>
      </rPr>
      <t>.  Enter information about the request for service and appointment timeliness in the Non-Medicaid section if the person requesting services was not clearly enrolled in Medicaid at the time of the request for services.</t>
    </r>
  </si>
  <si>
    <r>
      <t xml:space="preserve">The report consists of three worksheets - </t>
    </r>
    <r>
      <rPr>
        <b/>
        <sz val="10"/>
        <rFont val="Arial"/>
        <family val="2"/>
      </rPr>
      <t>Page 1</t>
    </r>
    <r>
      <rPr>
        <sz val="10"/>
        <rFont val="Arial"/>
        <family val="2"/>
      </rPr>
      <t xml:space="preserve"> (LME-MCO level data), </t>
    </r>
    <r>
      <rPr>
        <b/>
        <sz val="10"/>
        <rFont val="Arial"/>
        <family val="2"/>
      </rPr>
      <t>Page 2</t>
    </r>
    <r>
      <rPr>
        <sz val="10"/>
        <rFont val="Arial"/>
        <family val="2"/>
      </rPr>
      <t xml:space="preserve"> (characteristics of persons requesting services), and </t>
    </r>
    <r>
      <rPr>
        <b/>
        <sz val="10"/>
        <rFont val="Arial"/>
        <family val="2"/>
      </rPr>
      <t>Page 3</t>
    </r>
    <r>
      <rPr>
        <sz val="10"/>
        <rFont val="Arial"/>
        <family val="2"/>
      </rPr>
      <t xml:space="preserve"> (county level data).  </t>
    </r>
  </si>
  <si>
    <r>
      <rPr>
        <u/>
        <sz val="10"/>
        <rFont val="Arial"/>
        <family val="2"/>
      </rPr>
      <t>Page 1 worksheet</t>
    </r>
    <r>
      <rPr>
        <sz val="10"/>
        <rFont val="Arial"/>
        <family val="2"/>
      </rPr>
      <t xml:space="preserve"> (LME-MCO Level Data).  This worksheet contains 3 sections - a section for LME-MCO </t>
    </r>
    <r>
      <rPr>
        <b/>
        <sz val="10"/>
        <rFont val="Arial"/>
        <family val="2"/>
      </rPr>
      <t>identifying information</t>
    </r>
    <r>
      <rPr>
        <sz val="10"/>
        <rFont val="Arial"/>
        <family val="2"/>
      </rPr>
      <t xml:space="preserve"> at the top, a section for LME-MCO level </t>
    </r>
    <r>
      <rPr>
        <b/>
        <sz val="10"/>
        <rFont val="Arial"/>
        <family val="2"/>
      </rPr>
      <t>summary data</t>
    </r>
    <r>
      <rPr>
        <sz val="10"/>
        <rFont val="Arial"/>
        <family val="2"/>
      </rPr>
      <t xml:space="preserve"> in the middle, and a </t>
    </r>
    <r>
      <rPr>
        <b/>
        <sz val="10"/>
        <rFont val="Arial"/>
        <family val="2"/>
      </rPr>
      <t>Remarks</t>
    </r>
    <r>
      <rPr>
        <sz val="10"/>
        <rFont val="Arial"/>
        <family val="2"/>
      </rPr>
      <t xml:space="preserve"> section at the bottom.</t>
    </r>
  </si>
  <si>
    <r>
      <t xml:space="preserve">Complete the identifying information at the top of the </t>
    </r>
    <r>
      <rPr>
        <b/>
        <sz val="10"/>
        <rFont val="Arial"/>
        <family val="2"/>
      </rPr>
      <t xml:space="preserve">Page 1 </t>
    </r>
    <r>
      <rPr>
        <sz val="10"/>
        <rFont val="Arial"/>
        <family val="2"/>
      </rPr>
      <t xml:space="preserve">worksheet (State Fiscal Year, Quarter, LME-MCO, Date Submitted, and the contact information for the Person Submitting Report).  </t>
    </r>
  </si>
  <si>
    <r>
      <rPr>
        <u/>
        <sz val="10"/>
        <rFont val="Arial"/>
        <family val="2"/>
      </rPr>
      <t>Page 2 worksheet</t>
    </r>
    <r>
      <rPr>
        <sz val="10"/>
        <rFont val="Arial"/>
        <family val="2"/>
      </rPr>
      <t xml:space="preserve"> (Characteristics of Persons Requesting MH/DD/SA Services).  In item 2, enter the unduplicated number of persons requesting MH/IDD/SU services during the measurement period.  For each characteristic in items 3 - 8, enter the unduplicated number of persons involved.  For each numbered item, the sum of persons for all lettered subitems should equal the unduplicated number of persons identified in item 2.  Formulas in Column F (Data Verification) will alert you if the sum of the lettered subitems does not equal the unduplicated total in item 2.</t>
    </r>
  </si>
  <si>
    <r>
      <rPr>
        <u/>
        <sz val="10"/>
        <rFont val="Arial"/>
        <family val="2"/>
      </rPr>
      <t>Page 3 worksheet</t>
    </r>
    <r>
      <rPr>
        <sz val="10"/>
        <rFont val="Arial"/>
        <family val="2"/>
      </rPr>
      <t xml:space="preserve"> (County Level Data). The</t>
    </r>
    <r>
      <rPr>
        <b/>
        <sz val="10"/>
        <rFont val="Arial"/>
        <family val="2"/>
      </rPr>
      <t xml:space="preserve"> Page 3 </t>
    </r>
    <r>
      <rPr>
        <sz val="10"/>
        <rFont val="Arial"/>
        <family val="2"/>
      </rPr>
      <t xml:space="preserve">worksheet is divided into 3 color-coded sections - a green shaded section for </t>
    </r>
    <r>
      <rPr>
        <b/>
        <sz val="10"/>
        <rFont val="Arial"/>
        <family val="2"/>
      </rPr>
      <t>Medicaid</t>
    </r>
    <r>
      <rPr>
        <sz val="10"/>
        <rFont val="Arial"/>
        <family val="2"/>
      </rPr>
      <t xml:space="preserve"> calls, a yellow shaded section for </t>
    </r>
    <r>
      <rPr>
        <b/>
        <sz val="10"/>
        <rFont val="Arial"/>
        <family val="2"/>
      </rPr>
      <t>Non-Medicaid</t>
    </r>
    <r>
      <rPr>
        <sz val="10"/>
        <rFont val="Arial"/>
        <family val="2"/>
      </rPr>
      <t xml:space="preserve"> calls, and a single column blue shaded section for </t>
    </r>
    <r>
      <rPr>
        <b/>
        <sz val="10"/>
        <rFont val="Arial"/>
        <family val="2"/>
      </rPr>
      <t>Combined</t>
    </r>
    <r>
      <rPr>
        <sz val="10"/>
        <rFont val="Arial"/>
        <family val="2"/>
      </rPr>
      <t xml:space="preserve"> payer data.  Except for item 3.c. (Average Days From Screening To Service For Those Who Received A Service), the workbook automatically calculates Combined Payer data by summing the data entered for Medicaid and Non-Medicaid.  Combined Payer data for item 3.c. must be separately entered in the column provided.</t>
    </r>
  </si>
  <si>
    <t>3.c. Average Days From Screening To Service For Those Who Received A Routine Care Service</t>
  </si>
  <si>
    <t>Column:</t>
  </si>
  <si>
    <t>Other</t>
  </si>
  <si>
    <t>Range name: County_Lookup (Used to automatically list an LME-MCO's counties and includes "Other" and "Unknown" county)</t>
  </si>
  <si>
    <r>
      <t>Instructions</t>
    </r>
    <r>
      <rPr>
        <b/>
        <sz val="10"/>
        <color rgb="FF000000"/>
        <rFont val="Arial"/>
        <family val="2"/>
      </rPr>
      <t>:</t>
    </r>
    <r>
      <rPr>
        <sz val="10"/>
        <color rgb="FF000000"/>
        <rFont val="Arial"/>
        <family val="2"/>
      </rPr>
      <t xml:space="preserve">  The columns in this worksheet are divided into 3 color-coded sections based on payer. For calls requesting MH/IDD/SU services that meet eligibility criteria to receive services, please enter all data requested in each column for each applicable county.  Percentages and total calls in </t>
    </r>
    <r>
      <rPr>
        <sz val="10"/>
        <color rgb="FF3333FF"/>
        <rFont val="Arial"/>
        <family val="2"/>
      </rPr>
      <t xml:space="preserve">blue font </t>
    </r>
    <r>
      <rPr>
        <sz val="10"/>
        <color rgb="FF000000"/>
        <rFont val="Arial"/>
        <family val="2"/>
      </rPr>
      <t xml:space="preserve">are automatically generated by a </t>
    </r>
    <r>
      <rPr>
        <sz val="10"/>
        <color rgb="FF3333FF"/>
        <rFont val="Arial"/>
        <family val="2"/>
      </rPr>
      <t>formula</t>
    </r>
    <r>
      <rPr>
        <sz val="10"/>
        <color rgb="FF000000"/>
        <rFont val="Arial"/>
        <family val="2"/>
      </rPr>
      <t xml:space="preserve">.  </t>
    </r>
    <r>
      <rPr>
        <b/>
        <sz val="10"/>
        <color theme="3"/>
        <rFont val="Arial"/>
        <family val="2"/>
      </rPr>
      <t>Column A</t>
    </r>
    <r>
      <rPr>
        <sz val="10"/>
        <color rgb="FF000000"/>
        <rFont val="Arial"/>
        <family val="2"/>
      </rPr>
      <t xml:space="preserve"> automatically displays the counties for the LME-MCO shown in cell </t>
    </r>
    <r>
      <rPr>
        <b/>
        <sz val="10"/>
        <color theme="3"/>
        <rFont val="Arial"/>
        <family val="2"/>
      </rPr>
      <t>B3</t>
    </r>
    <r>
      <rPr>
        <sz val="10"/>
        <color rgb="FF000000"/>
        <rFont val="Arial"/>
        <family val="2"/>
      </rPr>
      <t xml:space="preserve">.  Any unneeded rows will automatically be shaded gray.  </t>
    </r>
    <r>
      <rPr>
        <b/>
        <sz val="10"/>
        <color theme="3"/>
        <rFont val="Arial"/>
        <family val="2"/>
      </rPr>
      <t>For 3.c.</t>
    </r>
    <r>
      <rPr>
        <sz val="10"/>
        <color rgb="FF000000"/>
        <rFont val="Arial"/>
        <family val="2"/>
      </rPr>
      <t xml:space="preserve"> for all 3 payer sections, enter </t>
    </r>
    <r>
      <rPr>
        <b/>
        <sz val="10"/>
        <color theme="3"/>
        <rFont val="Arial"/>
        <family val="2"/>
      </rPr>
      <t>average days from screening to service</t>
    </r>
    <r>
      <rPr>
        <sz val="10"/>
        <color rgb="FF000000"/>
        <rFont val="Arial"/>
        <family val="2"/>
      </rPr>
      <t xml:space="preserve"> for each relevant </t>
    </r>
    <r>
      <rPr>
        <b/>
        <sz val="10"/>
        <color theme="3"/>
        <rFont val="Arial"/>
        <family val="2"/>
      </rPr>
      <t>county</t>
    </r>
    <r>
      <rPr>
        <sz val="10"/>
        <color rgb="FF000000"/>
        <rFont val="Arial"/>
        <family val="2"/>
      </rPr>
      <t xml:space="preserve"> </t>
    </r>
    <r>
      <rPr>
        <b/>
        <u val="double"/>
        <sz val="10"/>
        <color theme="3"/>
        <rFont val="Arial"/>
        <family val="2"/>
      </rPr>
      <t>AND</t>
    </r>
    <r>
      <rPr>
        <sz val="10"/>
        <color rgb="FF000000"/>
        <rFont val="Arial"/>
        <family val="2"/>
      </rPr>
      <t xml:space="preserve"> for the </t>
    </r>
    <r>
      <rPr>
        <b/>
        <sz val="10"/>
        <color theme="3"/>
        <rFont val="Arial"/>
        <family val="2"/>
      </rPr>
      <t>LME-MCO Total</t>
    </r>
    <r>
      <rPr>
        <sz val="10"/>
        <color rgb="FF000000"/>
        <rFont val="Arial"/>
        <family val="2"/>
      </rPr>
      <t xml:space="preserve"> at the bottom.</t>
    </r>
  </si>
  <si>
    <r>
      <t>Creating A Quarterly Report From The Template</t>
    </r>
    <r>
      <rPr>
        <sz val="10"/>
        <rFont val="Arial"/>
        <family val="2"/>
      </rPr>
      <t xml:space="preserve">.  To create a quarterly report file, open the template file, then using the </t>
    </r>
    <r>
      <rPr>
        <b/>
        <sz val="10"/>
        <rFont val="Arial"/>
        <family val="2"/>
      </rPr>
      <t>File Save As</t>
    </r>
    <r>
      <rPr>
        <sz val="10"/>
        <rFont val="Arial"/>
        <family val="2"/>
      </rPr>
      <t xml:space="preserve">… command, </t>
    </r>
    <r>
      <rPr>
        <b/>
        <sz val="10"/>
        <rFont val="Arial"/>
        <family val="2"/>
      </rPr>
      <t>create a copy of the report template worksheet</t>
    </r>
    <r>
      <rPr>
        <sz val="10"/>
        <rFont val="Arial"/>
        <family val="2"/>
      </rPr>
      <t>.  Give the saved file a different name than the report template file that allows easy identification of its contents and date created (e.g. SFY17 Q3 LME-MCO Report of Access 4-30-17.xlsx).  Including the date created will make it easy to distinguish revisions should one be necessary.</t>
    </r>
  </si>
  <si>
    <r>
      <t>Transmitting the Report</t>
    </r>
    <r>
      <rPr>
        <sz val="10"/>
        <rFont val="Arial"/>
        <family val="2"/>
      </rPr>
      <t xml:space="preserve">.  After completing the report each quarter, email a copy of the report to the DMH/DD/SAS Quality Management Section </t>
    </r>
    <r>
      <rPr>
        <b/>
        <u/>
        <sz val="10"/>
        <color indexed="12"/>
        <rFont val="Arial"/>
        <family val="2"/>
      </rPr>
      <t>as an Excel workbook file</t>
    </r>
    <r>
      <rPr>
        <sz val="10"/>
        <rFont val="Arial"/>
        <family val="2"/>
      </rPr>
      <t xml:space="preserve">.  Do not submit the file as a pdf or Word file. </t>
    </r>
  </si>
  <si>
    <r>
      <t>Skip items 1 - 4 (LME-MCO level summary data) in the middle of the</t>
    </r>
    <r>
      <rPr>
        <b/>
        <sz val="10"/>
        <rFont val="Arial"/>
        <family val="2"/>
      </rPr>
      <t xml:space="preserve"> Page 1</t>
    </r>
    <r>
      <rPr>
        <sz val="10"/>
        <rFont val="Arial"/>
        <family val="2"/>
      </rPr>
      <t xml:space="preserve"> worksheet.  Instead, enter this information on the </t>
    </r>
    <r>
      <rPr>
        <b/>
        <sz val="10"/>
        <rFont val="Arial"/>
        <family val="2"/>
      </rPr>
      <t>Page 3</t>
    </r>
    <r>
      <rPr>
        <sz val="10"/>
        <rFont val="Arial"/>
        <family val="2"/>
      </rPr>
      <t xml:space="preserve"> (County Level Data) worksheet.  Formulas on the </t>
    </r>
    <r>
      <rPr>
        <b/>
        <sz val="10"/>
        <rFont val="Arial"/>
        <family val="2"/>
      </rPr>
      <t>Page 1</t>
    </r>
    <r>
      <rPr>
        <sz val="10"/>
        <rFont val="Arial"/>
        <family val="2"/>
      </rPr>
      <t xml:space="preserve"> worksheet will automatically transfer this information from that worksheet.</t>
    </r>
  </si>
  <si>
    <t>This worksheet contains a sufficient number of rows to list all counties for the LME-MCO with the most counties.  For LME-MCOs with fewer counties, conditional formatting automatically shades unneeded rows gray.</t>
  </si>
  <si>
    <r>
      <t xml:space="preserve">1. Number Calls Requesting MH/IDD/SU Services Determined To </t>
    </r>
    <r>
      <rPr>
        <b/>
        <sz val="12"/>
        <rFont val="Arial"/>
        <family val="2"/>
      </rPr>
      <t>Need</t>
    </r>
    <r>
      <rPr>
        <sz val="12"/>
        <rFont val="Arial"/>
        <family val="2"/>
      </rPr>
      <t xml:space="preserve"> </t>
    </r>
    <r>
      <rPr>
        <b/>
        <sz val="12"/>
        <rFont val="Arial"/>
        <family val="2"/>
      </rPr>
      <t>Emergent Care</t>
    </r>
    <r>
      <rPr>
        <sz val="12"/>
        <rFont val="Arial"/>
        <family val="2"/>
      </rPr>
      <t>:</t>
    </r>
  </si>
  <si>
    <r>
      <t xml:space="preserve">2. Number Calls Requesting MH/IDD/SU Services Determined To </t>
    </r>
    <r>
      <rPr>
        <b/>
        <sz val="12"/>
        <rFont val="Arial"/>
        <family val="2"/>
      </rPr>
      <t>Need</t>
    </r>
    <r>
      <rPr>
        <sz val="12"/>
        <rFont val="Arial"/>
        <family val="2"/>
      </rPr>
      <t xml:space="preserve"> </t>
    </r>
    <r>
      <rPr>
        <b/>
        <sz val="12"/>
        <rFont val="Arial"/>
        <family val="2"/>
      </rPr>
      <t>Urgent Care</t>
    </r>
    <r>
      <rPr>
        <sz val="12"/>
        <rFont val="Arial"/>
        <family val="2"/>
      </rPr>
      <t>:</t>
    </r>
  </si>
  <si>
    <r>
      <t xml:space="preserve">3. Number Calls Requesting MH/IDD/SU Services Determined To </t>
    </r>
    <r>
      <rPr>
        <b/>
        <sz val="12"/>
        <rFont val="Arial"/>
        <family val="2"/>
      </rPr>
      <t>Need</t>
    </r>
    <r>
      <rPr>
        <sz val="12"/>
        <rFont val="Arial"/>
        <family val="2"/>
      </rPr>
      <t xml:space="preserve"> </t>
    </r>
    <r>
      <rPr>
        <b/>
        <sz val="12"/>
        <rFont val="Arial"/>
        <family val="2"/>
      </rPr>
      <t>Routine Care</t>
    </r>
    <r>
      <rPr>
        <sz val="12"/>
        <rFont val="Arial"/>
        <family val="2"/>
      </rPr>
      <t>:</t>
    </r>
  </si>
  <si>
    <r>
      <t xml:space="preserve">4. Total Number of Consumer Calls </t>
    </r>
    <r>
      <rPr>
        <b/>
        <sz val="12"/>
        <rFont val="Arial"/>
        <family val="2"/>
      </rPr>
      <t>Requesting MH/IDD/SU Services</t>
    </r>
    <r>
      <rPr>
        <sz val="12"/>
        <rFont val="Arial"/>
        <family val="2"/>
      </rPr>
      <t xml:space="preserve"> Through The LME-MCO's Call Center(s) that were emergent, urgent, or routine.  (sum of 1, 2, and 3)</t>
    </r>
  </si>
  <si>
    <t>Characteristics of Persons Requesting MH/IDD/SU Services</t>
  </si>
  <si>
    <t>Total Number of Calls Requesting MH/IDD/SU Services (from Page 1)</t>
  </si>
  <si>
    <t>4. Total Calls Requesting MH/IDD/SU Services (sum of 1, 2, and 3)</t>
  </si>
  <si>
    <r>
      <t>Items 1 - 4.  Number of Consumer Calls Requesting MH/IDD/SU Services Through the LME-MCO's Call Center(s) that were emergent, urgent, or routine</t>
    </r>
    <r>
      <rPr>
        <sz val="10"/>
        <rFont val="Arial"/>
        <family val="2"/>
      </rPr>
      <t>.  This is the</t>
    </r>
    <r>
      <rPr>
        <b/>
        <sz val="10"/>
        <rFont val="Arial"/>
        <family val="2"/>
      </rPr>
      <t xml:space="preserve"> number of </t>
    </r>
    <r>
      <rPr>
        <b/>
        <sz val="10"/>
        <color theme="3" tint="-0.249977111117893"/>
        <rFont val="Arial"/>
        <family val="2"/>
      </rPr>
      <t>calls</t>
    </r>
    <r>
      <rPr>
        <b/>
        <sz val="10"/>
        <rFont val="Arial"/>
        <family val="2"/>
      </rPr>
      <t xml:space="preserve"> to the LME-MCO's Call Center(s) from consumers/ family members requesting MH/IDD/SU services for whom the Call Center completes a screening, triage, and referral (STR) and determines to meet clinical threshold and eligibility criteria to receive Medicaid and/or State/Block Grant funded emergent, urgent, or routine care</t>
    </r>
    <r>
      <rPr>
        <sz val="10"/>
        <rFont val="Arial"/>
        <family val="2"/>
      </rPr>
      <t xml:space="preserve">.  All calls from consumers/family members requesting MH/IDD/SU services are counted.  Calls are not limited to new consumers or individuals beginning a new episode of care as they were in the past. </t>
    </r>
    <r>
      <rPr>
        <b/>
        <sz val="10"/>
        <rFont val="Arial"/>
        <family val="2"/>
      </rPr>
      <t xml:space="preserve"> </t>
    </r>
    <r>
      <rPr>
        <sz val="10"/>
        <rFont val="Arial"/>
        <family val="2"/>
      </rPr>
      <t xml:space="preserve">Persons may be duplicated if they call more than once during the report period.  Count each call that results in a new STR event separately.  Count multiple calls related to the same appointment only once. If a person calls back to change appointment dates, this is not a new event.  If a previous caller calls back with new issues and needs to be triaged again, then it is a new event and is counted separately.  
</t>
    </r>
  </si>
  <si>
    <t>The entries below affect the drop-down lists and lookup formulas on Page 1 and Page 3.</t>
  </si>
  <si>
    <r>
      <t xml:space="preserve">Complete the </t>
    </r>
    <r>
      <rPr>
        <b/>
        <sz val="10"/>
        <rFont val="Arial"/>
        <family val="2"/>
      </rPr>
      <t>Remarks</t>
    </r>
    <r>
      <rPr>
        <sz val="10"/>
        <rFont val="Arial"/>
        <family val="2"/>
      </rPr>
      <t xml:space="preserve"> section at the bottom of the</t>
    </r>
    <r>
      <rPr>
        <b/>
        <sz val="10"/>
        <rFont val="Arial"/>
        <family val="2"/>
      </rPr>
      <t xml:space="preserve"> Page 1 </t>
    </r>
    <r>
      <rPr>
        <sz val="10"/>
        <rFont val="Arial"/>
        <family val="2"/>
      </rPr>
      <t>worksheet.</t>
    </r>
  </si>
  <si>
    <r>
      <t>Combined</t>
    </r>
    <r>
      <rPr>
        <sz val="10"/>
        <rFont val="Arial"/>
        <family val="2"/>
      </rPr>
      <t xml:space="preserve">.  Except for item 3.c. (Average Days From Screening To Service For Those Who Received A Service), combined payer results will be automatically calculated by formulas that sum the Medicaid and Non-Medicaid numbers entered.  For 3.c., the report does not contain sufficient information to enable formulas to calculate the average days from screening to service for Medicaid and Non-Medicaid callers combined.  LME-MCOs will need to calculate and enter this information in the appropriate columns on the Page 3 worksheet by payer for each county </t>
    </r>
    <r>
      <rPr>
        <u val="double"/>
        <sz val="10"/>
        <rFont val="Arial"/>
        <family val="2"/>
      </rPr>
      <t>AND</t>
    </r>
    <r>
      <rPr>
        <sz val="10"/>
        <rFont val="Arial"/>
        <family val="2"/>
      </rPr>
      <t xml:space="preserve"> for the LME-MCO as a whole.</t>
    </r>
  </si>
  <si>
    <r>
      <t xml:space="preserve">Enter all data requested in each column for calls requesting services and seen within required timeframes in the appropriate row for the consumer's county.  The consumer's county will be the consumer's county of residence.  Columns that display </t>
    </r>
    <r>
      <rPr>
        <sz val="10"/>
        <color theme="3"/>
        <rFont val="Arial"/>
        <family val="2"/>
      </rPr>
      <t>percentages</t>
    </r>
    <r>
      <rPr>
        <sz val="10"/>
        <rFont val="Arial"/>
        <family val="2"/>
      </rPr>
      <t xml:space="preserve"> and </t>
    </r>
    <r>
      <rPr>
        <sz val="10"/>
        <color theme="3"/>
        <rFont val="Arial"/>
        <family val="2"/>
      </rPr>
      <t>total calls</t>
    </r>
    <r>
      <rPr>
        <sz val="10"/>
        <rFont val="Arial"/>
        <family val="2"/>
      </rPr>
      <t xml:space="preserve"> (shown in </t>
    </r>
    <r>
      <rPr>
        <sz val="10"/>
        <color theme="3"/>
        <rFont val="Arial"/>
        <family val="2"/>
      </rPr>
      <t>blue font</t>
    </r>
    <r>
      <rPr>
        <sz val="10"/>
        <rFont val="Arial"/>
        <family val="2"/>
      </rPr>
      <t>)</t>
    </r>
    <r>
      <rPr>
        <sz val="10"/>
        <color theme="3"/>
        <rFont val="Arial"/>
        <family val="2"/>
      </rPr>
      <t xml:space="preserve"> </t>
    </r>
    <r>
      <rPr>
        <sz val="10"/>
        <rFont val="Arial"/>
        <family val="2"/>
      </rPr>
      <t xml:space="preserve">contain formulas that calculate this information.  Please do not change the formulas or enter any data in these columns.
</t>
    </r>
  </si>
  <si>
    <t>Consumer's</t>
  </si>
  <si>
    <t>Consumer's County</t>
  </si>
  <si>
    <r>
      <t>When the LME-MCO name is entered on the Page 1 worksheet, formulas in column A of the Page 3 worksheet automatically enter the LME-MCO's counties along with "</t>
    </r>
    <r>
      <rPr>
        <b/>
        <sz val="10"/>
        <rFont val="Arial"/>
        <family val="2"/>
      </rPr>
      <t>Other</t>
    </r>
    <r>
      <rPr>
        <sz val="10"/>
        <rFont val="Arial"/>
        <family val="2"/>
      </rPr>
      <t>" and "</t>
    </r>
    <r>
      <rPr>
        <b/>
        <sz val="10"/>
        <rFont val="Arial"/>
        <family val="2"/>
      </rPr>
      <t>Uknown</t>
    </r>
    <r>
      <rPr>
        <sz val="10"/>
        <rFont val="Arial"/>
        <family val="2"/>
      </rPr>
      <t>".  Use "</t>
    </r>
    <r>
      <rPr>
        <b/>
        <sz val="10"/>
        <rFont val="Arial"/>
        <family val="2"/>
      </rPr>
      <t>Other</t>
    </r>
    <r>
      <rPr>
        <sz val="10"/>
        <rFont val="Arial"/>
        <family val="2"/>
      </rPr>
      <t>" for calls requesting MH/IDD/SU services from counties outside the LME-MCO's catchment area that meet eligibility requirements to receive services from the LME-MCO and the consumer's county is known.  Use "</t>
    </r>
    <r>
      <rPr>
        <b/>
        <sz val="10"/>
        <rFont val="Arial"/>
        <family val="2"/>
      </rPr>
      <t>Unknown</t>
    </r>
    <r>
      <rPr>
        <sz val="10"/>
        <rFont val="Arial"/>
        <family val="2"/>
      </rPr>
      <t>" for calls requesting MH/IDD/SU services from consumers who meet eligibility requirements to receive services from the LME-MCO and the consumer's county is unknown.</t>
    </r>
  </si>
  <si>
    <t>Vaya Health</t>
  </si>
  <si>
    <t>July 1, 2016 LME-MCO Configuration (includes name change from Smoky Mountain Center to Vaya Health 9/16/16)</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</si>
</sst>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3" formatCode="_(* #,##0.00_);_(* \(#,##0.00\);_(* &quot;-&quot;??_);_(@_)"/>
    <numFmt numFmtId="164" formatCode="_(* #,##0_);_(* \(#,##0\);_(* &quot;-&quot;??_);_(@_)"/>
    <numFmt numFmtId="165" formatCode="0.0%"/>
    <numFmt numFmtId="166" formatCode="mmm\ yyyy"/>
    <numFmt numFmtId="167" formatCode="#,##0.0_);\(#,##0.0\)"/>
    <numFmt numFmtId="168" formatCode="#,##0.0_);[Red]\(#,##0.0\)"/>
    <numFmt numFmtId="169" formatCode="#,##0.0"/>
  </numFmts>
  <fonts count="48" x14ac:knownFonts="1">
    <font>
      <sz val="10"/>
      <name val="Arial"/>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name val="Arial"/>
      <family val="2"/>
    </font>
    <font>
      <b/>
      <sz val="10"/>
      <name val="Arial"/>
      <family val="2"/>
    </font>
    <font>
      <sz val="10"/>
      <name val="Arial"/>
      <family val="2"/>
    </font>
    <font>
      <b/>
      <sz val="12"/>
      <name val="Arial"/>
      <family val="2"/>
    </font>
    <font>
      <b/>
      <sz val="11"/>
      <name val="Arial"/>
      <family val="2"/>
    </font>
    <font>
      <u/>
      <sz val="10"/>
      <name val="Arial"/>
      <family val="2"/>
    </font>
    <font>
      <b/>
      <u/>
      <sz val="10"/>
      <name val="Arial"/>
      <family val="2"/>
    </font>
    <font>
      <i/>
      <sz val="10"/>
      <name val="Arial"/>
      <family val="2"/>
    </font>
    <font>
      <sz val="10"/>
      <color indexed="12"/>
      <name val="Arial"/>
      <family val="2"/>
    </font>
    <font>
      <sz val="10"/>
      <color indexed="12"/>
      <name val="Wingdings 3"/>
      <family val="1"/>
      <charset val="2"/>
    </font>
    <font>
      <b/>
      <u/>
      <sz val="10"/>
      <color indexed="12"/>
      <name val="Arial"/>
      <family val="2"/>
    </font>
    <font>
      <b/>
      <sz val="10"/>
      <color indexed="12"/>
      <name val="Arial"/>
      <family val="2"/>
    </font>
    <font>
      <b/>
      <i/>
      <sz val="10"/>
      <name val="Arial"/>
      <family val="2"/>
    </font>
    <font>
      <b/>
      <sz val="16"/>
      <name val="Arial"/>
      <family val="2"/>
    </font>
    <font>
      <sz val="8"/>
      <color indexed="81"/>
      <name val="Tahoma"/>
      <family val="2"/>
    </font>
    <font>
      <sz val="12"/>
      <name val="Arial"/>
      <family val="2"/>
    </font>
    <font>
      <b/>
      <sz val="10"/>
      <color indexed="10"/>
      <name val="Arial"/>
      <family val="2"/>
    </font>
    <font>
      <sz val="10"/>
      <color theme="3" tint="-0.249977111117893"/>
      <name val="Wingdings 3"/>
      <family val="1"/>
      <charset val="2"/>
    </font>
    <font>
      <b/>
      <sz val="11"/>
      <color theme="3" tint="-0.249977111117893"/>
      <name val="Arial"/>
      <family val="2"/>
    </font>
    <font>
      <sz val="10"/>
      <color theme="3" tint="-0.249977111117893"/>
      <name val="Arial"/>
      <family val="2"/>
    </font>
    <font>
      <sz val="12"/>
      <color theme="3" tint="-0.249977111117893"/>
      <name val="Arial"/>
      <family val="2"/>
    </font>
    <font>
      <b/>
      <sz val="10"/>
      <color rgb="FFFF0000"/>
      <name val="Arial"/>
      <family val="2"/>
    </font>
    <font>
      <b/>
      <sz val="10"/>
      <color theme="3" tint="-0.249977111117893"/>
      <name val="Arial"/>
      <family val="2"/>
    </font>
    <font>
      <u/>
      <sz val="10"/>
      <color theme="10"/>
      <name val="Arial"/>
      <family val="2"/>
    </font>
    <font>
      <b/>
      <sz val="10"/>
      <color theme="1"/>
      <name val="Arial"/>
      <family val="2"/>
    </font>
    <font>
      <sz val="10"/>
      <color theme="3"/>
      <name val="Arial"/>
      <family val="2"/>
    </font>
    <font>
      <b/>
      <sz val="10"/>
      <color theme="3"/>
      <name val="Arial"/>
      <family val="2"/>
    </font>
    <font>
      <b/>
      <sz val="9"/>
      <color indexed="81"/>
      <name val="Tahoma"/>
      <family val="2"/>
    </font>
    <font>
      <sz val="9"/>
      <color indexed="81"/>
      <name val="Tahoma"/>
      <family val="2"/>
    </font>
    <font>
      <b/>
      <sz val="14"/>
      <name val="Arial"/>
      <family val="2"/>
    </font>
    <font>
      <b/>
      <sz val="14"/>
      <color theme="1"/>
      <name val="Arial"/>
      <family val="2"/>
    </font>
    <font>
      <b/>
      <sz val="14"/>
      <color rgb="FFFF0000"/>
      <name val="Arial"/>
      <family val="2"/>
    </font>
    <font>
      <b/>
      <sz val="16"/>
      <color theme="1"/>
      <name val="Arial"/>
      <family val="2"/>
    </font>
    <font>
      <b/>
      <sz val="11"/>
      <color theme="1"/>
      <name val="Arial"/>
      <family val="2"/>
    </font>
    <font>
      <b/>
      <u/>
      <sz val="10"/>
      <color rgb="FF000000"/>
      <name val="Arial"/>
      <family val="2"/>
    </font>
    <font>
      <b/>
      <sz val="10"/>
      <color rgb="FF000000"/>
      <name val="Arial"/>
      <family val="2"/>
    </font>
    <font>
      <sz val="10"/>
      <color rgb="FF000000"/>
      <name val="Arial"/>
      <family val="2"/>
    </font>
    <font>
      <sz val="10"/>
      <color rgb="FF3333FF"/>
      <name val="Arial"/>
      <family val="2"/>
    </font>
    <font>
      <b/>
      <u val="double"/>
      <sz val="10"/>
      <color theme="3"/>
      <name val="Arial"/>
      <family val="2"/>
    </font>
    <font>
      <u val="double"/>
      <sz val="10"/>
      <name val="Arial"/>
      <family val="2"/>
    </font>
  </fonts>
  <fills count="10">
    <fill>
      <patternFill patternType="none"/>
    </fill>
    <fill>
      <patternFill patternType="gray125"/>
    </fill>
    <fill>
      <patternFill patternType="solid">
        <fgColor theme="0" tint="-0.24994659260841701"/>
        <bgColor indexed="64"/>
      </patternFill>
    </fill>
    <fill>
      <patternFill patternType="solid">
        <fgColor theme="0" tint="-0.14996795556505021"/>
        <bgColor indexed="64"/>
      </patternFill>
    </fill>
    <fill>
      <patternFill patternType="solid">
        <fgColor theme="5" tint="0.79998168889431442"/>
        <bgColor indexed="64"/>
      </patternFill>
    </fill>
    <fill>
      <patternFill patternType="solid">
        <fgColor indexed="41"/>
        <bgColor indexed="64"/>
      </patternFill>
    </fill>
    <fill>
      <patternFill patternType="solid">
        <fgColor theme="4" tint="0.79998168889431442"/>
        <bgColor indexed="64"/>
      </patternFill>
    </fill>
    <fill>
      <patternFill patternType="solid">
        <fgColor theme="7"/>
        <bgColor indexed="64"/>
      </patternFill>
    </fill>
    <fill>
      <patternFill patternType="solid">
        <fgColor theme="2"/>
        <bgColor indexed="64"/>
      </patternFill>
    </fill>
    <fill>
      <patternFill patternType="solid">
        <fgColor theme="8" tint="0.79998168889431442"/>
        <bgColor indexed="64"/>
      </patternFill>
    </fill>
  </fills>
  <borders count="98">
    <border>
      <left/>
      <right/>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double">
        <color indexed="64"/>
      </right>
      <top style="thin">
        <color indexed="64"/>
      </top>
      <bottom style="thin">
        <color indexed="64"/>
      </bottom>
      <diagonal/>
    </border>
    <border>
      <left/>
      <right/>
      <top style="medium">
        <color indexed="64"/>
      </top>
      <bottom style="double">
        <color indexed="64"/>
      </bottom>
      <diagonal/>
    </border>
    <border>
      <left/>
      <right/>
      <top/>
      <bottom style="medium">
        <color indexed="64"/>
      </bottom>
      <diagonal/>
    </border>
    <border>
      <left style="medium">
        <color indexed="64"/>
      </left>
      <right/>
      <top style="medium">
        <color indexed="64"/>
      </top>
      <bottom style="double">
        <color indexed="64"/>
      </bottom>
      <diagonal/>
    </border>
    <border>
      <left style="thin">
        <color indexed="64"/>
      </left>
      <right style="double">
        <color indexed="64"/>
      </right>
      <top/>
      <bottom style="thin">
        <color indexed="64"/>
      </bottom>
      <diagonal/>
    </border>
    <border>
      <left style="thick">
        <color indexed="64"/>
      </left>
      <right style="thin">
        <color indexed="64"/>
      </right>
      <top/>
      <bottom style="thin">
        <color indexed="64"/>
      </bottom>
      <diagonal/>
    </border>
    <border>
      <left/>
      <right style="thick">
        <color indexed="64"/>
      </right>
      <top/>
      <bottom style="thin">
        <color indexed="64"/>
      </bottom>
      <diagonal/>
    </border>
    <border>
      <left style="thick">
        <color indexed="64"/>
      </left>
      <right style="thin">
        <color indexed="64"/>
      </right>
      <top style="thin">
        <color indexed="64"/>
      </top>
      <bottom style="thin">
        <color indexed="64"/>
      </bottom>
      <diagonal/>
    </border>
    <border>
      <left/>
      <right style="thick">
        <color indexed="64"/>
      </right>
      <top style="thin">
        <color indexed="64"/>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64"/>
      </top>
      <bottom style="thin">
        <color indexed="22"/>
      </bottom>
      <diagonal/>
    </border>
    <border>
      <left style="thin">
        <color indexed="64"/>
      </left>
      <right/>
      <top style="thin">
        <color indexed="64"/>
      </top>
      <bottom style="thin">
        <color indexed="64"/>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thin">
        <color indexed="64"/>
      </top>
      <bottom style="thin">
        <color indexed="64"/>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style="thin">
        <color indexed="64"/>
      </right>
      <top/>
      <bottom style="medium">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ck">
        <color indexed="64"/>
      </right>
      <top/>
      <bottom style="medium">
        <color indexed="64"/>
      </bottom>
      <diagonal/>
    </border>
    <border>
      <left style="thin">
        <color indexed="64"/>
      </left>
      <right style="double">
        <color indexed="64"/>
      </right>
      <top style="thin">
        <color indexed="64"/>
      </top>
      <bottom style="medium">
        <color indexed="64"/>
      </bottom>
      <diagonal/>
    </border>
    <border>
      <left style="thick">
        <color indexed="64"/>
      </left>
      <right style="thin">
        <color indexed="64"/>
      </right>
      <top style="thin">
        <color indexed="64"/>
      </top>
      <bottom style="medium">
        <color indexed="64"/>
      </bottom>
      <diagonal/>
    </border>
    <border>
      <left/>
      <right style="thick">
        <color indexed="64"/>
      </right>
      <top style="thin">
        <color indexed="64"/>
      </top>
      <bottom style="medium">
        <color indexed="64"/>
      </bottom>
      <diagonal/>
    </border>
    <border>
      <left/>
      <right style="medium">
        <color indexed="64"/>
      </right>
      <top style="medium">
        <color indexed="64"/>
      </top>
      <bottom style="double">
        <color indexed="64"/>
      </bottom>
      <diagonal/>
    </border>
    <border>
      <left style="thick">
        <color indexed="64"/>
      </left>
      <right style="medium">
        <color indexed="64"/>
      </right>
      <top style="thin">
        <color indexed="64"/>
      </top>
      <bottom style="medium">
        <color indexed="64"/>
      </bottom>
      <diagonal/>
    </border>
    <border>
      <left style="thick">
        <color indexed="64"/>
      </left>
      <right style="medium">
        <color indexed="64"/>
      </right>
      <top style="medium">
        <color indexed="64"/>
      </top>
      <bottom style="medium">
        <color indexed="64"/>
      </bottom>
      <diagonal/>
    </border>
    <border>
      <left style="thick">
        <color indexed="64"/>
      </left>
      <right style="medium">
        <color indexed="64"/>
      </right>
      <top/>
      <bottom style="thin">
        <color indexed="64"/>
      </bottom>
      <diagonal/>
    </border>
    <border>
      <left style="thick">
        <color indexed="64"/>
      </left>
      <right style="medium">
        <color indexed="64"/>
      </right>
      <top style="thin">
        <color indexed="64"/>
      </top>
      <bottom style="thin">
        <color indexed="64"/>
      </bottom>
      <diagonal/>
    </border>
    <border>
      <left style="medium">
        <color indexed="64"/>
      </left>
      <right style="thick">
        <color indexed="64"/>
      </right>
      <top/>
      <bottom/>
      <diagonal/>
    </border>
    <border>
      <left style="medium">
        <color indexed="64"/>
      </left>
      <right style="thick">
        <color indexed="64"/>
      </right>
      <top/>
      <bottom style="medium">
        <color indexed="64"/>
      </bottom>
      <diagonal/>
    </border>
    <border>
      <left style="thick">
        <color indexed="64"/>
      </left>
      <right style="thin">
        <color indexed="64"/>
      </right>
      <top/>
      <bottom/>
      <diagonal/>
    </border>
    <border>
      <left style="thin">
        <color indexed="64"/>
      </left>
      <right style="double">
        <color indexed="64"/>
      </right>
      <top style="thin">
        <color indexed="64"/>
      </top>
      <bottom/>
      <diagonal/>
    </border>
    <border>
      <left/>
      <right style="thick">
        <color indexed="64"/>
      </right>
      <top/>
      <bottom/>
      <diagonal/>
    </border>
    <border>
      <left style="thick">
        <color indexed="64"/>
      </left>
      <right style="medium">
        <color indexed="64"/>
      </right>
      <top style="thin">
        <color indexed="64"/>
      </top>
      <bottom/>
      <diagonal/>
    </border>
    <border>
      <left style="medium">
        <color indexed="64"/>
      </left>
      <right/>
      <top style="medium">
        <color indexed="64"/>
      </top>
      <bottom/>
      <diagonal/>
    </border>
    <border>
      <left style="thin">
        <color indexed="64"/>
      </left>
      <right style="double">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ck">
        <color indexed="64"/>
      </left>
      <right style="thin">
        <color indexed="64"/>
      </right>
      <top style="medium">
        <color indexed="64"/>
      </top>
      <bottom style="thin">
        <color indexed="64"/>
      </bottom>
      <diagonal/>
    </border>
    <border>
      <left/>
      <right style="thick">
        <color indexed="64"/>
      </right>
      <top style="medium">
        <color indexed="64"/>
      </top>
      <bottom style="thin">
        <color indexed="64"/>
      </bottom>
      <diagonal/>
    </border>
    <border>
      <left style="medium">
        <color indexed="64"/>
      </left>
      <right/>
      <top style="medium">
        <color indexed="64"/>
      </top>
      <bottom style="medium">
        <color indexed="64"/>
      </bottom>
      <diagonal/>
    </border>
    <border>
      <left style="thick">
        <color indexed="64"/>
      </left>
      <right style="thin">
        <color indexed="64"/>
      </right>
      <top style="medium">
        <color indexed="64"/>
      </top>
      <bottom style="medium">
        <color indexed="64"/>
      </bottom>
      <diagonal/>
    </border>
    <border>
      <left style="thin">
        <color indexed="64"/>
      </left>
      <right style="double">
        <color indexed="64"/>
      </right>
      <top style="medium">
        <color indexed="64"/>
      </top>
      <bottom style="medium">
        <color indexed="64"/>
      </bottom>
      <diagonal/>
    </border>
    <border>
      <left/>
      <right style="thick">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thick">
        <color indexed="64"/>
      </left>
      <right style="medium">
        <color indexed="64"/>
      </right>
      <top style="thick">
        <color indexed="64"/>
      </top>
      <bottom/>
      <diagonal/>
    </border>
    <border>
      <left style="thick">
        <color indexed="64"/>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theme="3" tint="-0.24994659260841701"/>
      </left>
      <right/>
      <top style="thin">
        <color theme="3" tint="-0.24994659260841701"/>
      </top>
      <bottom/>
      <diagonal/>
    </border>
    <border>
      <left/>
      <right style="thin">
        <color theme="3" tint="-0.24994659260841701"/>
      </right>
      <top style="thin">
        <color theme="3" tint="-0.24994659260841701"/>
      </top>
      <bottom/>
      <diagonal/>
    </border>
    <border>
      <left/>
      <right/>
      <top style="thin">
        <color theme="3" tint="-0.24994659260841701"/>
      </top>
      <bottom/>
      <diagonal/>
    </border>
    <border>
      <left style="thin">
        <color theme="3" tint="-0.24994659260841701"/>
      </left>
      <right/>
      <top/>
      <bottom/>
      <diagonal/>
    </border>
    <border>
      <left/>
      <right style="thin">
        <color theme="3" tint="-0.24994659260841701"/>
      </right>
      <top/>
      <bottom/>
      <diagonal/>
    </border>
    <border>
      <left style="thin">
        <color theme="3" tint="-0.24994659260841701"/>
      </left>
      <right/>
      <top/>
      <bottom style="thin">
        <color theme="3" tint="-0.24994659260841701"/>
      </bottom>
      <diagonal/>
    </border>
    <border>
      <left/>
      <right/>
      <top/>
      <bottom style="thin">
        <color theme="3" tint="-0.24994659260841701"/>
      </bottom>
      <diagonal/>
    </border>
    <border>
      <left/>
      <right style="thin">
        <color theme="3" tint="-0.24994659260841701"/>
      </right>
      <top/>
      <bottom style="thin">
        <color theme="3" tint="-0.24994659260841701"/>
      </bottom>
      <diagonal/>
    </border>
    <border>
      <left style="medium">
        <color indexed="64"/>
      </left>
      <right style="thick">
        <color indexed="64"/>
      </right>
      <top style="medium">
        <color indexed="64"/>
      </top>
      <bottom/>
      <diagonal/>
    </border>
    <border>
      <left style="thick">
        <color indexed="64"/>
      </left>
      <right style="thick">
        <color indexed="64"/>
      </right>
      <top style="thick">
        <color indexed="64"/>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style="thick">
        <color indexed="64"/>
      </left>
      <right/>
      <top style="thick">
        <color indexed="64"/>
      </top>
      <bottom/>
      <diagonal/>
    </border>
    <border>
      <left/>
      <right/>
      <top style="thick">
        <color indexed="64"/>
      </top>
      <bottom/>
      <diagonal/>
    </border>
    <border>
      <left style="thick">
        <color indexed="64"/>
      </left>
      <right style="thick">
        <color indexed="64"/>
      </right>
      <top style="thick">
        <color indexed="64"/>
      </top>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ck">
        <color indexed="64"/>
      </left>
      <right style="thick">
        <color indexed="64"/>
      </right>
      <top/>
      <bottom style="thick">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top style="thick">
        <color indexed="64"/>
      </top>
      <bottom style="thin">
        <color theme="0" tint="-0.14996795556505021"/>
      </bottom>
      <diagonal/>
    </border>
    <border>
      <left/>
      <right/>
      <top style="thin">
        <color theme="0" tint="-0.14996795556505021"/>
      </top>
      <bottom style="thin">
        <color theme="0" tint="-0.14996795556505021"/>
      </bottom>
      <diagonal/>
    </border>
    <border>
      <left style="thin">
        <color theme="0" tint="-0.14996795556505021"/>
      </left>
      <right style="thin">
        <color theme="0" tint="-0.14996795556505021"/>
      </right>
      <top style="thick">
        <color indexed="64"/>
      </top>
      <bottom style="thin">
        <color theme="0" tint="-0.14996795556505021"/>
      </bottom>
      <diagonal/>
    </border>
    <border>
      <left style="thin">
        <color theme="0" tint="-0.14996795556505021"/>
      </left>
      <right style="thin">
        <color theme="0" tint="-0.14996795556505021"/>
      </right>
      <top style="medium">
        <color indexed="64"/>
      </top>
      <bottom style="medium">
        <color indexed="64"/>
      </bottom>
      <diagonal/>
    </border>
    <border>
      <left style="thin">
        <color theme="0" tint="-0.14996795556505021"/>
      </left>
      <right style="thick">
        <color auto="1"/>
      </right>
      <top style="medium">
        <color indexed="64"/>
      </top>
      <bottom style="medium">
        <color indexed="64"/>
      </bottom>
      <diagonal/>
    </border>
    <border>
      <left/>
      <right style="thin">
        <color theme="0" tint="-0.14996795556505021"/>
      </right>
      <top style="medium">
        <color indexed="64"/>
      </top>
      <bottom style="medium">
        <color indexed="64"/>
      </bottom>
      <diagonal/>
    </border>
    <border>
      <left/>
      <right style="thin">
        <color indexed="64"/>
      </right>
      <top style="thick">
        <color indexed="64"/>
      </top>
      <bottom style="thick">
        <color indexed="64"/>
      </bottom>
      <diagonal/>
    </border>
    <border>
      <left style="thick">
        <color auto="1"/>
      </left>
      <right style="thin">
        <color theme="0" tint="-0.24994659260841701"/>
      </right>
      <top style="thick">
        <color auto="1"/>
      </top>
      <bottom style="thick">
        <color auto="1"/>
      </bottom>
      <diagonal/>
    </border>
    <border>
      <left style="thin">
        <color theme="0" tint="-0.24994659260841701"/>
      </left>
      <right style="thin">
        <color theme="0" tint="-0.24994659260841701"/>
      </right>
      <top style="thick">
        <color auto="1"/>
      </top>
      <bottom style="thick">
        <color auto="1"/>
      </bottom>
      <diagonal/>
    </border>
    <border>
      <left style="thin">
        <color theme="0" tint="-0.24994659260841701"/>
      </left>
      <right/>
      <top style="thick">
        <color auto="1"/>
      </top>
      <bottom style="thick">
        <color auto="1"/>
      </bottom>
      <diagonal/>
    </border>
    <border>
      <left style="thin">
        <color theme="0" tint="-0.14996795556505021"/>
      </left>
      <right style="thin">
        <color theme="0" tint="-0.14996795556505021"/>
      </right>
      <top style="thick">
        <color auto="1"/>
      </top>
      <bottom style="thick">
        <color auto="1"/>
      </bottom>
      <diagonal/>
    </border>
    <border>
      <left style="thin">
        <color theme="0" tint="-0.14996795556505021"/>
      </left>
      <right style="thick">
        <color auto="1"/>
      </right>
      <top style="thick">
        <color auto="1"/>
      </top>
      <bottom style="thick">
        <color auto="1"/>
      </bottom>
      <diagonal/>
    </border>
    <border>
      <left style="thin">
        <color theme="0" tint="-0.14996795556505021"/>
      </left>
      <right/>
      <top style="medium">
        <color indexed="64"/>
      </top>
      <bottom style="medium">
        <color indexed="64"/>
      </bottom>
      <diagonal/>
    </border>
    <border>
      <left style="thin">
        <color indexed="64"/>
      </left>
      <right/>
      <top style="thick">
        <color indexed="64"/>
      </top>
      <bottom style="thick">
        <color indexed="64"/>
      </bottom>
      <diagonal/>
    </border>
    <border>
      <left style="thin">
        <color theme="0" tint="-0.14996795556505021"/>
      </left>
      <right/>
      <top style="thick">
        <color indexed="64"/>
      </top>
      <bottom style="thin">
        <color theme="0" tint="-0.14996795556505021"/>
      </bottom>
      <diagonal/>
    </border>
    <border>
      <left style="thin">
        <color theme="0" tint="-0.14996795556505021"/>
      </left>
      <right/>
      <top style="thin">
        <color theme="0" tint="-0.14996795556505021"/>
      </top>
      <bottom style="thin">
        <color theme="0" tint="-0.14996795556505021"/>
      </bottom>
      <diagonal/>
    </border>
    <border>
      <left style="thick">
        <color indexed="64"/>
      </left>
      <right style="thick">
        <color indexed="64"/>
      </right>
      <top style="thick">
        <color indexed="64"/>
      </top>
      <bottom style="thin">
        <color theme="0" tint="-0.14996795556505021"/>
      </bottom>
      <diagonal/>
    </border>
    <border>
      <left style="thick">
        <color indexed="64"/>
      </left>
      <right style="thick">
        <color indexed="64"/>
      </right>
      <top style="thin">
        <color theme="0" tint="-0.14996795556505021"/>
      </top>
      <bottom style="thin">
        <color theme="0" tint="-0.14996795556505021"/>
      </bottom>
      <diagonal/>
    </border>
    <border>
      <left style="thick">
        <color indexed="64"/>
      </left>
      <right style="thick">
        <color indexed="64"/>
      </right>
      <top style="medium">
        <color indexed="64"/>
      </top>
      <bottom style="thick">
        <color indexed="64"/>
      </bottom>
      <diagonal/>
    </border>
  </borders>
  <cellStyleXfs count="7">
    <xf numFmtId="0" fontId="0" fillId="0" borderId="0"/>
    <xf numFmtId="43" fontId="8" fillId="0" borderId="0" applyFont="0" applyFill="0" applyBorder="0" applyAlignment="0" applyProtection="0"/>
    <xf numFmtId="0" fontId="10" fillId="0" borderId="0"/>
    <xf numFmtId="9" fontId="8" fillId="0" borderId="0" applyFont="0" applyFill="0" applyBorder="0" applyAlignment="0" applyProtection="0"/>
    <xf numFmtId="0" fontId="31" fillId="0" borderId="0" applyNumberFormat="0" applyFill="0" applyBorder="0" applyAlignment="0" applyProtection="0"/>
    <xf numFmtId="0" fontId="7" fillId="0" borderId="0"/>
    <xf numFmtId="0" fontId="6" fillId="0" borderId="0"/>
  </cellStyleXfs>
  <cellXfs count="365">
    <xf numFmtId="0" fontId="0" fillId="0" borderId="0" xfId="0"/>
    <xf numFmtId="0" fontId="0" fillId="0" borderId="0" xfId="0" applyAlignment="1">
      <alignment vertical="center"/>
    </xf>
    <xf numFmtId="49" fontId="9" fillId="0" borderId="0" xfId="0" applyNumberFormat="1" applyFont="1"/>
    <xf numFmtId="49" fontId="0" fillId="0" borderId="0" xfId="0" applyNumberFormat="1" applyAlignment="1">
      <alignment vertical="top"/>
    </xf>
    <xf numFmtId="49" fontId="9" fillId="0" borderId="0" xfId="0" applyNumberFormat="1" applyFont="1" applyAlignment="1">
      <alignment vertical="top"/>
    </xf>
    <xf numFmtId="49" fontId="0" fillId="0" borderId="0" xfId="0" applyNumberFormat="1" applyAlignment="1">
      <alignment horizontal="centerContinuous" vertical="center"/>
    </xf>
    <xf numFmtId="0" fontId="0" fillId="0" borderId="0" xfId="0" applyAlignment="1">
      <alignment horizontal="centerContinuous" vertical="center"/>
    </xf>
    <xf numFmtId="0" fontId="13" fillId="0" borderId="0" xfId="0" applyFont="1" applyAlignment="1">
      <alignment horizontal="justify" vertical="top" wrapText="1"/>
    </xf>
    <xf numFmtId="164" fontId="0" fillId="0" borderId="0" xfId="1" applyNumberFormat="1" applyFont="1" applyAlignment="1">
      <alignment vertical="top"/>
    </xf>
    <xf numFmtId="49" fontId="9" fillId="0" borderId="0" xfId="0" applyNumberFormat="1" applyFont="1" applyAlignment="1">
      <alignment vertical="center"/>
    </xf>
    <xf numFmtId="0" fontId="14" fillId="0" borderId="0" xfId="0" applyFont="1" applyAlignment="1">
      <alignment vertical="center"/>
    </xf>
    <xf numFmtId="49" fontId="0" fillId="0" borderId="0" xfId="0" applyNumberFormat="1" applyAlignment="1">
      <alignment vertical="center"/>
    </xf>
    <xf numFmtId="0" fontId="9" fillId="0" borderId="0" xfId="0" applyFont="1" applyAlignment="1">
      <alignment vertical="center"/>
    </xf>
    <xf numFmtId="0" fontId="0" fillId="0" borderId="0" xfId="0" applyAlignment="1">
      <alignment vertical="top"/>
    </xf>
    <xf numFmtId="14" fontId="0" fillId="0" borderId="0" xfId="0" applyNumberFormat="1" applyAlignment="1">
      <alignment vertical="top"/>
    </xf>
    <xf numFmtId="0" fontId="10" fillId="0" borderId="0" xfId="2"/>
    <xf numFmtId="0" fontId="10" fillId="0" borderId="0" xfId="2" applyFont="1"/>
    <xf numFmtId="0" fontId="10" fillId="0" borderId="0" xfId="2" applyAlignment="1">
      <alignment vertical="center"/>
    </xf>
    <xf numFmtId="0" fontId="10" fillId="0" borderId="1" xfId="2" applyBorder="1" applyAlignment="1">
      <alignment vertical="center"/>
    </xf>
    <xf numFmtId="0" fontId="10" fillId="0" borderId="2" xfId="2" applyBorder="1" applyAlignment="1">
      <alignment vertical="center"/>
    </xf>
    <xf numFmtId="0" fontId="10" fillId="0" borderId="3" xfId="2" applyBorder="1" applyAlignment="1">
      <alignment vertical="center"/>
    </xf>
    <xf numFmtId="0" fontId="10" fillId="0" borderId="4" xfId="2" applyBorder="1" applyAlignment="1">
      <alignment vertical="center"/>
    </xf>
    <xf numFmtId="49" fontId="10" fillId="0" borderId="0" xfId="0" applyNumberFormat="1" applyFont="1" applyAlignment="1">
      <alignment vertical="top"/>
    </xf>
    <xf numFmtId="0" fontId="10" fillId="0" borderId="0" xfId="2" applyBorder="1" applyAlignment="1">
      <alignment horizontal="centerContinuous" vertical="center"/>
    </xf>
    <xf numFmtId="0" fontId="10" fillId="0" borderId="0" xfId="0" applyFont="1" applyAlignment="1">
      <alignment vertical="top"/>
    </xf>
    <xf numFmtId="0" fontId="10" fillId="0" borderId="1" xfId="2" applyBorder="1"/>
    <xf numFmtId="0" fontId="10" fillId="0" borderId="1" xfId="2" applyFont="1" applyBorder="1" applyAlignment="1">
      <alignment vertical="center"/>
    </xf>
    <xf numFmtId="0" fontId="10" fillId="0" borderId="0" xfId="2" applyFont="1" applyBorder="1" applyAlignment="1">
      <alignment horizontal="center" vertical="center"/>
    </xf>
    <xf numFmtId="0" fontId="10" fillId="0" borderId="0" xfId="2" applyFont="1" applyBorder="1" applyAlignment="1">
      <alignment horizontal="centerContinuous" vertical="center"/>
    </xf>
    <xf numFmtId="0" fontId="10" fillId="0" borderId="0" xfId="2" applyBorder="1" applyAlignment="1">
      <alignment vertical="center"/>
    </xf>
    <xf numFmtId="0" fontId="10" fillId="0" borderId="1" xfId="2" applyFont="1" applyBorder="1" applyAlignment="1">
      <alignment horizontal="left" vertical="center" indent="1"/>
    </xf>
    <xf numFmtId="0" fontId="16" fillId="0" borderId="0" xfId="2" applyFont="1" applyBorder="1" applyAlignment="1">
      <alignment horizontal="centerContinuous" vertical="center" wrapText="1"/>
    </xf>
    <xf numFmtId="0" fontId="10" fillId="0" borderId="0" xfId="2" applyBorder="1" applyAlignment="1">
      <alignment horizontal="centerContinuous" vertical="center" wrapText="1"/>
    </xf>
    <xf numFmtId="0" fontId="9" fillId="0" borderId="0" xfId="2" applyFont="1" applyBorder="1" applyAlignment="1" applyProtection="1">
      <alignment horizontal="center" wrapText="1"/>
      <protection locked="0"/>
    </xf>
    <xf numFmtId="0" fontId="10" fillId="0" borderId="7" xfId="2" applyBorder="1" applyAlignment="1">
      <alignment vertical="center"/>
    </xf>
    <xf numFmtId="0" fontId="10" fillId="0" borderId="0" xfId="2" applyAlignment="1">
      <alignment horizontal="center" vertical="center"/>
    </xf>
    <xf numFmtId="0" fontId="10" fillId="0" borderId="0" xfId="2" applyAlignment="1">
      <alignment horizontal="centerContinuous" vertical="center"/>
    </xf>
    <xf numFmtId="38" fontId="11" fillId="0" borderId="11" xfId="2" applyNumberFormat="1" applyFont="1" applyBorder="1" applyAlignment="1" applyProtection="1">
      <alignment horizontal="center" vertical="center"/>
    </xf>
    <xf numFmtId="38" fontId="11" fillId="0" borderId="13" xfId="2" applyNumberFormat="1" applyFont="1" applyBorder="1" applyAlignment="1" applyProtection="1">
      <alignment horizontal="center" vertical="center"/>
    </xf>
    <xf numFmtId="3" fontId="10" fillId="0" borderId="14" xfId="2" applyNumberFormat="1" applyBorder="1" applyAlignment="1">
      <alignment horizontal="center" vertical="center"/>
    </xf>
    <xf numFmtId="3" fontId="10" fillId="0" borderId="15" xfId="2" applyNumberFormat="1" applyBorder="1" applyAlignment="1">
      <alignment horizontal="center" vertical="center"/>
    </xf>
    <xf numFmtId="0" fontId="10" fillId="0" borderId="0" xfId="0" applyFont="1" applyAlignment="1">
      <alignment vertical="center"/>
    </xf>
    <xf numFmtId="167" fontId="12" fillId="0" borderId="16" xfId="1" applyNumberFormat="1" applyFont="1" applyFill="1" applyBorder="1" applyAlignment="1">
      <alignment horizontal="center" vertical="center"/>
    </xf>
    <xf numFmtId="0" fontId="25" fillId="0" borderId="0" xfId="2" applyFont="1" applyAlignment="1">
      <alignment horizontal="center" vertical="center"/>
    </xf>
    <xf numFmtId="3" fontId="10" fillId="0" borderId="17" xfId="2" applyNumberFormat="1" applyBorder="1" applyAlignment="1">
      <alignment horizontal="center" vertical="center"/>
    </xf>
    <xf numFmtId="0" fontId="0" fillId="0" borderId="0" xfId="0" applyAlignment="1">
      <alignment horizontal="center" vertical="center"/>
    </xf>
    <xf numFmtId="165" fontId="0" fillId="0" borderId="18" xfId="3" applyNumberFormat="1" applyFont="1" applyBorder="1" applyAlignment="1">
      <alignment horizontal="center" vertical="center"/>
    </xf>
    <xf numFmtId="0" fontId="10" fillId="0" borderId="23" xfId="0" applyFont="1" applyBorder="1" applyAlignment="1">
      <alignment vertical="center"/>
    </xf>
    <xf numFmtId="0" fontId="10" fillId="0" borderId="23" xfId="0" applyFont="1" applyBorder="1" applyAlignment="1">
      <alignment horizontal="left" vertical="center"/>
    </xf>
    <xf numFmtId="0" fontId="10" fillId="0" borderId="23" xfId="0" applyFont="1" applyFill="1" applyBorder="1" applyAlignment="1">
      <alignment horizontal="left" vertical="center"/>
    </xf>
    <xf numFmtId="0" fontId="10" fillId="0" borderId="24" xfId="0" applyFont="1" applyBorder="1" applyAlignment="1">
      <alignment horizontal="center" vertical="center"/>
    </xf>
    <xf numFmtId="49" fontId="10" fillId="0" borderId="16" xfId="0" applyNumberFormat="1" applyFont="1" applyBorder="1" applyAlignment="1">
      <alignment horizontal="center" vertical="center"/>
    </xf>
    <xf numFmtId="49" fontId="9" fillId="0" borderId="16" xfId="0" applyNumberFormat="1" applyFont="1" applyBorder="1" applyAlignment="1">
      <alignment horizontal="center" vertical="center"/>
    </xf>
    <xf numFmtId="0" fontId="10" fillId="0" borderId="24" xfId="0" applyFont="1" applyBorder="1" applyAlignment="1">
      <alignment horizontal="left" vertical="center"/>
    </xf>
    <xf numFmtId="0" fontId="11" fillId="0" borderId="0" xfId="0" applyFont="1" applyAlignment="1">
      <alignment horizontal="centerContinuous" vertical="center"/>
    </xf>
    <xf numFmtId="0" fontId="20" fillId="0" borderId="0" xfId="2" applyFont="1" applyFill="1" applyBorder="1" applyAlignment="1">
      <alignment horizontal="centerContinuous" vertical="center"/>
    </xf>
    <xf numFmtId="0" fontId="10" fillId="0" borderId="0" xfId="0" applyFont="1" applyAlignment="1">
      <alignment horizontal="centerContinuous" vertical="center"/>
    </xf>
    <xf numFmtId="9" fontId="26" fillId="0" borderId="22" xfId="3" applyFont="1" applyBorder="1" applyAlignment="1" applyProtection="1">
      <alignment horizontal="center" vertical="center"/>
    </xf>
    <xf numFmtId="9" fontId="26" fillId="0" borderId="25" xfId="3" applyFont="1" applyBorder="1" applyAlignment="1" applyProtection="1">
      <alignment horizontal="center" vertical="center"/>
    </xf>
    <xf numFmtId="9" fontId="26" fillId="0" borderId="26" xfId="3" applyFont="1" applyBorder="1" applyAlignment="1" applyProtection="1">
      <alignment horizontal="center" vertical="center"/>
    </xf>
    <xf numFmtId="0" fontId="10" fillId="0" borderId="0" xfId="2" applyFont="1" applyAlignment="1">
      <alignment horizontal="center" vertical="center"/>
    </xf>
    <xf numFmtId="167" fontId="12" fillId="0" borderId="18" xfId="1" applyNumberFormat="1" applyFont="1" applyFill="1" applyBorder="1" applyAlignment="1">
      <alignment horizontal="center" vertical="center"/>
    </xf>
    <xf numFmtId="0" fontId="9" fillId="0" borderId="0" xfId="2" applyFont="1" applyBorder="1" applyAlignment="1">
      <alignment horizontal="center" vertical="center"/>
    </xf>
    <xf numFmtId="0" fontId="9" fillId="0" borderId="0" xfId="2" applyFont="1" applyBorder="1" applyAlignment="1">
      <alignment horizontal="centerContinuous"/>
    </xf>
    <xf numFmtId="0" fontId="10" fillId="0" borderId="0" xfId="2" applyFont="1" applyBorder="1" applyAlignment="1">
      <alignment horizontal="centerContinuous"/>
    </xf>
    <xf numFmtId="0" fontId="10" fillId="0" borderId="2" xfId="2" applyFont="1" applyBorder="1" applyAlignment="1">
      <alignment horizontal="centerContinuous" vertical="center"/>
    </xf>
    <xf numFmtId="0" fontId="17" fillId="0" borderId="2" xfId="0" applyFont="1" applyBorder="1" applyAlignment="1">
      <alignment horizontal="left"/>
    </xf>
    <xf numFmtId="0" fontId="27" fillId="0" borderId="2" xfId="2" applyFont="1" applyBorder="1" applyAlignment="1">
      <alignment horizontal="left" vertical="top" indent="1"/>
    </xf>
    <xf numFmtId="0" fontId="16" fillId="0" borderId="2" xfId="2" applyFont="1" applyBorder="1" applyAlignment="1">
      <alignment horizontal="left"/>
    </xf>
    <xf numFmtId="0" fontId="27" fillId="0" borderId="2" xfId="2" applyFont="1" applyBorder="1" applyAlignment="1">
      <alignment horizontal="left" vertical="center" indent="1"/>
    </xf>
    <xf numFmtId="0" fontId="9" fillId="0" borderId="2" xfId="2" applyFont="1" applyBorder="1" applyAlignment="1" applyProtection="1">
      <alignment horizontal="center" wrapText="1"/>
      <protection locked="0"/>
    </xf>
    <xf numFmtId="9" fontId="12" fillId="0" borderId="30" xfId="3" applyFont="1" applyFill="1" applyBorder="1" applyAlignment="1" applyProtection="1">
      <alignment horizontal="center" vertical="center"/>
    </xf>
    <xf numFmtId="0" fontId="9" fillId="0" borderId="0" xfId="2" applyFont="1" applyBorder="1" applyAlignment="1">
      <alignment horizontal="centerContinuous" vertical="top"/>
    </xf>
    <xf numFmtId="0" fontId="10" fillId="0" borderId="0" xfId="2" applyBorder="1" applyAlignment="1">
      <alignment horizontal="centerContinuous" vertical="top"/>
    </xf>
    <xf numFmtId="38" fontId="11" fillId="2" borderId="31" xfId="2" applyNumberFormat="1" applyFont="1" applyFill="1" applyBorder="1" applyAlignment="1" applyProtection="1">
      <alignment horizontal="center" vertical="center"/>
    </xf>
    <xf numFmtId="38" fontId="11" fillId="2" borderId="32" xfId="2" applyNumberFormat="1" applyFont="1" applyFill="1" applyBorder="1" applyAlignment="1" applyProtection="1">
      <alignment horizontal="center" vertical="center"/>
    </xf>
    <xf numFmtId="38" fontId="12" fillId="2" borderId="33" xfId="2" applyNumberFormat="1" applyFont="1" applyFill="1" applyBorder="1" applyAlignment="1" applyProtection="1">
      <alignment horizontal="center" vertical="center"/>
    </xf>
    <xf numFmtId="38" fontId="27" fillId="0" borderId="0" xfId="2" applyNumberFormat="1" applyFont="1" applyBorder="1" applyAlignment="1">
      <alignment horizontal="center" vertical="center"/>
    </xf>
    <xf numFmtId="0" fontId="27" fillId="0" borderId="0" xfId="2" applyFont="1" applyBorder="1" applyAlignment="1">
      <alignment horizontal="center" vertical="center"/>
    </xf>
    <xf numFmtId="0" fontId="12" fillId="0" borderId="0" xfId="0" applyFont="1" applyAlignment="1">
      <alignment vertical="center"/>
    </xf>
    <xf numFmtId="0" fontId="12" fillId="0" borderId="0" xfId="0" applyFont="1" applyAlignment="1">
      <alignment horizontal="right" vertical="center"/>
    </xf>
    <xf numFmtId="0" fontId="27" fillId="0" borderId="24" xfId="0" applyFont="1" applyBorder="1" applyAlignment="1">
      <alignment horizontal="left" vertical="center"/>
    </xf>
    <xf numFmtId="38" fontId="11" fillId="3" borderId="18" xfId="2" applyNumberFormat="1" applyFont="1" applyFill="1" applyBorder="1" applyAlignment="1" applyProtection="1">
      <alignment horizontal="center" vertical="center"/>
    </xf>
    <xf numFmtId="0" fontId="11" fillId="0" borderId="0" xfId="2" applyFont="1" applyFill="1" applyBorder="1" applyAlignment="1">
      <alignment horizontal="centerContinuous" vertical="center"/>
    </xf>
    <xf numFmtId="0" fontId="12" fillId="0" borderId="0" xfId="0" applyFont="1" applyAlignment="1">
      <alignment horizontal="centerContinuous" vertical="center"/>
    </xf>
    <xf numFmtId="0" fontId="23" fillId="0" borderId="1" xfId="2" applyFont="1" applyBorder="1" applyAlignment="1">
      <alignment horizontal="left" vertical="center" indent="5"/>
    </xf>
    <xf numFmtId="0" fontId="28" fillId="0" borderId="1" xfId="2" applyFont="1" applyBorder="1" applyAlignment="1">
      <alignment horizontal="left" vertical="center" indent="5"/>
    </xf>
    <xf numFmtId="0" fontId="23" fillId="0" borderId="1" xfId="2" applyFont="1" applyBorder="1" applyAlignment="1">
      <alignment horizontal="left" indent="4"/>
    </xf>
    <xf numFmtId="0" fontId="23" fillId="0" borderId="1" xfId="2" applyFont="1" applyBorder="1" applyAlignment="1">
      <alignment horizontal="left" indent="5"/>
    </xf>
    <xf numFmtId="0" fontId="23" fillId="0" borderId="1" xfId="2" applyFont="1" applyBorder="1" applyAlignment="1">
      <alignment vertical="center"/>
    </xf>
    <xf numFmtId="0" fontId="23" fillId="0" borderId="34" xfId="2" applyFont="1" applyBorder="1" applyAlignment="1">
      <alignment horizontal="left" vertical="center" indent="1"/>
    </xf>
    <xf numFmtId="9" fontId="26" fillId="0" borderId="36" xfId="3" applyFont="1" applyBorder="1" applyAlignment="1" applyProtection="1">
      <alignment horizontal="center" vertical="center"/>
    </xf>
    <xf numFmtId="9" fontId="26" fillId="0" borderId="37" xfId="3" applyFont="1" applyBorder="1" applyAlignment="1" applyProtection="1">
      <alignment horizontal="center" vertical="center"/>
    </xf>
    <xf numFmtId="9" fontId="26" fillId="0" borderId="38" xfId="3" applyFont="1" applyBorder="1" applyAlignment="1" applyProtection="1">
      <alignment horizontal="center" vertical="center"/>
    </xf>
    <xf numFmtId="9" fontId="12" fillId="0" borderId="39" xfId="3" applyFont="1" applyFill="1" applyBorder="1" applyAlignment="1" applyProtection="1">
      <alignment horizontal="center" vertical="center"/>
    </xf>
    <xf numFmtId="0" fontId="23" fillId="0" borderId="40" xfId="2" applyFont="1" applyBorder="1" applyAlignment="1">
      <alignment vertical="center"/>
    </xf>
    <xf numFmtId="0" fontId="23" fillId="0" borderId="1" xfId="2" applyFont="1" applyBorder="1" applyAlignment="1">
      <alignment horizontal="left" vertical="center" indent="1"/>
    </xf>
    <xf numFmtId="0" fontId="23" fillId="0" borderId="3" xfId="2" applyFont="1" applyBorder="1" applyAlignment="1">
      <alignment horizontal="left" vertical="center" indent="1"/>
    </xf>
    <xf numFmtId="0" fontId="10" fillId="0" borderId="0" xfId="2" applyFont="1" applyBorder="1" applyAlignment="1">
      <alignment vertical="center" wrapText="1"/>
    </xf>
    <xf numFmtId="0" fontId="10" fillId="0" borderId="2" xfId="2" applyFont="1" applyBorder="1" applyAlignment="1">
      <alignment vertical="center" wrapText="1"/>
    </xf>
    <xf numFmtId="9" fontId="26" fillId="0" borderId="5" xfId="3" applyFont="1" applyBorder="1" applyAlignment="1" applyProtection="1">
      <alignment horizontal="center" vertical="center"/>
    </xf>
    <xf numFmtId="38" fontId="11" fillId="2" borderId="42" xfId="2" applyNumberFormat="1" applyFont="1" applyFill="1" applyBorder="1" applyAlignment="1" applyProtection="1">
      <alignment horizontal="center" vertical="center"/>
    </xf>
    <xf numFmtId="38" fontId="12" fillId="2" borderId="43" xfId="2" applyNumberFormat="1" applyFont="1" applyFill="1" applyBorder="1" applyAlignment="1" applyProtection="1">
      <alignment horizontal="center" vertical="center"/>
    </xf>
    <xf numFmtId="9" fontId="12" fillId="0" borderId="43" xfId="3" applyFont="1" applyFill="1" applyBorder="1" applyAlignment="1" applyProtection="1">
      <alignment horizontal="center" vertical="center"/>
    </xf>
    <xf numFmtId="38" fontId="12" fillId="2" borderId="44" xfId="2" applyNumberFormat="1" applyFont="1" applyFill="1" applyBorder="1" applyAlignment="1" applyProtection="1">
      <alignment horizontal="center" vertical="center"/>
    </xf>
    <xf numFmtId="38" fontId="11" fillId="0" borderId="46" xfId="2" applyNumberFormat="1" applyFont="1" applyBorder="1" applyAlignment="1" applyProtection="1">
      <alignment horizontal="center" vertical="center"/>
    </xf>
    <xf numFmtId="9" fontId="26" fillId="0" borderId="12" xfId="3" applyFont="1" applyBorder="1" applyAlignment="1" applyProtection="1">
      <alignment horizontal="center" vertical="center"/>
    </xf>
    <xf numFmtId="9" fontId="26" fillId="0" borderId="13" xfId="3" applyFont="1" applyBorder="1" applyAlignment="1" applyProtection="1">
      <alignment horizontal="center" vertical="center"/>
    </xf>
    <xf numFmtId="0" fontId="10" fillId="0" borderId="0" xfId="0" applyFont="1" applyAlignment="1">
      <alignment horizontal="left" vertical="top"/>
    </xf>
    <xf numFmtId="0" fontId="10" fillId="0" borderId="0" xfId="0" applyFont="1" applyAlignment="1">
      <alignment horizontal="centerContinuous" vertical="top"/>
    </xf>
    <xf numFmtId="0" fontId="0" fillId="0" borderId="0" xfId="0" applyAlignment="1">
      <alignment horizontal="centerContinuous" vertical="top"/>
    </xf>
    <xf numFmtId="0" fontId="10" fillId="0" borderId="51" xfId="2" applyBorder="1" applyAlignment="1">
      <alignment vertical="center"/>
    </xf>
    <xf numFmtId="0" fontId="10" fillId="0" borderId="40" xfId="2" applyBorder="1" applyAlignment="1">
      <alignment vertical="center"/>
    </xf>
    <xf numFmtId="0" fontId="10" fillId="0" borderId="52" xfId="2" applyBorder="1" applyAlignment="1">
      <alignment horizontal="right" vertical="center"/>
    </xf>
    <xf numFmtId="0" fontId="10" fillId="0" borderId="0" xfId="2" applyFont="1" applyBorder="1" applyAlignment="1">
      <alignment vertical="top"/>
    </xf>
    <xf numFmtId="0" fontId="11" fillId="0" borderId="1" xfId="2" applyFont="1" applyBorder="1" applyAlignment="1">
      <alignment vertical="center"/>
    </xf>
    <xf numFmtId="0" fontId="10" fillId="0" borderId="0" xfId="0" applyFont="1" applyAlignment="1">
      <alignment horizontal="left" vertical="center" indent="1"/>
    </xf>
    <xf numFmtId="0" fontId="0" fillId="0" borderId="0" xfId="0" applyFill="1" applyAlignment="1">
      <alignment vertical="top"/>
    </xf>
    <xf numFmtId="0" fontId="0" fillId="0" borderId="0" xfId="0" applyFill="1" applyAlignment="1">
      <alignment vertical="center"/>
    </xf>
    <xf numFmtId="3" fontId="9" fillId="0" borderId="0" xfId="0" applyNumberFormat="1" applyFont="1" applyAlignment="1">
      <alignment horizontal="center" vertical="center"/>
    </xf>
    <xf numFmtId="0" fontId="0" fillId="0" borderId="0" xfId="0" applyBorder="1" applyAlignment="1">
      <alignment vertical="center"/>
    </xf>
    <xf numFmtId="0" fontId="9" fillId="0" borderId="0" xfId="0" applyFont="1" applyBorder="1" applyAlignment="1">
      <alignment horizontal="center" vertical="center"/>
    </xf>
    <xf numFmtId="166" fontId="9" fillId="0" borderId="0" xfId="0" applyNumberFormat="1" applyFont="1" applyBorder="1" applyAlignment="1">
      <alignment horizontal="center" vertical="center"/>
    </xf>
    <xf numFmtId="3" fontId="9" fillId="0" borderId="0" xfId="0" applyNumberFormat="1" applyFont="1" applyBorder="1" applyAlignment="1">
      <alignment horizontal="center" vertical="center"/>
    </xf>
    <xf numFmtId="0" fontId="27" fillId="0" borderId="0" xfId="0" applyFont="1" applyAlignment="1">
      <alignment vertical="center"/>
    </xf>
    <xf numFmtId="0" fontId="0" fillId="0" borderId="0" xfId="0" applyBorder="1" applyAlignment="1">
      <alignment horizontal="centerContinuous" vertical="center"/>
    </xf>
    <xf numFmtId="0" fontId="10" fillId="0" borderId="0" xfId="0" applyFont="1" applyBorder="1" applyAlignment="1">
      <alignment horizontal="left" vertical="center"/>
    </xf>
    <xf numFmtId="0" fontId="13" fillId="0" borderId="0" xfId="0" applyFont="1" applyAlignment="1">
      <alignment horizontal="justify" vertical="top" wrapText="1"/>
    </xf>
    <xf numFmtId="3" fontId="10" fillId="0" borderId="0" xfId="2" applyNumberFormat="1" applyBorder="1" applyAlignment="1">
      <alignment horizontal="center" vertical="center"/>
    </xf>
    <xf numFmtId="0" fontId="25" fillId="0" borderId="0" xfId="2" applyFont="1"/>
    <xf numFmtId="0" fontId="9" fillId="0" borderId="0" xfId="0" applyFont="1" applyAlignment="1">
      <alignment horizontal="centerContinuous" vertical="center"/>
    </xf>
    <xf numFmtId="0" fontId="29" fillId="0" borderId="0" xfId="0" applyFont="1" applyAlignment="1">
      <alignment horizontal="centerContinuous" vertical="center"/>
    </xf>
    <xf numFmtId="38" fontId="27" fillId="0" borderId="58" xfId="2" applyNumberFormat="1" applyFont="1" applyBorder="1" applyAlignment="1">
      <alignment horizontal="center" vertical="center"/>
    </xf>
    <xf numFmtId="38" fontId="27" fillId="0" borderId="60" xfId="2" applyNumberFormat="1" applyFont="1" applyBorder="1" applyAlignment="1">
      <alignment horizontal="center" vertical="center"/>
    </xf>
    <xf numFmtId="0" fontId="10" fillId="0" borderId="59" xfId="2" applyBorder="1" applyAlignment="1">
      <alignment vertical="center"/>
    </xf>
    <xf numFmtId="0" fontId="10" fillId="0" borderId="62" xfId="2" applyBorder="1" applyAlignment="1">
      <alignment vertical="center"/>
    </xf>
    <xf numFmtId="38" fontId="27" fillId="0" borderId="61" xfId="2" applyNumberFormat="1" applyFont="1" applyBorder="1" applyAlignment="1">
      <alignment horizontal="center" vertical="center"/>
    </xf>
    <xf numFmtId="0" fontId="27" fillId="0" borderId="61" xfId="2" applyFont="1" applyBorder="1" applyAlignment="1">
      <alignment horizontal="center" vertical="center"/>
    </xf>
    <xf numFmtId="0" fontId="10" fillId="0" borderId="0" xfId="2" applyBorder="1"/>
    <xf numFmtId="0" fontId="23" fillId="0" borderId="66" xfId="2" applyFont="1" applyBorder="1" applyAlignment="1">
      <alignment vertical="center"/>
    </xf>
    <xf numFmtId="168" fontId="27" fillId="0" borderId="63" xfId="2" applyNumberFormat="1" applyFont="1" applyBorder="1" applyAlignment="1">
      <alignment horizontal="center" vertical="center"/>
    </xf>
    <xf numFmtId="168" fontId="27" fillId="0" borderId="64" xfId="2" applyNumberFormat="1" applyFont="1" applyBorder="1" applyAlignment="1">
      <alignment horizontal="center" vertical="center"/>
    </xf>
    <xf numFmtId="167" fontId="27" fillId="0" borderId="65" xfId="2" applyNumberFormat="1" applyFont="1" applyBorder="1" applyAlignment="1">
      <alignment horizontal="center" vertical="center"/>
    </xf>
    <xf numFmtId="0" fontId="23" fillId="0" borderId="34" xfId="2" applyFont="1" applyBorder="1" applyAlignment="1">
      <alignment horizontal="left" vertical="center" wrapText="1" indent="1"/>
    </xf>
    <xf numFmtId="37" fontId="27" fillId="0" borderId="18" xfId="1" applyNumberFormat="1" applyFont="1" applyBorder="1" applyAlignment="1">
      <alignment horizontal="center" vertical="center"/>
    </xf>
    <xf numFmtId="37" fontId="0" fillId="0" borderId="18" xfId="1" applyNumberFormat="1" applyFont="1" applyBorder="1" applyAlignment="1" applyProtection="1">
      <alignment horizontal="center" vertical="center"/>
      <protection locked="0"/>
    </xf>
    <xf numFmtId="0" fontId="0" fillId="4" borderId="16" xfId="0" applyFill="1" applyBorder="1" applyAlignment="1">
      <alignment horizontal="center" vertical="center"/>
    </xf>
    <xf numFmtId="0" fontId="0" fillId="4" borderId="24" xfId="0" applyFill="1" applyBorder="1" applyAlignment="1">
      <alignment horizontal="center" vertical="center"/>
    </xf>
    <xf numFmtId="0" fontId="0" fillId="4" borderId="23" xfId="0" applyFill="1" applyBorder="1" applyAlignment="1">
      <alignment vertical="center"/>
    </xf>
    <xf numFmtId="0" fontId="9" fillId="4" borderId="18" xfId="0" applyFont="1" applyFill="1" applyBorder="1" applyAlignment="1">
      <alignment horizontal="center" vertical="center"/>
    </xf>
    <xf numFmtId="0" fontId="9" fillId="4" borderId="18" xfId="0" quotePrefix="1" applyFont="1" applyFill="1" applyBorder="1" applyAlignment="1">
      <alignment horizontal="center" vertical="center" wrapText="1"/>
    </xf>
    <xf numFmtId="49" fontId="9" fillId="4" borderId="16" xfId="0" applyNumberFormat="1" applyFont="1" applyFill="1" applyBorder="1" applyAlignment="1">
      <alignment horizontal="center" vertical="center"/>
    </xf>
    <xf numFmtId="0" fontId="9" fillId="4" borderId="24" xfId="0" applyFont="1" applyFill="1" applyBorder="1" applyAlignment="1">
      <alignment horizontal="left" vertical="center"/>
    </xf>
    <xf numFmtId="0" fontId="9" fillId="4" borderId="24" xfId="0" applyFont="1" applyFill="1" applyBorder="1" applyAlignment="1">
      <alignment vertical="center"/>
    </xf>
    <xf numFmtId="0" fontId="9" fillId="4" borderId="24" xfId="0" applyFont="1" applyFill="1" applyBorder="1" applyAlignment="1" applyProtection="1">
      <alignment horizontal="center" vertical="center"/>
      <protection locked="0"/>
    </xf>
    <xf numFmtId="0" fontId="9" fillId="4" borderId="23" xfId="0" applyFont="1" applyFill="1" applyBorder="1" applyAlignment="1">
      <alignment vertical="center"/>
    </xf>
    <xf numFmtId="0" fontId="9" fillId="4" borderId="19" xfId="2" applyFont="1" applyFill="1" applyBorder="1" applyAlignment="1" applyProtection="1">
      <alignment horizontal="centerContinuous" vertical="center" wrapText="1"/>
    </xf>
    <xf numFmtId="0" fontId="9" fillId="4" borderId="20" xfId="2" applyFont="1" applyFill="1" applyBorder="1" applyAlignment="1" applyProtection="1">
      <alignment horizontal="centerContinuous" vertical="center" wrapText="1"/>
    </xf>
    <xf numFmtId="0" fontId="9" fillId="4" borderId="21" xfId="2" applyFont="1" applyFill="1" applyBorder="1" applyAlignment="1" applyProtection="1">
      <alignment horizontal="centerContinuous" vertical="center" wrapText="1"/>
    </xf>
    <xf numFmtId="0" fontId="9" fillId="4" borderId="22" xfId="2" applyFont="1" applyFill="1" applyBorder="1" applyAlignment="1" applyProtection="1">
      <alignment horizontal="center" vertical="center"/>
    </xf>
    <xf numFmtId="0" fontId="9" fillId="4" borderId="26" xfId="2" applyFont="1" applyFill="1" applyBorder="1" applyAlignment="1" applyProtection="1">
      <alignment horizontal="center" vertical="center"/>
    </xf>
    <xf numFmtId="0" fontId="9" fillId="4" borderId="25" xfId="2" applyFont="1" applyFill="1" applyBorder="1" applyAlignment="1" applyProtection="1">
      <alignment horizontal="center" vertical="center" wrapText="1"/>
    </xf>
    <xf numFmtId="0" fontId="21" fillId="4" borderId="8" xfId="2" applyFont="1" applyFill="1" applyBorder="1" applyAlignment="1">
      <alignment horizontal="centerContinuous" vertical="center"/>
    </xf>
    <xf numFmtId="0" fontId="10" fillId="4" borderId="6" xfId="2" applyFill="1" applyBorder="1" applyAlignment="1">
      <alignment horizontal="centerContinuous" vertical="center"/>
    </xf>
    <xf numFmtId="0" fontId="20" fillId="4" borderId="6" xfId="2" applyFont="1" applyFill="1" applyBorder="1" applyAlignment="1">
      <alignment horizontal="centerContinuous" vertical="center"/>
    </xf>
    <xf numFmtId="0" fontId="20" fillId="4" borderId="29" xfId="2" applyFont="1" applyFill="1" applyBorder="1" applyAlignment="1">
      <alignment horizontal="centerContinuous" vertical="center"/>
    </xf>
    <xf numFmtId="0" fontId="8" fillId="0" borderId="0" xfId="0" applyFont="1" applyAlignment="1">
      <alignment vertical="center"/>
    </xf>
    <xf numFmtId="0" fontId="31" fillId="0" borderId="0" xfId="4" applyAlignment="1">
      <alignment vertical="center"/>
    </xf>
    <xf numFmtId="0" fontId="27" fillId="0" borderId="0" xfId="2" applyFont="1" applyAlignment="1">
      <alignment vertical="center" wrapText="1"/>
    </xf>
    <xf numFmtId="0" fontId="27" fillId="0" borderId="0" xfId="2" applyFont="1" applyAlignment="1">
      <alignment horizontal="left" vertical="center" wrapText="1"/>
    </xf>
    <xf numFmtId="0" fontId="7" fillId="0" borderId="0" xfId="5" applyAlignment="1">
      <alignment vertical="center"/>
    </xf>
    <xf numFmtId="0" fontId="8" fillId="0" borderId="0" xfId="0" applyFont="1"/>
    <xf numFmtId="0" fontId="33" fillId="0" borderId="0" xfId="0" applyFont="1" applyAlignment="1">
      <alignment vertical="center"/>
    </xf>
    <xf numFmtId="0" fontId="9" fillId="5" borderId="18" xfId="0" applyFont="1" applyFill="1" applyBorder="1" applyAlignment="1">
      <alignment horizontal="center" vertical="center"/>
    </xf>
    <xf numFmtId="0" fontId="34" fillId="0" borderId="0" xfId="5" applyFont="1" applyAlignment="1">
      <alignment horizontal="left" vertical="center"/>
    </xf>
    <xf numFmtId="0" fontId="7" fillId="6" borderId="68" xfId="5" applyFill="1" applyBorder="1" applyAlignment="1">
      <alignment horizontal="center" textRotation="45" wrapText="1"/>
    </xf>
    <xf numFmtId="0" fontId="7" fillId="6" borderId="69" xfId="5" applyFill="1" applyBorder="1" applyAlignment="1">
      <alignment horizontal="center" textRotation="45" wrapText="1"/>
    </xf>
    <xf numFmtId="0" fontId="7" fillId="6" borderId="70" xfId="5" applyFill="1" applyBorder="1" applyAlignment="1">
      <alignment horizontal="center" textRotation="45" wrapText="1"/>
    </xf>
    <xf numFmtId="0" fontId="32" fillId="6" borderId="71" xfId="5" applyFont="1" applyFill="1" applyBorder="1" applyAlignment="1">
      <alignment horizontal="centerContinuous" vertical="center"/>
    </xf>
    <xf numFmtId="0" fontId="32" fillId="6" borderId="72" xfId="5" applyFont="1" applyFill="1" applyBorder="1" applyAlignment="1">
      <alignment horizontal="centerContinuous" vertical="center"/>
    </xf>
    <xf numFmtId="0" fontId="32" fillId="6" borderId="74" xfId="5" applyFont="1" applyFill="1" applyBorder="1" applyAlignment="1">
      <alignment horizontal="centerContinuous" vertical="center"/>
    </xf>
    <xf numFmtId="0" fontId="7" fillId="6" borderId="75" xfId="5" applyFill="1" applyBorder="1" applyAlignment="1">
      <alignment horizontal="centerContinuous" vertical="center"/>
    </xf>
    <xf numFmtId="0" fontId="32" fillId="6" borderId="73" xfId="5" applyFont="1" applyFill="1" applyBorder="1" applyAlignment="1">
      <alignment horizontal="center"/>
    </xf>
    <xf numFmtId="0" fontId="32" fillId="6" borderId="77" xfId="5" applyFont="1" applyFill="1" applyBorder="1" applyAlignment="1">
      <alignment horizontal="center" vertical="top"/>
    </xf>
    <xf numFmtId="0" fontId="33" fillId="6" borderId="70" xfId="5" applyFont="1" applyFill="1" applyBorder="1" applyAlignment="1">
      <alignment horizontal="center" textRotation="45" wrapText="1"/>
    </xf>
    <xf numFmtId="0" fontId="33" fillId="6" borderId="69" xfId="5" applyFont="1" applyFill="1" applyBorder="1" applyAlignment="1">
      <alignment horizontal="center" textRotation="45" wrapText="1"/>
    </xf>
    <xf numFmtId="0" fontId="33" fillId="6" borderId="67" xfId="5" applyFont="1" applyFill="1" applyBorder="1" applyAlignment="1">
      <alignment horizontal="center" textRotation="45" wrapText="1"/>
    </xf>
    <xf numFmtId="0" fontId="30" fillId="0" borderId="0" xfId="2" applyFont="1" applyAlignment="1">
      <alignment vertical="center"/>
    </xf>
    <xf numFmtId="0" fontId="6" fillId="0" borderId="0" xfId="5" applyFont="1" applyAlignment="1">
      <alignment vertical="center"/>
    </xf>
    <xf numFmtId="0" fontId="34" fillId="0" borderId="0" xfId="5" applyFont="1" applyAlignment="1">
      <alignment horizontal="center" vertical="center"/>
    </xf>
    <xf numFmtId="165" fontId="34" fillId="0" borderId="0" xfId="3" applyNumberFormat="1" applyFont="1" applyAlignment="1">
      <alignment horizontal="center" vertical="center"/>
    </xf>
    <xf numFmtId="0" fontId="8" fillId="0" borderId="79" xfId="0" applyFont="1" applyBorder="1" applyAlignment="1">
      <alignment vertical="center"/>
    </xf>
    <xf numFmtId="0" fontId="8" fillId="0" borderId="80" xfId="0" applyFont="1" applyBorder="1" applyAlignment="1">
      <alignment vertical="center"/>
    </xf>
    <xf numFmtId="0" fontId="7" fillId="7" borderId="68" xfId="5" applyFill="1" applyBorder="1" applyAlignment="1">
      <alignment horizontal="center" textRotation="45" wrapText="1"/>
    </xf>
    <xf numFmtId="0" fontId="7" fillId="7" borderId="69" xfId="5" applyFill="1" applyBorder="1" applyAlignment="1">
      <alignment horizontal="center" textRotation="45" wrapText="1"/>
    </xf>
    <xf numFmtId="0" fontId="33" fillId="7" borderId="70" xfId="5" applyFont="1" applyFill="1" applyBorder="1" applyAlignment="1">
      <alignment horizontal="center" textRotation="45" wrapText="1"/>
    </xf>
    <xf numFmtId="0" fontId="33" fillId="7" borderId="69" xfId="5" applyFont="1" applyFill="1" applyBorder="1" applyAlignment="1">
      <alignment horizontal="center" textRotation="45" wrapText="1"/>
    </xf>
    <xf numFmtId="0" fontId="7" fillId="7" borderId="70" xfId="5" applyFill="1" applyBorder="1" applyAlignment="1">
      <alignment horizontal="center" textRotation="45" wrapText="1"/>
    </xf>
    <xf numFmtId="0" fontId="33" fillId="7" borderId="67" xfId="5" applyFont="1" applyFill="1" applyBorder="1" applyAlignment="1">
      <alignment horizontal="center" textRotation="45" wrapText="1"/>
    </xf>
    <xf numFmtId="0" fontId="32" fillId="7" borderId="72" xfId="5" applyFont="1" applyFill="1" applyBorder="1" applyAlignment="1">
      <alignment horizontal="centerContinuous" vertical="center"/>
    </xf>
    <xf numFmtId="0" fontId="32" fillId="7" borderId="71" xfId="5" applyFont="1" applyFill="1" applyBorder="1" applyAlignment="1">
      <alignment horizontal="centerContinuous" vertical="center"/>
    </xf>
    <xf numFmtId="0" fontId="32" fillId="7" borderId="73" xfId="5" applyFont="1" applyFill="1" applyBorder="1" applyAlignment="1">
      <alignment horizontal="center" vertical="center"/>
    </xf>
    <xf numFmtId="0" fontId="32" fillId="7" borderId="75" xfId="5" applyFont="1" applyFill="1" applyBorder="1" applyAlignment="1">
      <alignment horizontal="centerContinuous" vertical="center"/>
    </xf>
    <xf numFmtId="0" fontId="7" fillId="7" borderId="75" xfId="5" applyFill="1" applyBorder="1" applyAlignment="1">
      <alignment horizontal="centerContinuous" vertical="center"/>
    </xf>
    <xf numFmtId="0" fontId="7" fillId="7" borderId="76" xfId="5" applyFill="1" applyBorder="1" applyAlignment="1">
      <alignment horizontal="centerContinuous" vertical="center"/>
    </xf>
    <xf numFmtId="3" fontId="7" fillId="0" borderId="81" xfId="5" applyNumberFormat="1" applyBorder="1" applyAlignment="1" applyProtection="1">
      <alignment horizontal="center" vertical="center"/>
      <protection locked="0"/>
    </xf>
    <xf numFmtId="165" fontId="33" fillId="0" borderId="81" xfId="5" applyNumberFormat="1" applyFont="1" applyBorder="1" applyAlignment="1">
      <alignment horizontal="center" vertical="center"/>
    </xf>
    <xf numFmtId="169" fontId="7" fillId="0" borderId="81" xfId="5" applyNumberFormat="1" applyBorder="1" applyAlignment="1" applyProtection="1">
      <alignment horizontal="center" vertical="center"/>
      <protection locked="0"/>
    </xf>
    <xf numFmtId="3" fontId="33" fillId="0" borderId="81" xfId="5" applyNumberFormat="1" applyFont="1" applyBorder="1" applyAlignment="1">
      <alignment horizontal="center" vertical="center"/>
    </xf>
    <xf numFmtId="3" fontId="7" fillId="0" borderId="78" xfId="5" applyNumberFormat="1" applyBorder="1" applyAlignment="1" applyProtection="1">
      <alignment horizontal="center" vertical="center"/>
      <protection locked="0"/>
    </xf>
    <xf numFmtId="165" fontId="33" fillId="0" borderId="78" xfId="5" applyNumberFormat="1" applyFont="1" applyBorder="1" applyAlignment="1">
      <alignment horizontal="center" vertical="center"/>
    </xf>
    <xf numFmtId="169" fontId="7" fillId="0" borderId="78" xfId="5" applyNumberFormat="1" applyBorder="1" applyAlignment="1" applyProtection="1">
      <alignment horizontal="center" vertical="center"/>
      <protection locked="0"/>
    </xf>
    <xf numFmtId="3" fontId="33" fillId="0" borderId="78" xfId="5" applyNumberFormat="1" applyFont="1" applyBorder="1" applyAlignment="1">
      <alignment horizontal="center" vertical="center"/>
    </xf>
    <xf numFmtId="3" fontId="34" fillId="7" borderId="82" xfId="5" applyNumberFormat="1" applyFont="1" applyFill="1" applyBorder="1" applyAlignment="1" applyProtection="1">
      <alignment horizontal="center" vertical="center"/>
    </xf>
    <xf numFmtId="165" fontId="34" fillId="7" borderId="82" xfId="5" applyNumberFormat="1" applyFont="1" applyFill="1" applyBorder="1" applyAlignment="1" applyProtection="1">
      <alignment horizontal="center" vertical="center"/>
    </xf>
    <xf numFmtId="169" fontId="34" fillId="7" borderId="82" xfId="5" applyNumberFormat="1" applyFont="1" applyFill="1" applyBorder="1" applyAlignment="1" applyProtection="1">
      <alignment horizontal="center" vertical="center"/>
    </xf>
    <xf numFmtId="3" fontId="34" fillId="6" borderId="82" xfId="5" applyNumberFormat="1" applyFont="1" applyFill="1" applyBorder="1" applyAlignment="1" applyProtection="1">
      <alignment horizontal="center" vertical="center"/>
    </xf>
    <xf numFmtId="165" fontId="34" fillId="6" borderId="82" xfId="5" applyNumberFormat="1" applyFont="1" applyFill="1" applyBorder="1" applyAlignment="1" applyProtection="1">
      <alignment horizontal="center" vertical="center"/>
    </xf>
    <xf numFmtId="169" fontId="34" fillId="6" borderId="82" xfId="5" applyNumberFormat="1" applyFont="1" applyFill="1" applyBorder="1" applyAlignment="1" applyProtection="1">
      <alignment horizontal="center" vertical="center"/>
    </xf>
    <xf numFmtId="3" fontId="34" fillId="6" borderId="84" xfId="5" applyNumberFormat="1" applyFont="1" applyFill="1" applyBorder="1" applyAlignment="1" applyProtection="1">
      <alignment horizontal="center" vertical="center"/>
    </xf>
    <xf numFmtId="3" fontId="34" fillId="7" borderId="83" xfId="5" applyNumberFormat="1" applyFont="1" applyFill="1" applyBorder="1" applyAlignment="1" applyProtection="1">
      <alignment horizontal="center" vertical="center"/>
    </xf>
    <xf numFmtId="38" fontId="11" fillId="0" borderId="10" xfId="2" applyNumberFormat="1" applyFont="1" applyBorder="1" applyAlignment="1" applyProtection="1">
      <alignment horizontal="center" vertical="center"/>
    </xf>
    <xf numFmtId="38" fontId="11" fillId="0" borderId="9" xfId="2" applyNumberFormat="1" applyFont="1" applyBorder="1" applyAlignment="1" applyProtection="1">
      <alignment horizontal="center" vertical="center"/>
    </xf>
    <xf numFmtId="38" fontId="11" fillId="0" borderId="12" xfId="2" applyNumberFormat="1" applyFont="1" applyBorder="1" applyAlignment="1" applyProtection="1">
      <alignment horizontal="center" vertical="center"/>
    </xf>
    <xf numFmtId="38" fontId="11" fillId="0" borderId="5" xfId="2" applyNumberFormat="1" applyFont="1" applyBorder="1" applyAlignment="1" applyProtection="1">
      <alignment horizontal="center" vertical="center"/>
    </xf>
    <xf numFmtId="38" fontId="11" fillId="0" borderId="45" xfId="2" applyNumberFormat="1" applyFont="1" applyBorder="1" applyAlignment="1" applyProtection="1">
      <alignment horizontal="center" vertical="center"/>
    </xf>
    <xf numFmtId="38" fontId="11" fillId="0" borderId="41" xfId="2" applyNumberFormat="1" applyFont="1" applyBorder="1" applyAlignment="1" applyProtection="1">
      <alignment horizontal="center" vertical="center"/>
    </xf>
    <xf numFmtId="167" fontId="11" fillId="0" borderId="27" xfId="1" applyNumberFormat="1" applyFont="1" applyBorder="1" applyAlignment="1" applyProtection="1">
      <alignment horizontal="center" vertical="center"/>
    </xf>
    <xf numFmtId="167" fontId="11" fillId="0" borderId="26" xfId="1" applyNumberFormat="1" applyFont="1" applyBorder="1" applyAlignment="1" applyProtection="1">
      <alignment horizontal="center" vertical="center"/>
    </xf>
    <xf numFmtId="167" fontId="11" fillId="0" borderId="28" xfId="1" applyNumberFormat="1" applyFont="1" applyBorder="1" applyAlignment="1" applyProtection="1">
      <alignment horizontal="center" vertical="center"/>
    </xf>
    <xf numFmtId="0" fontId="23" fillId="0" borderId="35" xfId="2" applyFont="1" applyBorder="1" applyAlignment="1">
      <alignment horizontal="left" vertical="center" indent="1"/>
    </xf>
    <xf numFmtId="0" fontId="23" fillId="0" borderId="47" xfId="2" applyFont="1" applyBorder="1" applyAlignment="1">
      <alignment vertical="top" wrapText="1"/>
    </xf>
    <xf numFmtId="38" fontId="37" fillId="0" borderId="48" xfId="2" applyNumberFormat="1" applyFont="1" applyBorder="1" applyAlignment="1" applyProtection="1">
      <alignment horizontal="center" vertical="center"/>
    </xf>
    <xf numFmtId="38" fontId="37" fillId="0" borderId="49" xfId="2" applyNumberFormat="1" applyFont="1" applyBorder="1" applyAlignment="1" applyProtection="1">
      <alignment horizontal="center" vertical="center"/>
    </xf>
    <xf numFmtId="38" fontId="37" fillId="0" borderId="50" xfId="2" applyNumberFormat="1" applyFont="1" applyBorder="1" applyAlignment="1" applyProtection="1">
      <alignment horizontal="center" vertical="center"/>
    </xf>
    <xf numFmtId="0" fontId="27" fillId="0" borderId="0" xfId="2" applyFont="1" applyAlignment="1">
      <alignment horizontal="left" vertical="center"/>
    </xf>
    <xf numFmtId="0" fontId="27" fillId="0" borderId="0" xfId="2" applyFont="1" applyAlignment="1">
      <alignment vertical="center"/>
    </xf>
    <xf numFmtId="0" fontId="38" fillId="0" borderId="0" xfId="5" applyFont="1" applyAlignment="1">
      <alignment vertical="center"/>
    </xf>
    <xf numFmtId="0" fontId="13" fillId="0" borderId="0" xfId="0" applyFont="1" applyAlignment="1">
      <alignment horizontal="justify" vertical="top" wrapText="1"/>
    </xf>
    <xf numFmtId="0" fontId="5" fillId="7" borderId="85" xfId="5" applyFont="1" applyFill="1" applyBorder="1" applyAlignment="1">
      <alignment horizontal="center" vertical="center" wrapText="1"/>
    </xf>
    <xf numFmtId="0" fontId="5" fillId="7" borderId="69" xfId="5" applyFont="1" applyFill="1" applyBorder="1" applyAlignment="1">
      <alignment horizontal="center" vertical="center" wrapText="1"/>
    </xf>
    <xf numFmtId="0" fontId="7" fillId="7" borderId="86" xfId="5" applyFill="1" applyBorder="1" applyAlignment="1">
      <alignment horizontal="center" vertical="center"/>
    </xf>
    <xf numFmtId="0" fontId="7" fillId="7" borderId="87" xfId="5" applyFill="1" applyBorder="1" applyAlignment="1">
      <alignment horizontal="center" vertical="center"/>
    </xf>
    <xf numFmtId="0" fontId="5" fillId="7" borderId="87" xfId="5" applyFont="1" applyFill="1" applyBorder="1" applyAlignment="1">
      <alignment horizontal="center" vertical="center"/>
    </xf>
    <xf numFmtId="0" fontId="5" fillId="7" borderId="88" xfId="5" applyFont="1" applyFill="1" applyBorder="1" applyAlignment="1" applyProtection="1">
      <alignment vertical="center"/>
    </xf>
    <xf numFmtId="0" fontId="5" fillId="7" borderId="75" xfId="5" applyFont="1" applyFill="1" applyBorder="1" applyAlignment="1" applyProtection="1">
      <alignment vertical="center"/>
    </xf>
    <xf numFmtId="0" fontId="32" fillId="7" borderId="69" xfId="5" applyFont="1" applyFill="1" applyBorder="1" applyAlignment="1">
      <alignment horizontal="center" vertical="center"/>
    </xf>
    <xf numFmtId="0" fontId="32" fillId="7" borderId="69" xfId="5" applyFont="1" applyFill="1" applyBorder="1" applyAlignment="1">
      <alignment horizontal="center" vertical="center" wrapText="1"/>
    </xf>
    <xf numFmtId="3" fontId="7" fillId="0" borderId="81" xfId="5" applyNumberFormat="1" applyBorder="1" applyAlignment="1" applyProtection="1">
      <alignment horizontal="center" vertical="center"/>
    </xf>
    <xf numFmtId="165" fontId="33" fillId="0" borderId="81" xfId="5" applyNumberFormat="1" applyFont="1" applyBorder="1" applyAlignment="1" applyProtection="1">
      <alignment horizontal="center" vertical="center"/>
    </xf>
    <xf numFmtId="169" fontId="7" fillId="0" borderId="81" xfId="5" applyNumberFormat="1" applyBorder="1" applyAlignment="1" applyProtection="1">
      <alignment horizontal="center" vertical="center"/>
    </xf>
    <xf numFmtId="3" fontId="33" fillId="0" borderId="81" xfId="5" applyNumberFormat="1" applyFont="1" applyBorder="1" applyAlignment="1" applyProtection="1">
      <alignment horizontal="center" vertical="center"/>
    </xf>
    <xf numFmtId="3" fontId="7" fillId="0" borderId="78" xfId="5" applyNumberFormat="1" applyBorder="1" applyAlignment="1" applyProtection="1">
      <alignment horizontal="center" vertical="center"/>
    </xf>
    <xf numFmtId="165" fontId="33" fillId="0" borderId="78" xfId="5" applyNumberFormat="1" applyFont="1" applyBorder="1" applyAlignment="1" applyProtection="1">
      <alignment horizontal="center" vertical="center"/>
    </xf>
    <xf numFmtId="169" fontId="7" fillId="0" borderId="78" xfId="5" applyNumberFormat="1" applyBorder="1" applyAlignment="1" applyProtection="1">
      <alignment horizontal="center" vertical="center"/>
    </xf>
    <xf numFmtId="3" fontId="33" fillId="0" borderId="78" xfId="5" applyNumberFormat="1" applyFont="1" applyBorder="1" applyAlignment="1" applyProtection="1">
      <alignment horizontal="center" vertical="center"/>
    </xf>
    <xf numFmtId="0" fontId="7" fillId="0" borderId="0" xfId="5" applyAlignment="1">
      <alignment horizontal="center" vertical="center"/>
    </xf>
    <xf numFmtId="0" fontId="4" fillId="7" borderId="69" xfId="5" applyFont="1" applyFill="1" applyBorder="1" applyAlignment="1">
      <alignment horizontal="center" vertical="center" wrapText="1"/>
    </xf>
    <xf numFmtId="0" fontId="32" fillId="0" borderId="0" xfId="5" applyFont="1" applyAlignment="1">
      <alignment vertical="center"/>
    </xf>
    <xf numFmtId="0" fontId="8" fillId="0" borderId="0" xfId="0" applyFont="1" applyAlignment="1">
      <alignment horizontal="left"/>
    </xf>
    <xf numFmtId="0" fontId="8" fillId="0" borderId="0" xfId="0" applyFont="1" applyAlignment="1">
      <alignment horizontal="left" indent="1"/>
    </xf>
    <xf numFmtId="3" fontId="9" fillId="7" borderId="89" xfId="5" applyNumberFormat="1" applyFont="1" applyFill="1" applyBorder="1" applyAlignment="1" applyProtection="1">
      <alignment horizontal="center" vertical="center"/>
    </xf>
    <xf numFmtId="165" fontId="9" fillId="7" borderId="89" xfId="5" applyNumberFormat="1" applyFont="1" applyFill="1" applyBorder="1" applyAlignment="1" applyProtection="1">
      <alignment horizontal="center" vertical="center"/>
    </xf>
    <xf numFmtId="169" fontId="9" fillId="7" borderId="89" xfId="5" applyNumberFormat="1" applyFont="1" applyFill="1" applyBorder="1" applyAlignment="1" applyProtection="1">
      <alignment horizontal="center" vertical="center"/>
    </xf>
    <xf numFmtId="3" fontId="9" fillId="7" borderId="90" xfId="5" applyNumberFormat="1" applyFont="1" applyFill="1" applyBorder="1" applyAlignment="1" applyProtection="1">
      <alignment horizontal="center" vertical="center"/>
    </xf>
    <xf numFmtId="0" fontId="8" fillId="0" borderId="0" xfId="0" applyFont="1" applyAlignment="1">
      <alignment vertical="top"/>
    </xf>
    <xf numFmtId="49" fontId="8" fillId="0" borderId="0" xfId="0" applyNumberFormat="1" applyFont="1" applyAlignment="1">
      <alignment vertical="top"/>
    </xf>
    <xf numFmtId="49" fontId="8" fillId="0" borderId="0" xfId="0" applyNumberFormat="1" applyFont="1" applyAlignment="1">
      <alignment vertical="top" wrapText="1"/>
    </xf>
    <xf numFmtId="49" fontId="8" fillId="0" borderId="0" xfId="0" applyNumberFormat="1" applyFont="1" applyAlignment="1">
      <alignment horizontal="justify" vertical="top" wrapText="1"/>
    </xf>
    <xf numFmtId="49" fontId="8" fillId="0" borderId="0" xfId="0" applyNumberFormat="1" applyFont="1" applyAlignment="1">
      <alignment horizontal="justify" vertical="top" wrapText="1"/>
    </xf>
    <xf numFmtId="0" fontId="7" fillId="0" borderId="81" xfId="5" applyBorder="1" applyAlignment="1">
      <alignment horizontal="center" vertical="center"/>
    </xf>
    <xf numFmtId="0" fontId="5" fillId="0" borderId="81" xfId="5" applyFont="1" applyBorder="1" applyAlignment="1">
      <alignment horizontal="center" vertical="center"/>
    </xf>
    <xf numFmtId="0" fontId="8" fillId="0" borderId="81" xfId="0" applyFont="1" applyBorder="1" applyAlignment="1">
      <alignment vertical="center"/>
    </xf>
    <xf numFmtId="0" fontId="7" fillId="0" borderId="78" xfId="5" applyBorder="1" applyAlignment="1">
      <alignment horizontal="center" vertical="center"/>
    </xf>
    <xf numFmtId="0" fontId="5" fillId="0" borderId="78" xfId="5" applyFont="1" applyBorder="1" applyAlignment="1">
      <alignment horizontal="center" vertical="center"/>
    </xf>
    <xf numFmtId="0" fontId="8" fillId="0" borderId="78" xfId="0" applyFont="1" applyBorder="1" applyAlignment="1">
      <alignment vertical="center"/>
    </xf>
    <xf numFmtId="0" fontId="32" fillId="7" borderId="74" xfId="5" applyFont="1" applyFill="1" applyBorder="1" applyAlignment="1">
      <alignment horizontal="centerContinuous" vertical="center"/>
    </xf>
    <xf numFmtId="0" fontId="32" fillId="7" borderId="76" xfId="5" applyFont="1" applyFill="1" applyBorder="1" applyAlignment="1">
      <alignment horizontal="centerContinuous" vertical="center"/>
    </xf>
    <xf numFmtId="0" fontId="3" fillId="7" borderId="70" xfId="5" applyFont="1" applyFill="1" applyBorder="1" applyAlignment="1">
      <alignment horizontal="center" textRotation="45" wrapText="1"/>
    </xf>
    <xf numFmtId="0" fontId="32" fillId="6" borderId="75" xfId="5" applyFont="1" applyFill="1" applyBorder="1" applyAlignment="1">
      <alignment horizontal="centerContinuous" vertical="center"/>
    </xf>
    <xf numFmtId="0" fontId="32" fillId="6" borderId="76" xfId="5" applyFont="1" applyFill="1" applyBorder="1" applyAlignment="1">
      <alignment horizontal="centerContinuous" vertical="center"/>
    </xf>
    <xf numFmtId="0" fontId="32" fillId="6" borderId="71" xfId="5" applyFont="1" applyFill="1" applyBorder="1" applyAlignment="1">
      <alignment horizontal="center" vertical="center"/>
    </xf>
    <xf numFmtId="3" fontId="33" fillId="0" borderId="93" xfId="5" applyNumberFormat="1" applyFont="1" applyBorder="1" applyAlignment="1">
      <alignment horizontal="center" vertical="center"/>
    </xf>
    <xf numFmtId="3" fontId="33" fillId="0" borderId="94" xfId="5" applyNumberFormat="1" applyFont="1" applyBorder="1" applyAlignment="1">
      <alignment horizontal="center" vertical="center"/>
    </xf>
    <xf numFmtId="3" fontId="34" fillId="6" borderId="91" xfId="5" applyNumberFormat="1" applyFont="1" applyFill="1" applyBorder="1" applyAlignment="1" applyProtection="1">
      <alignment horizontal="center" vertical="center"/>
    </xf>
    <xf numFmtId="169" fontId="7" fillId="0" borderId="95" xfId="5" applyNumberFormat="1" applyBorder="1" applyAlignment="1" applyProtection="1">
      <alignment horizontal="center" vertical="center"/>
      <protection locked="0"/>
    </xf>
    <xf numFmtId="169" fontId="7" fillId="0" borderId="96" xfId="5" applyNumberFormat="1" applyBorder="1" applyAlignment="1" applyProtection="1">
      <alignment horizontal="center" vertical="center"/>
      <protection locked="0"/>
    </xf>
    <xf numFmtId="169" fontId="34" fillId="8" borderId="97" xfId="5" applyNumberFormat="1" applyFont="1" applyFill="1" applyBorder="1" applyAlignment="1" applyProtection="1">
      <alignment horizontal="center" vertical="center"/>
    </xf>
    <xf numFmtId="0" fontId="21" fillId="0" borderId="0" xfId="0" applyFont="1" applyAlignment="1">
      <alignment horizontal="centerContinuous" vertical="center"/>
    </xf>
    <xf numFmtId="0" fontId="40" fillId="0" borderId="0" xfId="5" applyFont="1" applyAlignment="1">
      <alignment vertical="center"/>
    </xf>
    <xf numFmtId="0" fontId="41" fillId="0" borderId="0" xfId="5" applyFont="1" applyAlignment="1">
      <alignment vertical="center"/>
    </xf>
    <xf numFmtId="0" fontId="32" fillId="4" borderId="47" xfId="5" applyFont="1" applyFill="1" applyBorder="1" applyAlignment="1" applyProtection="1">
      <alignment vertical="center"/>
    </xf>
    <xf numFmtId="0" fontId="3" fillId="8" borderId="70" xfId="5" applyFont="1" applyFill="1" applyBorder="1" applyAlignment="1">
      <alignment horizontal="center" textRotation="45" wrapText="1"/>
    </xf>
    <xf numFmtId="0" fontId="3" fillId="0" borderId="0" xfId="5" applyFont="1" applyAlignment="1">
      <alignment vertical="top" wrapText="1"/>
    </xf>
    <xf numFmtId="0" fontId="7" fillId="0" borderId="0" xfId="5" applyAlignment="1">
      <alignment vertical="top" wrapText="1"/>
    </xf>
    <xf numFmtId="0" fontId="41" fillId="0" borderId="0" xfId="5" applyFont="1" applyAlignment="1">
      <alignment horizontal="center" vertical="center" wrapText="1"/>
    </xf>
    <xf numFmtId="0" fontId="41" fillId="0" borderId="0" xfId="5" applyFont="1" applyAlignment="1">
      <alignment vertical="top"/>
    </xf>
    <xf numFmtId="0" fontId="33" fillId="7" borderId="92" xfId="5" applyFont="1" applyFill="1" applyBorder="1" applyAlignment="1">
      <alignment horizontal="center" textRotation="45" wrapText="1"/>
    </xf>
    <xf numFmtId="0" fontId="33" fillId="7" borderId="85" xfId="5" applyFont="1" applyFill="1" applyBorder="1" applyAlignment="1">
      <alignment horizontal="center" textRotation="45" wrapText="1"/>
    </xf>
    <xf numFmtId="49" fontId="8" fillId="0" borderId="0" xfId="0" applyNumberFormat="1" applyFont="1" applyAlignment="1">
      <alignment horizontal="justify" vertical="top" wrapText="1"/>
    </xf>
    <xf numFmtId="0" fontId="33" fillId="0" borderId="0" xfId="0" applyFont="1" applyAlignment="1">
      <alignment horizontal="center" vertical="center"/>
    </xf>
    <xf numFmtId="0" fontId="0" fillId="0" borderId="0" xfId="0" applyAlignment="1">
      <alignment horizontal="right" vertical="center"/>
    </xf>
    <xf numFmtId="0" fontId="2" fillId="0" borderId="0" xfId="5" applyFont="1" applyAlignment="1">
      <alignment vertical="center"/>
    </xf>
    <xf numFmtId="0" fontId="8" fillId="0" borderId="0" xfId="0" applyFont="1" applyAlignment="1">
      <alignment horizontal="centerContinuous" vertical="center"/>
    </xf>
    <xf numFmtId="0" fontId="1" fillId="0" borderId="0" xfId="5" applyFont="1" applyAlignment="1">
      <alignment vertical="center"/>
    </xf>
    <xf numFmtId="0" fontId="12" fillId="0" borderId="0" xfId="5" applyFont="1" applyAlignment="1">
      <alignment horizontal="left" vertical="center"/>
    </xf>
    <xf numFmtId="0" fontId="14" fillId="0" borderId="0" xfId="0" applyFont="1" applyAlignment="1">
      <alignment horizontal="left" vertical="top" wrapText="1"/>
    </xf>
    <xf numFmtId="0" fontId="9" fillId="0" borderId="0" xfId="0" applyFont="1" applyAlignment="1">
      <alignment horizontal="left" vertical="top" wrapText="1"/>
    </xf>
    <xf numFmtId="49" fontId="8" fillId="0" borderId="0" xfId="0" applyNumberFormat="1" applyFont="1" applyAlignment="1">
      <alignment horizontal="justify" vertical="top" wrapText="1"/>
    </xf>
    <xf numFmtId="0" fontId="10" fillId="0" borderId="0" xfId="0" applyFont="1" applyAlignment="1">
      <alignment horizontal="justify" vertical="top" wrapText="1"/>
    </xf>
    <xf numFmtId="0" fontId="0" fillId="0" borderId="0" xfId="0" applyAlignment="1">
      <alignment horizontal="justify" vertical="top" wrapText="1"/>
    </xf>
    <xf numFmtId="0" fontId="13" fillId="0" borderId="0" xfId="0" applyFont="1" applyAlignment="1">
      <alignment horizontal="justify" vertical="top" wrapText="1"/>
    </xf>
    <xf numFmtId="0" fontId="8" fillId="0" borderId="0" xfId="0" applyFont="1" applyAlignment="1">
      <alignment horizontal="justify" vertical="top" wrapText="1"/>
    </xf>
    <xf numFmtId="0" fontId="9" fillId="0" borderId="0" xfId="0" applyFont="1" applyAlignment="1">
      <alignment horizontal="justify" vertical="top" wrapText="1"/>
    </xf>
    <xf numFmtId="0" fontId="13" fillId="0" borderId="0" xfId="0" applyFont="1" applyFill="1" applyAlignment="1">
      <alignment horizontal="justify" vertical="top" wrapText="1"/>
    </xf>
    <xf numFmtId="0" fontId="0" fillId="0" borderId="0" xfId="0" applyFill="1" applyAlignment="1">
      <alignment horizontal="justify" vertical="top" wrapText="1"/>
    </xf>
    <xf numFmtId="49" fontId="14" fillId="0" borderId="0" xfId="0" applyNumberFormat="1" applyFont="1" applyAlignment="1">
      <alignment vertical="top" wrapText="1"/>
    </xf>
    <xf numFmtId="49" fontId="8" fillId="0" borderId="0" xfId="0" applyNumberFormat="1" applyFont="1" applyAlignment="1">
      <alignment vertical="top" wrapText="1"/>
    </xf>
    <xf numFmtId="49" fontId="10" fillId="0" borderId="0" xfId="0" applyNumberFormat="1" applyFont="1" applyAlignment="1">
      <alignment vertical="top" wrapText="1"/>
    </xf>
    <xf numFmtId="0" fontId="10" fillId="0" borderId="1" xfId="2" applyFont="1" applyBorder="1" applyAlignment="1">
      <alignment vertical="center" wrapText="1"/>
    </xf>
    <xf numFmtId="0" fontId="10" fillId="0" borderId="0" xfId="2" applyFont="1" applyBorder="1" applyAlignment="1">
      <alignment vertical="center" wrapText="1"/>
    </xf>
    <xf numFmtId="0" fontId="10" fillId="0" borderId="2" xfId="2" applyFont="1" applyBorder="1" applyAlignment="1">
      <alignment vertical="center" wrapText="1"/>
    </xf>
    <xf numFmtId="0" fontId="9" fillId="0" borderId="16" xfId="2" applyFont="1" applyBorder="1" applyAlignment="1" applyProtection="1">
      <alignment horizontal="center" vertical="center"/>
      <protection locked="0"/>
    </xf>
    <xf numFmtId="0" fontId="9" fillId="0" borderId="24" xfId="2" applyFont="1" applyBorder="1" applyAlignment="1" applyProtection="1">
      <alignment horizontal="center" vertical="center"/>
      <protection locked="0"/>
    </xf>
    <xf numFmtId="0" fontId="9" fillId="0" borderId="23" xfId="2" applyFont="1" applyBorder="1" applyAlignment="1" applyProtection="1">
      <alignment horizontal="center" vertical="center"/>
      <protection locked="0"/>
    </xf>
    <xf numFmtId="14" fontId="11" fillId="0" borderId="16" xfId="2" applyNumberFormat="1" applyFont="1" applyFill="1" applyBorder="1" applyAlignment="1" applyProtection="1">
      <alignment horizontal="center" vertical="center"/>
      <protection locked="0"/>
    </xf>
    <xf numFmtId="14" fontId="11" fillId="0" borderId="24" xfId="2" applyNumberFormat="1" applyFont="1" applyFill="1" applyBorder="1" applyAlignment="1" applyProtection="1">
      <alignment horizontal="center" vertical="center"/>
      <protection locked="0"/>
    </xf>
    <xf numFmtId="14" fontId="11" fillId="0" borderId="23" xfId="2" applyNumberFormat="1" applyFont="1" applyFill="1" applyBorder="1" applyAlignment="1" applyProtection="1">
      <alignment horizontal="center" vertical="center"/>
      <protection locked="0"/>
    </xf>
    <xf numFmtId="37" fontId="12" fillId="0" borderId="16" xfId="1" applyNumberFormat="1" applyFont="1" applyBorder="1" applyAlignment="1" applyProtection="1">
      <alignment horizontal="center" vertical="center"/>
    </xf>
    <xf numFmtId="37" fontId="12" fillId="0" borderId="24" xfId="1" applyNumberFormat="1" applyFont="1" applyBorder="1" applyAlignment="1" applyProtection="1">
      <alignment horizontal="center" vertical="center"/>
    </xf>
    <xf numFmtId="37" fontId="12" fillId="0" borderId="23" xfId="1" applyNumberFormat="1" applyFont="1" applyBorder="1" applyAlignment="1" applyProtection="1">
      <alignment horizontal="center" vertical="center"/>
    </xf>
    <xf numFmtId="0" fontId="10" fillId="0" borderId="16" xfId="2" applyBorder="1" applyAlignment="1" applyProtection="1">
      <alignment horizontal="center" vertical="center"/>
      <protection locked="0"/>
    </xf>
    <xf numFmtId="0" fontId="10" fillId="0" borderId="24" xfId="2" applyBorder="1" applyAlignment="1" applyProtection="1">
      <alignment horizontal="center" vertical="center"/>
      <protection locked="0"/>
    </xf>
    <xf numFmtId="0" fontId="10" fillId="0" borderId="23" xfId="2" applyBorder="1" applyAlignment="1" applyProtection="1">
      <alignment horizontal="center" vertical="center"/>
      <protection locked="0"/>
    </xf>
    <xf numFmtId="0" fontId="10" fillId="0" borderId="16" xfId="0" applyFont="1" applyBorder="1" applyAlignment="1" applyProtection="1">
      <alignment horizontal="center" vertical="center"/>
      <protection locked="0"/>
    </xf>
    <xf numFmtId="0" fontId="0" fillId="0" borderId="24" xfId="0" applyBorder="1" applyAlignment="1" applyProtection="1">
      <alignment horizontal="center" vertical="center"/>
      <protection locked="0"/>
    </xf>
    <xf numFmtId="0" fontId="0" fillId="0" borderId="23" xfId="0" applyBorder="1" applyAlignment="1" applyProtection="1">
      <alignment horizontal="center" vertical="center"/>
      <protection locked="0"/>
    </xf>
    <xf numFmtId="0" fontId="27" fillId="0" borderId="58" xfId="2" applyFont="1" applyBorder="1" applyAlignment="1">
      <alignment horizontal="center" vertical="center" wrapText="1"/>
    </xf>
    <xf numFmtId="0" fontId="27" fillId="0" borderId="60" xfId="2" applyFont="1" applyBorder="1" applyAlignment="1">
      <alignment horizontal="center" vertical="center" wrapText="1"/>
    </xf>
    <xf numFmtId="0" fontId="27" fillId="0" borderId="59" xfId="2" applyFont="1" applyBorder="1" applyAlignment="1">
      <alignment horizontal="center" vertical="center" wrapText="1"/>
    </xf>
    <xf numFmtId="0" fontId="27" fillId="0" borderId="63" xfId="2" applyFont="1" applyBorder="1" applyAlignment="1">
      <alignment horizontal="center" vertical="center" wrapText="1"/>
    </xf>
    <xf numFmtId="0" fontId="27" fillId="0" borderId="64" xfId="2" applyFont="1" applyBorder="1" applyAlignment="1">
      <alignment horizontal="center" vertical="center" wrapText="1"/>
    </xf>
    <xf numFmtId="0" fontId="27" fillId="0" borderId="65" xfId="2" applyFont="1" applyBorder="1" applyAlignment="1">
      <alignment horizontal="center" vertical="center" wrapText="1"/>
    </xf>
    <xf numFmtId="0" fontId="9" fillId="0" borderId="0" xfId="2" applyFont="1" applyBorder="1" applyAlignment="1">
      <alignment horizontal="center" vertical="center" wrapText="1"/>
    </xf>
    <xf numFmtId="0" fontId="9" fillId="4" borderId="53" xfId="2" applyFont="1" applyFill="1" applyBorder="1" applyAlignment="1" applyProtection="1">
      <alignment horizontal="center" vertical="center" wrapText="1"/>
    </xf>
    <xf numFmtId="0" fontId="9" fillId="4" borderId="54" xfId="2" applyFont="1" applyFill="1" applyBorder="1" applyAlignment="1" applyProtection="1">
      <alignment horizontal="center" vertical="center" wrapText="1"/>
    </xf>
    <xf numFmtId="0" fontId="11" fillId="0" borderId="16" xfId="0" applyFont="1" applyFill="1" applyBorder="1" applyAlignment="1" applyProtection="1">
      <alignment horizontal="center" vertical="center"/>
      <protection locked="0"/>
    </xf>
    <xf numFmtId="0" fontId="11" fillId="0" borderId="24" xfId="0" applyFont="1" applyFill="1" applyBorder="1" applyAlignment="1" applyProtection="1">
      <alignment horizontal="center" vertical="center"/>
      <protection locked="0"/>
    </xf>
    <xf numFmtId="0" fontId="11" fillId="0" borderId="23" xfId="0" applyFont="1" applyFill="1" applyBorder="1" applyAlignment="1" applyProtection="1">
      <alignment horizontal="center" vertical="center"/>
      <protection locked="0"/>
    </xf>
    <xf numFmtId="0" fontId="30" fillId="0" borderId="0" xfId="2" applyFont="1" applyAlignment="1">
      <alignment vertical="top" wrapText="1"/>
    </xf>
    <xf numFmtId="0" fontId="27" fillId="0" borderId="0" xfId="2" applyFont="1" applyAlignment="1">
      <alignment vertical="center" wrapText="1"/>
    </xf>
    <xf numFmtId="0" fontId="13" fillId="0" borderId="1" xfId="2" applyFont="1" applyBorder="1" applyAlignment="1">
      <alignment horizontal="justify" vertical="top" wrapText="1"/>
    </xf>
    <xf numFmtId="0" fontId="13" fillId="0" borderId="0" xfId="2" applyFont="1" applyBorder="1" applyAlignment="1">
      <alignment horizontal="justify" vertical="top" wrapText="1"/>
    </xf>
    <xf numFmtId="0" fontId="13" fillId="0" borderId="2" xfId="2" applyFont="1" applyBorder="1" applyAlignment="1">
      <alignment horizontal="justify" vertical="top" wrapText="1"/>
    </xf>
    <xf numFmtId="0" fontId="13" fillId="0" borderId="1" xfId="2" applyFont="1" applyBorder="1" applyAlignment="1">
      <alignment horizontal="left" vertical="center" wrapText="1"/>
    </xf>
    <xf numFmtId="0" fontId="13" fillId="0" borderId="0" xfId="2" applyFont="1" applyBorder="1" applyAlignment="1">
      <alignment horizontal="left" vertical="center" wrapText="1"/>
    </xf>
    <xf numFmtId="0" fontId="13" fillId="0" borderId="2" xfId="2" applyFont="1" applyBorder="1" applyAlignment="1">
      <alignment horizontal="left" vertical="center" wrapText="1"/>
    </xf>
    <xf numFmtId="38" fontId="0" fillId="0" borderId="55" xfId="0" applyNumberFormat="1" applyBorder="1" applyAlignment="1">
      <alignment horizontal="center" vertical="center"/>
    </xf>
    <xf numFmtId="38" fontId="0" fillId="0" borderId="56" xfId="0" applyNumberFormat="1" applyBorder="1" applyAlignment="1">
      <alignment horizontal="center" vertical="center"/>
    </xf>
    <xf numFmtId="38" fontId="0" fillId="0" borderId="57" xfId="0" applyNumberFormat="1" applyBorder="1" applyAlignment="1">
      <alignment horizontal="center" vertical="center"/>
    </xf>
    <xf numFmtId="38" fontId="10" fillId="0" borderId="55" xfId="0" applyNumberFormat="1" applyFont="1" applyBorder="1" applyAlignment="1">
      <alignment horizontal="center" vertical="center"/>
    </xf>
    <xf numFmtId="38" fontId="10" fillId="0" borderId="56" xfId="0" applyNumberFormat="1" applyFont="1" applyBorder="1" applyAlignment="1">
      <alignment horizontal="center" vertical="center"/>
    </xf>
    <xf numFmtId="0" fontId="32" fillId="8" borderId="73" xfId="5" applyFont="1" applyFill="1" applyBorder="1" applyAlignment="1">
      <alignment horizontal="center" vertical="center" wrapText="1"/>
    </xf>
    <xf numFmtId="0" fontId="32" fillId="8" borderId="77" xfId="5" applyFont="1" applyFill="1" applyBorder="1" applyAlignment="1">
      <alignment horizontal="center" vertical="center" wrapText="1"/>
    </xf>
    <xf numFmtId="0" fontId="42" fillId="9" borderId="0" xfId="0" applyFont="1" applyFill="1" applyAlignment="1">
      <alignment horizontal="left" vertical="center" wrapText="1"/>
    </xf>
  </cellXfs>
  <cellStyles count="7">
    <cellStyle name="Comma" xfId="1" builtinId="3"/>
    <cellStyle name="Hyperlink" xfId="4" builtinId="8"/>
    <cellStyle name="Normal" xfId="0" builtinId="0"/>
    <cellStyle name="Normal 2" xfId="2"/>
    <cellStyle name="Normal 3" xfId="5"/>
    <cellStyle name="Normal 4" xfId="6"/>
    <cellStyle name="Percent" xfId="3" builtinId="5"/>
  </cellStyles>
  <dxfs count="32">
    <dxf>
      <font>
        <b/>
        <i val="0"/>
        <color rgb="FFFF0000"/>
      </font>
    </dxf>
    <dxf>
      <fill>
        <patternFill>
          <bgColor theme="0" tint="-0.24994659260841701"/>
        </patternFill>
      </fill>
    </dxf>
    <dxf>
      <font>
        <b/>
        <i val="0"/>
        <color theme="3"/>
      </font>
      <fill>
        <patternFill patternType="none">
          <bgColor auto="1"/>
        </patternFill>
      </fill>
      <border>
        <top/>
        <bottom/>
      </border>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b/>
        <i val="0"/>
        <color rgb="FFFF0000"/>
      </font>
    </dxf>
    <dxf>
      <font>
        <b/>
        <i val="0"/>
      </font>
    </dxf>
    <dxf>
      <fill>
        <patternFill>
          <bgColor theme="0" tint="-0.24994659260841701"/>
        </patternFill>
      </fill>
    </dxf>
    <dxf>
      <font>
        <b/>
        <i val="0"/>
        <color theme="3" tint="-0.24994659260841701"/>
      </font>
    </dxf>
    <dxf>
      <font>
        <b/>
        <i val="0"/>
        <color rgb="FFFF0000"/>
      </font>
    </dxf>
    <dxf>
      <font>
        <b/>
        <i val="0"/>
        <color rgb="FFFF0000"/>
      </font>
    </dxf>
    <dxf>
      <fill>
        <patternFill>
          <bgColor theme="4" tint="0.79998168889431442"/>
        </patternFill>
      </fill>
    </dxf>
    <dxf>
      <fill>
        <patternFill>
          <bgColor indexed="26"/>
        </patternFill>
      </fill>
    </dxf>
    <dxf>
      <font>
        <b/>
        <i val="0"/>
        <color rgb="FFFF0000"/>
      </font>
    </dxf>
    <dxf>
      <fill>
        <patternFill>
          <bgColor indexed="26"/>
        </patternFill>
      </fill>
    </dxf>
    <dxf>
      <fill>
        <patternFill>
          <bgColor indexed="26"/>
        </patternFill>
      </fill>
    </dxf>
    <dxf>
      <font>
        <b/>
        <i val="0"/>
        <color rgb="FFFF0000"/>
      </font>
      <fill>
        <patternFill>
          <bgColor theme="8" tint="0.59996337778862885"/>
        </patternFill>
      </fill>
    </dxf>
    <dxf>
      <font>
        <b/>
        <i val="0"/>
        <color theme="7" tint="-0.89996032593768116"/>
      </font>
      <fill>
        <patternFill>
          <bgColor theme="7" tint="-9.9948118533890809E-2"/>
        </patternFill>
      </fill>
    </dxf>
    <dxf>
      <font>
        <b/>
        <i val="0"/>
        <color rgb="FFFF0000"/>
      </font>
      <fill>
        <patternFill>
          <bgColor theme="9" tint="0.79998168889431442"/>
        </patternFill>
      </fill>
    </dxf>
    <dxf>
      <font>
        <b/>
        <i val="0"/>
        <color theme="7" tint="-0.89996032593768116"/>
      </font>
      <fill>
        <patternFill>
          <bgColor theme="7" tint="-9.9948118533890809E-2"/>
        </patternFill>
      </fill>
    </dxf>
    <dxf>
      <font>
        <b/>
        <i val="0"/>
        <color rgb="FFFF0000"/>
      </font>
      <fill>
        <patternFill>
          <bgColor theme="9" tint="0.79998168889431442"/>
        </patternFill>
      </fill>
    </dxf>
    <dxf>
      <font>
        <b/>
        <i val="0"/>
        <color theme="7" tint="-0.89996032593768116"/>
      </font>
      <fill>
        <patternFill>
          <bgColor theme="7" tint="-9.9948118533890809E-2"/>
        </patternFill>
      </fill>
    </dxf>
    <dxf>
      <font>
        <b/>
        <i val="0"/>
        <color rgb="FFFF0000"/>
      </font>
      <fill>
        <patternFill>
          <bgColor theme="9" tint="0.79998168889431442"/>
        </patternFill>
      </fill>
    </dxf>
    <dxf>
      <fill>
        <patternFill>
          <bgColor theme="0" tint="-0.24994659260841701"/>
        </patternFill>
      </fill>
    </dxf>
    <dxf>
      <fill>
        <patternFill>
          <bgColor indexed="26"/>
        </patternFill>
      </fill>
    </dxf>
    <dxf>
      <fill>
        <patternFill>
          <bgColor indexed="26"/>
        </patternFill>
      </fill>
    </dxf>
    <dxf>
      <fill>
        <patternFill>
          <bgColor indexed="26"/>
        </patternFill>
      </fill>
    </dxf>
    <dxf>
      <fill>
        <patternFill>
          <bgColor indexed="26"/>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419099</xdr:colOff>
      <xdr:row>3</xdr:row>
      <xdr:rowOff>180974</xdr:rowOff>
    </xdr:from>
    <xdr:to>
      <xdr:col>11</xdr:col>
      <xdr:colOff>438150</xdr:colOff>
      <xdr:row>10</xdr:row>
      <xdr:rowOff>428626</xdr:rowOff>
    </xdr:to>
    <xdr:sp macro="" textlink="">
      <xdr:nvSpPr>
        <xdr:cNvPr id="2" name="TextBox 1"/>
        <xdr:cNvSpPr txBox="1"/>
      </xdr:nvSpPr>
      <xdr:spPr>
        <a:xfrm>
          <a:off x="7981949" y="885824"/>
          <a:ext cx="3676651" cy="3752852"/>
        </a:xfrm>
        <a:prstGeom prst="rect">
          <a:avLst/>
        </a:prstGeom>
        <a:ln/>
      </xdr:spPr>
      <xdr:style>
        <a:lnRef idx="1">
          <a:schemeClr val="accent5"/>
        </a:lnRef>
        <a:fillRef idx="2">
          <a:schemeClr val="accent5"/>
        </a:fillRef>
        <a:effectRef idx="1">
          <a:schemeClr val="accent5"/>
        </a:effectRef>
        <a:fontRef idx="minor">
          <a:schemeClr val="dk1"/>
        </a:fontRef>
      </xdr:style>
      <xdr:txBody>
        <a:bodyPr vertOverflow="clip" horzOverflow="clip" wrap="square" rtlCol="0" anchor="t"/>
        <a:lstStyle/>
        <a:p>
          <a:pPr>
            <a:spcBef>
              <a:spcPts val="600"/>
            </a:spcBef>
          </a:pPr>
          <a:r>
            <a:rPr lang="en-US" sz="1100"/>
            <a:t>This file has been revised from the previous version as follows:</a:t>
          </a:r>
        </a:p>
        <a:p>
          <a:pPr marL="171450" indent="-171450">
            <a:spcBef>
              <a:spcPts val="600"/>
            </a:spcBef>
            <a:buFont typeface="Arial" panose="020B0604020202020204" pitchFamily="34" charset="0"/>
            <a:buChar char="•"/>
          </a:pPr>
          <a:r>
            <a:rPr lang="en-US" sz="1100"/>
            <a:t>The LME-MCO lookup list on the data validation and lookup worksheet has been revised to include LME-MCOs and their populations as of July 1, 2016</a:t>
          </a:r>
          <a:r>
            <a:rPr lang="en-US" sz="1100" baseline="0"/>
            <a:t> and to reflect Smoky Mountain Center's name change to Vaya Health September 16, 2016.</a:t>
          </a:r>
          <a:endParaRPr lang="en-US" sz="1100"/>
        </a:p>
        <a:p>
          <a:pPr marL="171450" indent="-171450">
            <a:spcBef>
              <a:spcPts val="600"/>
            </a:spcBef>
            <a:buFont typeface="Arial" panose="020B0604020202020204" pitchFamily="34" charset="0"/>
            <a:buChar char="•"/>
          </a:pPr>
          <a:r>
            <a:rPr lang="en-US" sz="1100" b="0"/>
            <a:t>A</a:t>
          </a:r>
          <a:r>
            <a:rPr lang="en-US" sz="1100" b="1"/>
            <a:t> Page 3</a:t>
          </a:r>
          <a:r>
            <a:rPr lang="en-US" sz="1100"/>
            <a:t> worksheet has been added to enter </a:t>
          </a:r>
          <a:r>
            <a:rPr lang="en-US" sz="1100" b="1"/>
            <a:t>county level data.</a:t>
          </a:r>
        </a:p>
        <a:p>
          <a:pPr marL="171450" indent="-171450">
            <a:spcBef>
              <a:spcPts val="600"/>
            </a:spcBef>
            <a:buFont typeface="Arial" panose="020B0604020202020204" pitchFamily="34" charset="0"/>
            <a:buChar char="•"/>
          </a:pPr>
          <a:r>
            <a:rPr lang="en-US" sz="1100" b="1"/>
            <a:t>Sections 1 - 3 </a:t>
          </a:r>
          <a:r>
            <a:rPr lang="en-US" sz="1100"/>
            <a:t>of the </a:t>
          </a:r>
          <a:r>
            <a:rPr lang="en-US" sz="1100" b="1"/>
            <a:t>Page 1</a:t>
          </a:r>
          <a:r>
            <a:rPr lang="en-US" sz="1100"/>
            <a:t> worksheet have been revised to no</a:t>
          </a:r>
          <a:r>
            <a:rPr lang="en-US" sz="1100" baseline="0"/>
            <a:t> longer permit data to be entered in those sections</a:t>
          </a:r>
          <a:r>
            <a:rPr lang="en-US" sz="1100"/>
            <a:t>.  Instead of entering LME-MCO level data on </a:t>
          </a:r>
          <a:r>
            <a:rPr lang="en-US" sz="1100" b="1"/>
            <a:t>Page 1</a:t>
          </a:r>
          <a:r>
            <a:rPr lang="en-US" sz="1100"/>
            <a:t>, formulas have been added to automatically enter summary data from the </a:t>
          </a:r>
          <a:r>
            <a:rPr lang="en-US" sz="1100" b="1"/>
            <a:t>Page 3</a:t>
          </a:r>
          <a:r>
            <a:rPr lang="en-US" sz="1100"/>
            <a:t> (county level data) worksheet.</a:t>
          </a:r>
        </a:p>
        <a:p>
          <a:pPr marL="171450" indent="-171450">
            <a:spcBef>
              <a:spcPts val="600"/>
            </a:spcBef>
            <a:buFont typeface="Arial" panose="020B0604020202020204" pitchFamily="34" charset="0"/>
            <a:buChar char="•"/>
          </a:pPr>
          <a:r>
            <a:rPr lang="en-US" sz="1100"/>
            <a:t>A </a:t>
          </a:r>
          <a:r>
            <a:rPr lang="en-US" sz="1100" b="1"/>
            <a:t>Data Extraction </a:t>
          </a:r>
          <a:r>
            <a:rPr lang="en-US" sz="1100"/>
            <a:t>worksheet has been added for use by DMH/DD/SAS staff to transfer county level data to the DMH/DD/SAS master report workbook.</a:t>
          </a:r>
        </a:p>
        <a:p>
          <a:pPr marL="171450" indent="-171450">
            <a:spcBef>
              <a:spcPts val="600"/>
            </a:spcBef>
            <a:buFont typeface="Arial" panose="020B0604020202020204" pitchFamily="34" charset="0"/>
            <a:buChar char="•"/>
          </a:pPr>
          <a:r>
            <a:rPr lang="en-US" sz="1100" b="0" baseline="0">
              <a:solidFill>
                <a:sysClr val="windowText" lastClr="000000"/>
              </a:solidFill>
            </a:rPr>
            <a:t>The </a:t>
          </a:r>
          <a:r>
            <a:rPr lang="en-US" sz="1100" b="1" baseline="0">
              <a:solidFill>
                <a:sysClr val="windowText" lastClr="000000"/>
              </a:solidFill>
            </a:rPr>
            <a:t>instructions</a:t>
          </a:r>
          <a:r>
            <a:rPr lang="en-US" sz="1100" b="0" baseline="0">
              <a:solidFill>
                <a:sysClr val="windowText" lastClr="000000"/>
              </a:solidFill>
            </a:rPr>
            <a:t> worksheet has been revised.</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92779</xdr:colOff>
      <xdr:row>33</xdr:row>
      <xdr:rowOff>344452</xdr:rowOff>
    </xdr:from>
    <xdr:to>
      <xdr:col>4</xdr:col>
      <xdr:colOff>635000</xdr:colOff>
      <xdr:row>39</xdr:row>
      <xdr:rowOff>173450</xdr:rowOff>
    </xdr:to>
    <xdr:sp macro="" textlink="" fLocksText="0">
      <xdr:nvSpPr>
        <xdr:cNvPr id="2" name="TextBox 1"/>
        <xdr:cNvSpPr txBox="1"/>
      </xdr:nvSpPr>
      <xdr:spPr>
        <a:xfrm>
          <a:off x="92779" y="9837702"/>
          <a:ext cx="9231138" cy="122599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spcBef>
              <a:spcPts val="600"/>
            </a:spcBef>
          </a:pPr>
          <a:endParaRPr lang="en-US"/>
        </a:p>
      </xdr:txBody>
    </xdr:sp>
    <xdr:clientData/>
  </xdr:twoCellAnchor>
  <xdr:twoCellAnchor>
    <xdr:from>
      <xdr:col>0</xdr:col>
      <xdr:colOff>85724</xdr:colOff>
      <xdr:row>41</xdr:row>
      <xdr:rowOff>21166</xdr:rowOff>
    </xdr:from>
    <xdr:to>
      <xdr:col>4</xdr:col>
      <xdr:colOff>635000</xdr:colOff>
      <xdr:row>47</xdr:row>
      <xdr:rowOff>63500</xdr:rowOff>
    </xdr:to>
    <xdr:sp macro="" textlink="" fLocksText="0">
      <xdr:nvSpPr>
        <xdr:cNvPr id="3" name="TextBox 2"/>
        <xdr:cNvSpPr txBox="1"/>
      </xdr:nvSpPr>
      <xdr:spPr>
        <a:xfrm>
          <a:off x="85724" y="11514666"/>
          <a:ext cx="9238193" cy="141816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spcBef>
              <a:spcPts val="600"/>
            </a:spcBef>
          </a:pPr>
          <a:endParaRPr lang="en-US"/>
        </a:p>
      </xdr:txBody>
    </xdr:sp>
    <xdr:clientData/>
  </xdr:twoCellAnchor>
  <xdr:twoCellAnchor>
    <xdr:from>
      <xdr:col>5</xdr:col>
      <xdr:colOff>59262</xdr:colOff>
      <xdr:row>21</xdr:row>
      <xdr:rowOff>211689</xdr:rowOff>
    </xdr:from>
    <xdr:to>
      <xdr:col>8</xdr:col>
      <xdr:colOff>571502</xdr:colOff>
      <xdr:row>24</xdr:row>
      <xdr:rowOff>19</xdr:rowOff>
    </xdr:to>
    <xdr:sp macro="" textlink="">
      <xdr:nvSpPr>
        <xdr:cNvPr id="5" name="Left Arrow Callout 4"/>
        <xdr:cNvSpPr/>
      </xdr:nvSpPr>
      <xdr:spPr>
        <a:xfrm>
          <a:off x="9467845" y="5461022"/>
          <a:ext cx="2512490" cy="772580"/>
        </a:xfrm>
        <a:prstGeom prst="leftArrowCallout">
          <a:avLst>
            <a:gd name="adj1" fmla="val 23592"/>
            <a:gd name="adj2" fmla="val 25000"/>
            <a:gd name="adj3" fmla="val 11620"/>
            <a:gd name="adj4" fmla="val 89680"/>
          </a:avLst>
        </a:prstGeom>
      </xdr:spPr>
      <xdr:style>
        <a:lnRef idx="1">
          <a:schemeClr val="accent5"/>
        </a:lnRef>
        <a:fillRef idx="2">
          <a:schemeClr val="accent5"/>
        </a:fillRef>
        <a:effectRef idx="1">
          <a:schemeClr val="accent5"/>
        </a:effectRef>
        <a:fontRef idx="minor">
          <a:schemeClr val="dk1"/>
        </a:fontRef>
      </xdr:style>
      <xdr:txBody>
        <a:bodyPr vertOverflow="clip" horzOverflow="clip" rtlCol="0" anchor="ctr"/>
        <a:lstStyle/>
        <a:p>
          <a:pPr algn="l">
            <a:lnSpc>
              <a:spcPct val="100000"/>
            </a:lnSpc>
          </a:pPr>
          <a:r>
            <a:rPr lang="en-US" sz="1000" u="sng">
              <a:solidFill>
                <a:schemeClr val="tx2">
                  <a:lumMod val="75000"/>
                </a:schemeClr>
              </a:solidFill>
              <a:latin typeface="Arial" panose="020B0604020202020204" pitchFamily="34" charset="0"/>
              <a:cs typeface="Arial" panose="020B0604020202020204" pitchFamily="34" charset="0"/>
            </a:rPr>
            <a:t>For items 1c, 2b, and 3b</a:t>
          </a:r>
          <a:r>
            <a:rPr lang="en-US" sz="1000">
              <a:solidFill>
                <a:schemeClr val="tx2">
                  <a:lumMod val="75000"/>
                </a:schemeClr>
              </a:solidFill>
              <a:latin typeface="Arial" panose="020B0604020202020204" pitchFamily="34" charset="0"/>
              <a:cs typeface="Arial" panose="020B0604020202020204" pitchFamily="34" charset="0"/>
            </a:rPr>
            <a:t>, cell shading and percentages turn </a:t>
          </a:r>
          <a:r>
            <a:rPr lang="en-US" sz="1000" b="1">
              <a:solidFill>
                <a:schemeClr val="accent4">
                  <a:lumMod val="25000"/>
                </a:schemeClr>
              </a:solidFill>
              <a:latin typeface="Arial" panose="020B0604020202020204" pitchFamily="34" charset="0"/>
              <a:cs typeface="Arial" panose="020B0604020202020204" pitchFamily="34" charset="0"/>
            </a:rPr>
            <a:t>green </a:t>
          </a:r>
          <a:r>
            <a:rPr lang="en-US" sz="1000">
              <a:solidFill>
                <a:schemeClr val="tx2">
                  <a:lumMod val="75000"/>
                </a:schemeClr>
              </a:solidFill>
              <a:latin typeface="Arial" panose="020B0604020202020204" pitchFamily="34" charset="0"/>
              <a:cs typeface="Arial" panose="020B0604020202020204" pitchFamily="34" charset="0"/>
            </a:rPr>
            <a:t>if the performance standard is </a:t>
          </a:r>
          <a:r>
            <a:rPr lang="en-US" sz="1000" b="1">
              <a:solidFill>
                <a:schemeClr val="accent4">
                  <a:lumMod val="25000"/>
                </a:schemeClr>
              </a:solidFill>
              <a:latin typeface="Arial" panose="020B0604020202020204" pitchFamily="34" charset="0"/>
              <a:cs typeface="Arial" panose="020B0604020202020204" pitchFamily="34" charset="0"/>
            </a:rPr>
            <a:t>met or exceeded</a:t>
          </a:r>
          <a:r>
            <a:rPr lang="en-US" sz="1000">
              <a:solidFill>
                <a:schemeClr val="tx2">
                  <a:lumMod val="75000"/>
                </a:schemeClr>
              </a:solidFill>
              <a:latin typeface="Arial" panose="020B0604020202020204" pitchFamily="34" charset="0"/>
              <a:cs typeface="Arial" panose="020B0604020202020204" pitchFamily="34" charset="0"/>
            </a:rPr>
            <a:t>, </a:t>
          </a:r>
          <a:r>
            <a:rPr lang="en-US" sz="1000" b="1">
              <a:solidFill>
                <a:srgbClr val="FF0000"/>
              </a:solidFill>
              <a:latin typeface="Arial" panose="020B0604020202020204" pitchFamily="34" charset="0"/>
              <a:cs typeface="Arial" panose="020B0604020202020204" pitchFamily="34" charset="0"/>
            </a:rPr>
            <a:t>red </a:t>
          </a:r>
          <a:r>
            <a:rPr lang="en-US" sz="1000">
              <a:solidFill>
                <a:schemeClr val="tx2">
                  <a:lumMod val="75000"/>
                </a:schemeClr>
              </a:solidFill>
              <a:latin typeface="Arial" panose="020B0604020202020204" pitchFamily="34" charset="0"/>
              <a:cs typeface="Arial" panose="020B0604020202020204" pitchFamily="34" charset="0"/>
            </a:rPr>
            <a:t>if </a:t>
          </a:r>
          <a:r>
            <a:rPr lang="en-US" sz="1000" b="1">
              <a:solidFill>
                <a:srgbClr val="FF0000"/>
              </a:solidFill>
              <a:latin typeface="Arial" panose="020B0604020202020204" pitchFamily="34" charset="0"/>
              <a:cs typeface="Arial" panose="020B0604020202020204" pitchFamily="34" charset="0"/>
            </a:rPr>
            <a:t>not met</a:t>
          </a:r>
          <a:r>
            <a:rPr lang="en-US" sz="1000">
              <a:solidFill>
                <a:schemeClr val="tx2">
                  <a:lumMod val="75000"/>
                </a:schemeClr>
              </a:solidFill>
              <a:latin typeface="Arial" panose="020B0604020202020204" pitchFamily="34" charset="0"/>
              <a:cs typeface="Arial" panose="020B0604020202020204" pitchFamily="34" charset="0"/>
            </a:rPr>
            <a:t>.</a:t>
          </a:r>
        </a:p>
      </xdr:txBody>
    </xdr:sp>
    <xdr:clientData/>
  </xdr:twoCellAnchor>
  <xdr:twoCellAnchor>
    <xdr:from>
      <xdr:col>6</xdr:col>
      <xdr:colOff>148165</xdr:colOff>
      <xdr:row>17</xdr:row>
      <xdr:rowOff>116418</xdr:rowOff>
    </xdr:from>
    <xdr:to>
      <xdr:col>8</xdr:col>
      <xdr:colOff>571501</xdr:colOff>
      <xdr:row>21</xdr:row>
      <xdr:rowOff>116417</xdr:rowOff>
    </xdr:to>
    <xdr:sp macro="" textlink="">
      <xdr:nvSpPr>
        <xdr:cNvPr id="4" name="TextBox 3"/>
        <xdr:cNvSpPr txBox="1"/>
      </xdr:nvSpPr>
      <xdr:spPr>
        <a:xfrm>
          <a:off x="9736665" y="4413251"/>
          <a:ext cx="2243669" cy="952499"/>
        </a:xfrm>
        <a:prstGeom prst="rect">
          <a:avLst/>
        </a:prstGeom>
        <a:ln/>
      </xdr:spPr>
      <xdr:style>
        <a:lnRef idx="1">
          <a:schemeClr val="accent5"/>
        </a:lnRef>
        <a:fillRef idx="2">
          <a:schemeClr val="accent5"/>
        </a:fillRef>
        <a:effectRef idx="1">
          <a:schemeClr val="accent5"/>
        </a:effectRef>
        <a:fontRef idx="minor">
          <a:schemeClr val="dk1"/>
        </a:fontRef>
      </xdr:style>
      <xdr:txBody>
        <a:bodyPr vertOverflow="clip" horzOverflow="clip" wrap="square" rtlCol="0" anchor="ctr"/>
        <a:lstStyle/>
        <a:p>
          <a:r>
            <a:rPr lang="en-US" sz="1100" u="sng">
              <a:solidFill>
                <a:schemeClr val="tx2">
                  <a:lumMod val="75000"/>
                </a:schemeClr>
              </a:solidFill>
            </a:rPr>
            <a:t>For item 1c</a:t>
          </a:r>
          <a:r>
            <a:rPr lang="en-US" sz="1100">
              <a:solidFill>
                <a:schemeClr val="tx2">
                  <a:lumMod val="75000"/>
                </a:schemeClr>
              </a:solidFill>
            </a:rPr>
            <a:t>, calls referred to 911 and calls for which care was provided within</a:t>
          </a:r>
          <a:r>
            <a:rPr lang="en-US" sz="1100" baseline="0">
              <a:solidFill>
                <a:schemeClr val="tx2">
                  <a:lumMod val="75000"/>
                </a:schemeClr>
              </a:solidFill>
            </a:rPr>
            <a:t> 2 Hours 15 minutes</a:t>
          </a:r>
          <a:r>
            <a:rPr lang="en-US" sz="1100">
              <a:solidFill>
                <a:schemeClr val="tx2">
                  <a:lumMod val="75000"/>
                </a:schemeClr>
              </a:solidFill>
            </a:rPr>
            <a:t>  are credited as meeting the standard.</a:t>
          </a:r>
        </a:p>
      </xdr:txBody>
    </xdr:sp>
    <xdr:clientData/>
  </xdr:twoCellAnchor>
  <xdr:twoCellAnchor>
    <xdr:from>
      <xdr:col>5</xdr:col>
      <xdr:colOff>63505</xdr:colOff>
      <xdr:row>34</xdr:row>
      <xdr:rowOff>52915</xdr:rowOff>
    </xdr:from>
    <xdr:to>
      <xdr:col>8</xdr:col>
      <xdr:colOff>577855</xdr:colOff>
      <xdr:row>36</xdr:row>
      <xdr:rowOff>254000</xdr:rowOff>
    </xdr:to>
    <xdr:sp macro="" textlink="">
      <xdr:nvSpPr>
        <xdr:cNvPr id="7" name="Left Arrow Callout 6"/>
        <xdr:cNvSpPr/>
      </xdr:nvSpPr>
      <xdr:spPr>
        <a:xfrm>
          <a:off x="9472088" y="9101665"/>
          <a:ext cx="2514600" cy="730252"/>
        </a:xfrm>
        <a:prstGeom prst="leftArrowCallout">
          <a:avLst>
            <a:gd name="adj1" fmla="val 23060"/>
            <a:gd name="adj2" fmla="val 22472"/>
            <a:gd name="adj3" fmla="val 13710"/>
            <a:gd name="adj4" fmla="val 92744"/>
          </a:avLst>
        </a:prstGeom>
      </xdr:spPr>
      <xdr:style>
        <a:lnRef idx="1">
          <a:schemeClr val="accent5"/>
        </a:lnRef>
        <a:fillRef idx="2">
          <a:schemeClr val="accent5"/>
        </a:fillRef>
        <a:effectRef idx="1">
          <a:schemeClr val="accent5"/>
        </a:effectRef>
        <a:fontRef idx="minor">
          <a:schemeClr val="dk1"/>
        </a:fontRef>
      </xdr:style>
      <xdr:txBody>
        <a:bodyPr vertOverflow="clip" horzOverflow="clip" rtlCol="0" anchor="t"/>
        <a:lstStyle/>
        <a:p>
          <a:pPr algn="l">
            <a:lnSpc>
              <a:spcPct val="100000"/>
            </a:lnSpc>
          </a:pPr>
          <a:r>
            <a:rPr lang="en-US" sz="1000">
              <a:solidFill>
                <a:schemeClr val="tx2">
                  <a:lumMod val="75000"/>
                </a:schemeClr>
              </a:solidFill>
              <a:latin typeface="Arial" panose="020B0604020202020204" pitchFamily="34" charset="0"/>
              <a:cs typeface="Arial" panose="020B0604020202020204" pitchFamily="34" charset="0"/>
            </a:rPr>
            <a:t>If more space is needed, insert additional rows</a:t>
          </a:r>
          <a:r>
            <a:rPr lang="en-US" sz="1000" baseline="0">
              <a:solidFill>
                <a:schemeClr val="tx2">
                  <a:lumMod val="75000"/>
                </a:schemeClr>
              </a:solidFill>
              <a:latin typeface="Arial" panose="020B0604020202020204" pitchFamily="34" charset="0"/>
              <a:cs typeface="Arial" panose="020B0604020202020204" pitchFamily="34" charset="0"/>
            </a:rPr>
            <a:t> behind the middle of the text box to </a:t>
          </a:r>
          <a:r>
            <a:rPr lang="en-US" sz="1000">
              <a:solidFill>
                <a:schemeClr val="tx2">
                  <a:lumMod val="75000"/>
                </a:schemeClr>
              </a:solidFill>
              <a:latin typeface="Arial" panose="020B0604020202020204" pitchFamily="34" charset="0"/>
              <a:cs typeface="Arial" panose="020B0604020202020204" pitchFamily="34" charset="0"/>
            </a:rPr>
            <a:t>expand the text box.</a:t>
          </a:r>
        </a:p>
      </xdr:txBody>
    </xdr:sp>
    <xdr:clientData/>
  </xdr:twoCellAnchor>
  <xdr:twoCellAnchor>
    <xdr:from>
      <xdr:col>5</xdr:col>
      <xdr:colOff>63504</xdr:colOff>
      <xdr:row>41</xdr:row>
      <xdr:rowOff>0</xdr:rowOff>
    </xdr:from>
    <xdr:to>
      <xdr:col>8</xdr:col>
      <xdr:colOff>577854</xdr:colOff>
      <xdr:row>43</xdr:row>
      <xdr:rowOff>158752</xdr:rowOff>
    </xdr:to>
    <xdr:sp macro="" textlink="">
      <xdr:nvSpPr>
        <xdr:cNvPr id="9" name="Left Arrow Callout 8"/>
        <xdr:cNvSpPr/>
      </xdr:nvSpPr>
      <xdr:spPr>
        <a:xfrm>
          <a:off x="9472087" y="10953750"/>
          <a:ext cx="2514600" cy="730252"/>
        </a:xfrm>
        <a:prstGeom prst="leftArrowCallout">
          <a:avLst>
            <a:gd name="adj1" fmla="val 25959"/>
            <a:gd name="adj2" fmla="val 22472"/>
            <a:gd name="adj3" fmla="val 13710"/>
            <a:gd name="adj4" fmla="val 92744"/>
          </a:avLst>
        </a:prstGeom>
      </xdr:spPr>
      <xdr:style>
        <a:lnRef idx="1">
          <a:schemeClr val="accent5"/>
        </a:lnRef>
        <a:fillRef idx="2">
          <a:schemeClr val="accent5"/>
        </a:fillRef>
        <a:effectRef idx="1">
          <a:schemeClr val="accent5"/>
        </a:effectRef>
        <a:fontRef idx="minor">
          <a:schemeClr val="dk1"/>
        </a:fontRef>
      </xdr:style>
      <xdr:txBody>
        <a:bodyPr vertOverflow="clip" horzOverflow="clip" rtlCol="0" anchor="t"/>
        <a:lstStyle/>
        <a:p>
          <a:pPr algn="l">
            <a:lnSpc>
              <a:spcPct val="100000"/>
            </a:lnSpc>
          </a:pPr>
          <a:r>
            <a:rPr lang="en-US" sz="1000">
              <a:solidFill>
                <a:schemeClr val="tx2">
                  <a:lumMod val="75000"/>
                </a:schemeClr>
              </a:solidFill>
              <a:latin typeface="Arial" panose="020B0604020202020204" pitchFamily="34" charset="0"/>
              <a:cs typeface="Arial" panose="020B0604020202020204" pitchFamily="34" charset="0"/>
            </a:rPr>
            <a:t>If more space is needed, insert additional rows</a:t>
          </a:r>
          <a:r>
            <a:rPr lang="en-US" sz="1000" baseline="0">
              <a:solidFill>
                <a:schemeClr val="tx2">
                  <a:lumMod val="75000"/>
                </a:schemeClr>
              </a:solidFill>
              <a:latin typeface="Arial" panose="020B0604020202020204" pitchFamily="34" charset="0"/>
              <a:cs typeface="Arial" panose="020B0604020202020204" pitchFamily="34" charset="0"/>
            </a:rPr>
            <a:t> behind the middle of the text box to </a:t>
          </a:r>
          <a:r>
            <a:rPr lang="en-US" sz="1000">
              <a:solidFill>
                <a:schemeClr val="tx2">
                  <a:lumMod val="75000"/>
                </a:schemeClr>
              </a:solidFill>
              <a:latin typeface="Arial" panose="020B0604020202020204" pitchFamily="34" charset="0"/>
              <a:cs typeface="Arial" panose="020B0604020202020204" pitchFamily="34" charset="0"/>
            </a:rPr>
            <a:t>expand the text box.</a:t>
          </a:r>
        </a:p>
      </xdr:txBody>
    </xdr:sp>
    <xdr:clientData/>
  </xdr:twoCellAnchor>
  <xdr:twoCellAnchor>
    <xdr:from>
      <xdr:col>6</xdr:col>
      <xdr:colOff>10582</xdr:colOff>
      <xdr:row>0</xdr:row>
      <xdr:rowOff>190500</xdr:rowOff>
    </xdr:from>
    <xdr:to>
      <xdr:col>12</xdr:col>
      <xdr:colOff>582082</xdr:colOff>
      <xdr:row>8</xdr:row>
      <xdr:rowOff>105834</xdr:rowOff>
    </xdr:to>
    <xdr:sp macro="" textlink="">
      <xdr:nvSpPr>
        <xdr:cNvPr id="8" name="TextBox 7"/>
        <xdr:cNvSpPr txBox="1"/>
      </xdr:nvSpPr>
      <xdr:spPr>
        <a:xfrm>
          <a:off x="9599082" y="190500"/>
          <a:ext cx="4847167" cy="2148417"/>
        </a:xfrm>
        <a:prstGeom prst="rect">
          <a:avLst/>
        </a:prstGeom>
        <a:ln/>
      </xdr:spPr>
      <xdr:style>
        <a:lnRef idx="1">
          <a:schemeClr val="accent5"/>
        </a:lnRef>
        <a:fillRef idx="2">
          <a:schemeClr val="accent5"/>
        </a:fillRef>
        <a:effectRef idx="1">
          <a:schemeClr val="accent5"/>
        </a:effectRef>
        <a:fontRef idx="minor">
          <a:schemeClr val="dk1"/>
        </a:fontRef>
      </xdr:style>
      <xdr:txBody>
        <a:bodyPr vertOverflow="clip" horzOverflow="clip" wrap="square" rtlCol="0" anchor="t"/>
        <a:lstStyle/>
        <a:p>
          <a:pPr marL="0" indent="0">
            <a:buFontTx/>
            <a:buNone/>
          </a:pPr>
          <a:r>
            <a:rPr lang="en-US" sz="1200" b="1" u="sng">
              <a:solidFill>
                <a:sysClr val="windowText" lastClr="000000"/>
              </a:solidFill>
            </a:rPr>
            <a:t>Instructions</a:t>
          </a:r>
          <a:r>
            <a:rPr lang="en-US" sz="1200">
              <a:solidFill>
                <a:sysClr val="windowText" lastClr="000000"/>
              </a:solidFill>
            </a:rPr>
            <a:t>:</a:t>
          </a:r>
        </a:p>
        <a:p>
          <a:pPr marL="228600" indent="-228600">
            <a:spcBef>
              <a:spcPts val="600"/>
            </a:spcBef>
            <a:buFont typeface="+mj-lt"/>
            <a:buAutoNum type="arabicPeriod"/>
          </a:pPr>
          <a:r>
            <a:rPr lang="en-US" sz="1200">
              <a:solidFill>
                <a:sysClr val="windowText" lastClr="000000"/>
              </a:solidFill>
            </a:rPr>
            <a:t>Please enter or update (as appropriate) the </a:t>
          </a:r>
          <a:r>
            <a:rPr lang="en-US" sz="1200" b="1">
              <a:solidFill>
                <a:sysClr val="windowText" lastClr="000000"/>
              </a:solidFill>
            </a:rPr>
            <a:t>SFY, Quarter, LME-MCO</a:t>
          </a:r>
          <a:r>
            <a:rPr lang="en-US" sz="1200">
              <a:solidFill>
                <a:sysClr val="windowText" lastClr="000000"/>
              </a:solidFill>
            </a:rPr>
            <a:t>, </a:t>
          </a:r>
          <a:r>
            <a:rPr lang="en-US" sz="1200" b="1">
              <a:solidFill>
                <a:sysClr val="windowText" lastClr="000000"/>
              </a:solidFill>
            </a:rPr>
            <a:t>Date Submitted</a:t>
          </a:r>
          <a:r>
            <a:rPr lang="en-US" sz="1200">
              <a:solidFill>
                <a:sysClr val="windowText" lastClr="000000"/>
              </a:solidFill>
            </a:rPr>
            <a:t>, and the contact information for the </a:t>
          </a:r>
          <a:r>
            <a:rPr lang="en-US" sz="1200" b="1">
              <a:solidFill>
                <a:sysClr val="windowText" lastClr="000000"/>
              </a:solidFill>
            </a:rPr>
            <a:t>Person Submitting</a:t>
          </a:r>
          <a:r>
            <a:rPr lang="en-US" sz="1200">
              <a:solidFill>
                <a:sysClr val="windowText" lastClr="000000"/>
              </a:solidFill>
            </a:rPr>
            <a:t> </a:t>
          </a:r>
          <a:r>
            <a:rPr lang="en-US" sz="1200" b="1">
              <a:solidFill>
                <a:sysClr val="windowText" lastClr="000000"/>
              </a:solidFill>
            </a:rPr>
            <a:t>Report</a:t>
          </a:r>
          <a:r>
            <a:rPr lang="en-US" sz="1200">
              <a:solidFill>
                <a:sysClr val="windowText" lastClr="000000"/>
              </a:solidFill>
            </a:rPr>
            <a:t>.</a:t>
          </a:r>
        </a:p>
        <a:p>
          <a:pPr marL="228600" indent="-228600">
            <a:spcBef>
              <a:spcPts val="600"/>
            </a:spcBef>
            <a:buFont typeface="+mj-lt"/>
            <a:buAutoNum type="arabicPeriod"/>
          </a:pPr>
          <a:r>
            <a:rPr lang="en-US" sz="1200" b="1">
              <a:solidFill>
                <a:sysClr val="windowText" lastClr="000000"/>
              </a:solidFill>
            </a:rPr>
            <a:t>Enter County Level Data </a:t>
          </a:r>
          <a:r>
            <a:rPr lang="en-US" sz="1200">
              <a:solidFill>
                <a:sysClr val="windowText" lastClr="000000"/>
              </a:solidFill>
            </a:rPr>
            <a:t>on</a:t>
          </a:r>
          <a:r>
            <a:rPr lang="en-US" sz="1200" baseline="0">
              <a:solidFill>
                <a:sysClr val="windowText" lastClr="000000"/>
              </a:solidFill>
            </a:rPr>
            <a:t> the number of calls requesting MH/IDD/SU services and the number that received a service within required timeframes </a:t>
          </a:r>
          <a:r>
            <a:rPr lang="en-US" sz="1200" b="1" baseline="0">
              <a:solidFill>
                <a:sysClr val="windowText" lastClr="000000"/>
              </a:solidFill>
            </a:rPr>
            <a:t>on the Page 3 worksheet</a:t>
          </a:r>
          <a:r>
            <a:rPr lang="en-US" sz="1200" baseline="0">
              <a:solidFill>
                <a:sysClr val="windowText" lastClr="000000"/>
              </a:solidFill>
            </a:rPr>
            <a:t>.  Formulas will automatically enter summary information from that worksheet in sections 1 - 4 below.</a:t>
          </a:r>
        </a:p>
        <a:p>
          <a:pPr marL="228600" indent="-228600">
            <a:spcBef>
              <a:spcPts val="600"/>
            </a:spcBef>
            <a:buFont typeface="+mj-lt"/>
            <a:buAutoNum type="arabicPeriod"/>
          </a:pPr>
          <a:r>
            <a:rPr lang="en-US" sz="1200" baseline="0">
              <a:solidFill>
                <a:sysClr val="windowText" lastClr="000000"/>
              </a:solidFill>
            </a:rPr>
            <a:t>Enter any required explanations in the </a:t>
          </a:r>
          <a:r>
            <a:rPr lang="en-US" sz="1200" b="1" baseline="0">
              <a:solidFill>
                <a:sysClr val="windowText" lastClr="000000"/>
              </a:solidFill>
            </a:rPr>
            <a:t>Remarks</a:t>
          </a:r>
          <a:r>
            <a:rPr lang="en-US" sz="1200" baseline="0">
              <a:solidFill>
                <a:sysClr val="windowText" lastClr="000000"/>
              </a:solidFill>
            </a:rPr>
            <a:t> section below.</a:t>
          </a:r>
          <a:endParaRPr lang="en-US" sz="12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24</xdr:col>
      <xdr:colOff>438150</xdr:colOff>
      <xdr:row>33</xdr:row>
      <xdr:rowOff>66675</xdr:rowOff>
    </xdr:from>
    <xdr:to>
      <xdr:col>26</xdr:col>
      <xdr:colOff>363855</xdr:colOff>
      <xdr:row>39</xdr:row>
      <xdr:rowOff>100965</xdr:rowOff>
    </xdr:to>
    <xdr:sp macro="" textlink="">
      <xdr:nvSpPr>
        <xdr:cNvPr id="2" name="Up Arrow Callout 1"/>
        <xdr:cNvSpPr/>
      </xdr:nvSpPr>
      <xdr:spPr>
        <a:xfrm>
          <a:off x="15992475" y="22993350"/>
          <a:ext cx="1554480" cy="1005840"/>
        </a:xfrm>
        <a:prstGeom prst="upArrowCallout">
          <a:avLst>
            <a:gd name="adj1" fmla="val 25000"/>
            <a:gd name="adj2" fmla="val 25000"/>
            <a:gd name="adj3" fmla="val 12719"/>
            <a:gd name="adj4" fmla="val 77258"/>
          </a:avLst>
        </a:prstGeom>
        <a:solidFill>
          <a:schemeClr val="bg2"/>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900">
              <a:solidFill>
                <a:sysClr val="windowText" lastClr="000000"/>
              </a:solidFill>
            </a:rPr>
            <a:t>Enter average days for Combined Medicaid and Non-Medicaid for:</a:t>
          </a:r>
        </a:p>
        <a:p>
          <a:pPr algn="l"/>
          <a:r>
            <a:rPr lang="en-US" sz="900">
              <a:solidFill>
                <a:sysClr val="windowText" lastClr="000000"/>
              </a:solidFill>
            </a:rPr>
            <a:t>- each relevant county </a:t>
          </a:r>
          <a:r>
            <a:rPr lang="en-US" sz="900" b="1" u="sng">
              <a:solidFill>
                <a:sysClr val="windowText" lastClr="000000"/>
              </a:solidFill>
            </a:rPr>
            <a:t>and</a:t>
          </a:r>
        </a:p>
        <a:p>
          <a:pPr algn="l"/>
          <a:r>
            <a:rPr lang="en-US" sz="900" b="1" u="none">
              <a:solidFill>
                <a:sysClr val="windowText" lastClr="000000"/>
              </a:solidFill>
            </a:rPr>
            <a:t>- </a:t>
          </a:r>
          <a:r>
            <a:rPr lang="en-US" sz="900">
              <a:solidFill>
                <a:sysClr val="windowText" lastClr="000000"/>
              </a:solidFill>
            </a:rPr>
            <a:t>the LME-MCO Total.</a:t>
          </a:r>
        </a:p>
      </xdr:txBody>
    </xdr:sp>
    <xdr:clientData/>
  </xdr:twoCellAnchor>
  <xdr:twoCellAnchor>
    <xdr:from>
      <xdr:col>7</xdr:col>
      <xdr:colOff>0</xdr:colOff>
      <xdr:row>33</xdr:row>
      <xdr:rowOff>38100</xdr:rowOff>
    </xdr:from>
    <xdr:to>
      <xdr:col>9</xdr:col>
      <xdr:colOff>97155</xdr:colOff>
      <xdr:row>38</xdr:row>
      <xdr:rowOff>97155</xdr:rowOff>
    </xdr:to>
    <xdr:sp macro="" textlink="">
      <xdr:nvSpPr>
        <xdr:cNvPr id="4" name="Up Arrow Callout 3"/>
        <xdr:cNvSpPr/>
      </xdr:nvSpPr>
      <xdr:spPr>
        <a:xfrm>
          <a:off x="4543425" y="22964775"/>
          <a:ext cx="1554480" cy="868680"/>
        </a:xfrm>
        <a:prstGeom prst="upArrowCallout">
          <a:avLst>
            <a:gd name="adj1" fmla="val 25000"/>
            <a:gd name="adj2" fmla="val 25000"/>
            <a:gd name="adj3" fmla="val 12719"/>
            <a:gd name="adj4" fmla="val 77258"/>
          </a:avLst>
        </a:prstGeom>
        <a:solidFill>
          <a:schemeClr val="accent4"/>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900">
              <a:solidFill>
                <a:sysClr val="windowText" lastClr="000000"/>
              </a:solidFill>
            </a:rPr>
            <a:t>Enter average days for Medicaid callers for:</a:t>
          </a:r>
        </a:p>
        <a:p>
          <a:pPr algn="l"/>
          <a:r>
            <a:rPr lang="en-US" sz="900">
              <a:solidFill>
                <a:sysClr val="windowText" lastClr="000000"/>
              </a:solidFill>
            </a:rPr>
            <a:t>- each relevant county </a:t>
          </a:r>
          <a:r>
            <a:rPr lang="en-US" sz="900" b="1" u="sng">
              <a:solidFill>
                <a:sysClr val="windowText" lastClr="000000"/>
              </a:solidFill>
            </a:rPr>
            <a:t>and</a:t>
          </a:r>
        </a:p>
        <a:p>
          <a:pPr algn="l"/>
          <a:r>
            <a:rPr lang="en-US" sz="900">
              <a:solidFill>
                <a:sysClr val="windowText" lastClr="000000"/>
              </a:solidFill>
            </a:rPr>
            <a:t>- the LME-MCO Total.</a:t>
          </a:r>
        </a:p>
      </xdr:txBody>
    </xdr:sp>
    <xdr:clientData/>
  </xdr:twoCellAnchor>
  <xdr:twoCellAnchor>
    <xdr:from>
      <xdr:col>19</xdr:col>
      <xdr:colOff>47625</xdr:colOff>
      <xdr:row>33</xdr:row>
      <xdr:rowOff>38100</xdr:rowOff>
    </xdr:from>
    <xdr:to>
      <xdr:col>21</xdr:col>
      <xdr:colOff>144780</xdr:colOff>
      <xdr:row>38</xdr:row>
      <xdr:rowOff>97155</xdr:rowOff>
    </xdr:to>
    <xdr:sp macro="" textlink="">
      <xdr:nvSpPr>
        <xdr:cNvPr id="6" name="Up Arrow Callout 5"/>
        <xdr:cNvSpPr/>
      </xdr:nvSpPr>
      <xdr:spPr>
        <a:xfrm>
          <a:off x="12315825" y="22964775"/>
          <a:ext cx="1554480" cy="868680"/>
        </a:xfrm>
        <a:prstGeom prst="upArrowCallout">
          <a:avLst>
            <a:gd name="adj1" fmla="val 25000"/>
            <a:gd name="adj2" fmla="val 25000"/>
            <a:gd name="adj3" fmla="val 12719"/>
            <a:gd name="adj4" fmla="val 77258"/>
          </a:avLst>
        </a:prstGeom>
        <a:solidFill>
          <a:schemeClr val="accent1">
            <a:lumMod val="20000"/>
            <a:lumOff val="8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900">
              <a:solidFill>
                <a:sysClr val="windowText" lastClr="000000"/>
              </a:solidFill>
            </a:rPr>
            <a:t>Enter average days for Non-Medicaid callers for: </a:t>
          </a:r>
        </a:p>
        <a:p>
          <a:pPr algn="l"/>
          <a:r>
            <a:rPr lang="en-US" sz="900">
              <a:solidFill>
                <a:sysClr val="windowText" lastClr="000000"/>
              </a:solidFill>
            </a:rPr>
            <a:t>- each relevant county </a:t>
          </a:r>
          <a:r>
            <a:rPr lang="en-US" sz="900" b="1" u="sng">
              <a:solidFill>
                <a:sysClr val="windowText" lastClr="000000"/>
              </a:solidFill>
            </a:rPr>
            <a:t>and</a:t>
          </a:r>
        </a:p>
        <a:p>
          <a:pPr algn="l"/>
          <a:r>
            <a:rPr lang="en-US" sz="900">
              <a:solidFill>
                <a:sysClr val="windowText" lastClr="000000"/>
              </a:solidFill>
            </a:rPr>
            <a:t>- the LME-MCO Total.</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1790700</xdr:colOff>
      <xdr:row>3</xdr:row>
      <xdr:rowOff>47625</xdr:rowOff>
    </xdr:from>
    <xdr:to>
      <xdr:col>2</xdr:col>
      <xdr:colOff>561975</xdr:colOff>
      <xdr:row>6</xdr:row>
      <xdr:rowOff>114300</xdr:rowOff>
    </xdr:to>
    <xdr:sp macro="" textlink="">
      <xdr:nvSpPr>
        <xdr:cNvPr id="2" name="TextBox 1"/>
        <xdr:cNvSpPr txBox="1"/>
      </xdr:nvSpPr>
      <xdr:spPr>
        <a:xfrm>
          <a:off x="1790700" y="47625"/>
          <a:ext cx="2505075" cy="552450"/>
        </a:xfrm>
        <a:prstGeom prst="rect">
          <a:avLst/>
        </a:prstGeom>
        <a:solidFill>
          <a:schemeClr val="lt1"/>
        </a:solidFill>
        <a:ln w="9525" cmpd="sng">
          <a:solidFill>
            <a:schemeClr val="tx2">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000">
              <a:solidFill>
                <a:schemeClr val="tx2">
                  <a:lumMod val="75000"/>
                </a:schemeClr>
              </a:solidFill>
            </a:rPr>
            <a:t>The LME-MCO population on</a:t>
          </a:r>
          <a:r>
            <a:rPr lang="en-US" sz="1000" baseline="0">
              <a:solidFill>
                <a:schemeClr val="tx2">
                  <a:lumMod val="75000"/>
                </a:schemeClr>
              </a:solidFill>
            </a:rPr>
            <a:t> Page 1 is linked to this table.  This information below will need to be updated each year.</a:t>
          </a:r>
          <a:endParaRPr lang="en-US" sz="1000">
            <a:solidFill>
              <a:schemeClr val="tx2">
                <a:lumMod val="75000"/>
              </a:schemeClr>
            </a:solidFill>
          </a:endParaRPr>
        </a:p>
      </xdr:txBody>
    </xdr:sp>
    <xdr:clientData/>
  </xdr:twoCellAnchor>
  <xdr:twoCellAnchor>
    <xdr:from>
      <xdr:col>2</xdr:col>
      <xdr:colOff>352425</xdr:colOff>
      <xdr:row>6</xdr:row>
      <xdr:rowOff>133350</xdr:rowOff>
    </xdr:from>
    <xdr:to>
      <xdr:col>6</xdr:col>
      <xdr:colOff>323850</xdr:colOff>
      <xdr:row>10</xdr:row>
      <xdr:rowOff>66675</xdr:rowOff>
    </xdr:to>
    <xdr:sp macro="" textlink="">
      <xdr:nvSpPr>
        <xdr:cNvPr id="3" name="Left Arrow Callout 2"/>
        <xdr:cNvSpPr/>
      </xdr:nvSpPr>
      <xdr:spPr>
        <a:xfrm>
          <a:off x="4086225" y="619125"/>
          <a:ext cx="3133725" cy="581025"/>
        </a:xfrm>
        <a:prstGeom prst="leftArrowCallout">
          <a:avLst>
            <a:gd name="adj1" fmla="val 25000"/>
            <a:gd name="adj2" fmla="val 25000"/>
            <a:gd name="adj3" fmla="val 25000"/>
            <a:gd name="adj4" fmla="val 89597"/>
          </a:avLst>
        </a:prstGeom>
      </xdr:spPr>
      <xdr:style>
        <a:lnRef idx="1">
          <a:schemeClr val="accent5"/>
        </a:lnRef>
        <a:fillRef idx="2">
          <a:schemeClr val="accent5"/>
        </a:fillRef>
        <a:effectRef idx="1">
          <a:schemeClr val="accent5"/>
        </a:effectRef>
        <a:fontRef idx="minor">
          <a:schemeClr val="dk1"/>
        </a:fontRef>
      </xdr:style>
      <xdr:txBody>
        <a:bodyPr vertOverflow="clip" horzOverflow="clip" rtlCol="0" anchor="t"/>
        <a:lstStyle/>
        <a:p>
          <a:pPr algn="l"/>
          <a:r>
            <a:rPr lang="en-US" sz="1000"/>
            <a:t>If the SFY on Page</a:t>
          </a:r>
          <a:r>
            <a:rPr lang="en-US" sz="1000" baseline="0"/>
            <a:t> 1 is not consistent with the "</a:t>
          </a:r>
          <a:r>
            <a:rPr lang="en-US" sz="1000" b="1" baseline="0"/>
            <a:t>As of July YYYY</a:t>
          </a:r>
          <a:r>
            <a:rPr lang="en-US" sz="1000" baseline="0"/>
            <a:t>" year indicated to the left, Page 1 will display an error message.</a:t>
          </a:r>
          <a:endParaRPr lang="en-US" sz="10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152400</xdr:colOff>
      <xdr:row>2</xdr:row>
      <xdr:rowOff>142876</xdr:rowOff>
    </xdr:from>
    <xdr:to>
      <xdr:col>4</xdr:col>
      <xdr:colOff>885825</xdr:colOff>
      <xdr:row>2</xdr:row>
      <xdr:rowOff>1704976</xdr:rowOff>
    </xdr:to>
    <xdr:sp macro="" textlink="">
      <xdr:nvSpPr>
        <xdr:cNvPr id="3" name="TextBox 2"/>
        <xdr:cNvSpPr txBox="1"/>
      </xdr:nvSpPr>
      <xdr:spPr>
        <a:xfrm>
          <a:off x="152400" y="638176"/>
          <a:ext cx="4953000" cy="1562100"/>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171450" indent="-171450" algn="just">
            <a:spcBef>
              <a:spcPts val="600"/>
            </a:spcBef>
            <a:spcAft>
              <a:spcPts val="0"/>
            </a:spcAft>
            <a:buFont typeface="Wingdings" panose="05000000000000000000" pitchFamily="2" charset="2"/>
            <a:buChar char="§"/>
          </a:pPr>
          <a:r>
            <a:rPr lang="en-US" sz="1100"/>
            <a:t>Prior to data extraction, filter</a:t>
          </a:r>
          <a:r>
            <a:rPr lang="en-US" sz="1100" baseline="0"/>
            <a:t> the worksheet by the "</a:t>
          </a:r>
          <a:r>
            <a:rPr lang="en-US" sz="1100" b="1" baseline="0"/>
            <a:t>Extract</a:t>
          </a:r>
          <a:r>
            <a:rPr lang="en-US" sz="1100" baseline="0"/>
            <a:t>" value in column R.  Select values = "</a:t>
          </a:r>
          <a:r>
            <a:rPr lang="en-US" sz="1100" b="1" baseline="0">
              <a:solidFill>
                <a:schemeClr val="tx2"/>
              </a:solidFill>
            </a:rPr>
            <a:t>1</a:t>
          </a:r>
          <a:r>
            <a:rPr lang="en-US" sz="1100" baseline="0"/>
            <a:t>".</a:t>
          </a:r>
        </a:p>
        <a:p>
          <a:pPr marL="171450" marR="0" lvl="0" indent="-171450" algn="just" defTabSz="914400" eaLnBrk="1" fontAlgn="auto" latinLnBrk="0" hangingPunct="1">
            <a:lnSpc>
              <a:spcPct val="100000"/>
            </a:lnSpc>
            <a:spcBef>
              <a:spcPts val="600"/>
            </a:spcBef>
            <a:spcAft>
              <a:spcPts val="0"/>
            </a:spcAft>
            <a:buClrTx/>
            <a:buSzTx/>
            <a:buFont typeface="Wingdings" panose="05000000000000000000" pitchFamily="2" charset="2"/>
            <a:buChar char="§"/>
            <a:tabLst/>
            <a:defRPr/>
          </a:pPr>
          <a:r>
            <a:rPr lang="en-US" sz="1100" baseline="0">
              <a:solidFill>
                <a:schemeClr val="dk1"/>
              </a:solidFill>
              <a:effectLst/>
              <a:latin typeface="+mn-lt"/>
              <a:ea typeface="+mn-ea"/>
              <a:cs typeface="+mn-cs"/>
            </a:rPr>
            <a:t>This selects all rows for counties that had one or more calls requesting a MH/IDD/US service and LME-MCO totals.</a:t>
          </a:r>
          <a:endParaRPr lang="en-US" sz="1100" baseline="0"/>
        </a:p>
        <a:p>
          <a:pPr marL="171450" marR="0" lvl="0" indent="-171450" algn="just" defTabSz="914400" eaLnBrk="1" fontAlgn="auto" latinLnBrk="0" hangingPunct="1">
            <a:lnSpc>
              <a:spcPct val="100000"/>
            </a:lnSpc>
            <a:spcBef>
              <a:spcPts val="600"/>
            </a:spcBef>
            <a:spcAft>
              <a:spcPts val="0"/>
            </a:spcAft>
            <a:buClrTx/>
            <a:buSzTx/>
            <a:buFont typeface="Wingdings" panose="05000000000000000000" pitchFamily="2" charset="2"/>
            <a:buChar char="§"/>
            <a:tabLst/>
            <a:defRPr/>
          </a:pPr>
          <a:r>
            <a:rPr lang="en-US" sz="1100" baseline="0">
              <a:solidFill>
                <a:schemeClr val="dk1"/>
              </a:solidFill>
              <a:effectLst/>
              <a:latin typeface="+mn-lt"/>
              <a:ea typeface="+mn-ea"/>
              <a:cs typeface="+mn-cs"/>
            </a:rPr>
            <a:t>I</a:t>
          </a:r>
          <a:r>
            <a:rPr lang="en-US" sz="1100" baseline="0"/>
            <a:t>t hides unused gray shaded rows and rows for counties that had no calls requesting services.</a:t>
          </a:r>
        </a:p>
        <a:p>
          <a:pPr marL="171450" marR="0" lvl="0" indent="-171450" algn="just" defTabSz="914400" eaLnBrk="1" fontAlgn="auto" latinLnBrk="0" hangingPunct="1">
            <a:lnSpc>
              <a:spcPct val="100000"/>
            </a:lnSpc>
            <a:spcBef>
              <a:spcPts val="600"/>
            </a:spcBef>
            <a:spcAft>
              <a:spcPts val="0"/>
            </a:spcAft>
            <a:buClrTx/>
            <a:buSzTx/>
            <a:buFont typeface="Wingdings" panose="05000000000000000000" pitchFamily="2" charset="2"/>
            <a:buChar char="§"/>
            <a:tabLst/>
            <a:defRPr/>
          </a:pPr>
          <a:r>
            <a:rPr lang="en-US" sz="1100" b="1" baseline="0"/>
            <a:t>Copy</a:t>
          </a:r>
          <a:r>
            <a:rPr lang="en-US" sz="1100" baseline="0"/>
            <a:t> and </a:t>
          </a:r>
          <a:r>
            <a:rPr lang="en-US" sz="1100" b="1" u="sng" baseline="0"/>
            <a:t>paste</a:t>
          </a:r>
          <a:r>
            <a:rPr lang="en-US" sz="1100" baseline="0"/>
            <a:t> the </a:t>
          </a:r>
          <a:r>
            <a:rPr lang="en-US" sz="1100" b="1" u="sng" baseline="0"/>
            <a:t>values</a:t>
          </a:r>
          <a:r>
            <a:rPr lang="en-US" sz="1100" baseline="0"/>
            <a:t> of filtered rows into the statewide database.</a:t>
          </a:r>
          <a:endParaRPr lang="en-US" sz="1100"/>
        </a:p>
      </xdr:txBody>
    </xdr:sp>
    <xdr:clientData/>
  </xdr:twoCellAnchor>
</xdr:wsDr>
</file>

<file path=xl/theme/theme1.xml><?xml version="1.0" encoding="utf-8"?>
<a:theme xmlns:a="http://schemas.openxmlformats.org/drawingml/2006/main" name="Theme1">
  <a:themeElements>
    <a:clrScheme name="Custom 1">
      <a:dk1>
        <a:sysClr val="windowText" lastClr="000000"/>
      </a:dk1>
      <a:lt1>
        <a:sysClr val="window" lastClr="FFFFFF"/>
      </a:lt1>
      <a:dk2>
        <a:srgbClr val="3333FF"/>
      </a:dk2>
      <a:lt2>
        <a:srgbClr val="B4DCFA"/>
      </a:lt2>
      <a:accent1>
        <a:srgbClr val="FFFF00"/>
      </a:accent1>
      <a:accent2>
        <a:srgbClr val="5ECCF3"/>
      </a:accent2>
      <a:accent3>
        <a:srgbClr val="A7EA52"/>
      </a:accent3>
      <a:accent4>
        <a:srgbClr val="CCFFCC"/>
      </a:accent4>
      <a:accent5>
        <a:srgbClr val="FF8021"/>
      </a:accent5>
      <a:accent6>
        <a:srgbClr val="F14124"/>
      </a:accent6>
      <a:hlink>
        <a:srgbClr val="56C7AA"/>
      </a:hlink>
      <a:folHlink>
        <a:srgbClr val="59A8D1"/>
      </a:folHlink>
    </a:clrScheme>
    <a:fontScheme name="Custom 1">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5.bin"/><Relationship Id="rId1" Type="http://schemas.openxmlformats.org/officeDocument/2006/relationships/hyperlink" Target="http://www.osbm.state.nc.us/demog/countytotals_singleage_2016.html"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5"/>
  <sheetViews>
    <sheetView showGridLines="0" tabSelected="1" workbookViewId="0">
      <selection activeCell="F3" sqref="F3"/>
    </sheetView>
  </sheetViews>
  <sheetFormatPr defaultRowHeight="13.2" x14ac:dyDescent="0.25"/>
  <cols>
    <col min="1" max="1" width="2.6640625" style="2" customWidth="1"/>
    <col min="2" max="2" width="2.6640625" style="3" customWidth="1"/>
    <col min="3" max="3" width="4.109375" style="3" bestFit="1" customWidth="1"/>
    <col min="4" max="4" width="94.6640625" customWidth="1"/>
  </cols>
  <sheetData>
    <row r="1" spans="1:7" ht="15.6" x14ac:dyDescent="0.25">
      <c r="A1" s="83" t="s">
        <v>82</v>
      </c>
      <c r="B1" s="5"/>
      <c r="C1" s="5"/>
      <c r="D1" s="6"/>
    </row>
    <row r="2" spans="1:7" ht="13.8" x14ac:dyDescent="0.25">
      <c r="A2" s="84" t="s">
        <v>0</v>
      </c>
      <c r="B2" s="5"/>
      <c r="C2" s="5"/>
      <c r="D2" s="6"/>
    </row>
    <row r="3" spans="1:7" s="1" customFormat="1" ht="24.9" customHeight="1" x14ac:dyDescent="0.25">
      <c r="A3" s="9" t="s">
        <v>7</v>
      </c>
      <c r="B3" s="10"/>
      <c r="C3" s="11"/>
    </row>
    <row r="4" spans="1:7" s="13" customFormat="1" ht="57.75" customHeight="1" x14ac:dyDescent="0.25">
      <c r="A4" s="4"/>
      <c r="B4" s="309" t="s">
        <v>105</v>
      </c>
      <c r="C4" s="310"/>
      <c r="D4" s="310"/>
    </row>
    <row r="5" spans="1:7" s="13" customFormat="1" ht="30.75" customHeight="1" x14ac:dyDescent="0.25">
      <c r="A5" s="4"/>
      <c r="B5" s="309" t="s">
        <v>84</v>
      </c>
      <c r="C5" s="310"/>
      <c r="D5" s="310"/>
    </row>
    <row r="6" spans="1:7" s="1" customFormat="1" ht="24.9" customHeight="1" x14ac:dyDescent="0.25">
      <c r="A6" s="12" t="s">
        <v>8</v>
      </c>
      <c r="B6" s="11"/>
      <c r="C6" s="11"/>
    </row>
    <row r="7" spans="1:7" s="13" customFormat="1" ht="34.5" customHeight="1" x14ac:dyDescent="0.25">
      <c r="A7" s="4"/>
      <c r="B7" s="312" t="s">
        <v>284</v>
      </c>
      <c r="C7" s="310"/>
      <c r="D7" s="310"/>
    </row>
    <row r="8" spans="1:7" s="13" customFormat="1" ht="29.25" customHeight="1" x14ac:dyDescent="0.25">
      <c r="A8" s="4"/>
      <c r="B8" s="313" t="s">
        <v>285</v>
      </c>
      <c r="C8" s="313"/>
      <c r="D8" s="313"/>
    </row>
    <row r="9" spans="1:7" s="1" customFormat="1" ht="24.9" customHeight="1" x14ac:dyDescent="0.25">
      <c r="A9" s="12" t="s">
        <v>9</v>
      </c>
      <c r="B9" s="11"/>
      <c r="C9" s="11"/>
    </row>
    <row r="10" spans="1:7" s="13" customFormat="1" ht="74.25" customHeight="1" x14ac:dyDescent="0.25">
      <c r="A10" s="4"/>
      <c r="B10" s="3" t="s">
        <v>1</v>
      </c>
      <c r="C10" s="314" t="s">
        <v>106</v>
      </c>
      <c r="D10" s="315"/>
    </row>
    <row r="11" spans="1:7" s="13" customFormat="1" ht="69.75" customHeight="1" x14ac:dyDescent="0.25">
      <c r="A11" s="4"/>
      <c r="B11" s="3" t="s">
        <v>2</v>
      </c>
      <c r="C11" s="311" t="s">
        <v>299</v>
      </c>
      <c r="D11" s="311"/>
    </row>
    <row r="12" spans="1:7" s="13" customFormat="1" ht="30.75" customHeight="1" x14ac:dyDescent="0.25">
      <c r="A12" s="4"/>
      <c r="B12" s="266" t="s">
        <v>4</v>
      </c>
      <c r="C12" s="311" t="s">
        <v>300</v>
      </c>
      <c r="D12" s="310"/>
    </row>
    <row r="13" spans="1:7" s="1" customFormat="1" ht="24.9" customHeight="1" x14ac:dyDescent="0.25">
      <c r="A13" s="12" t="s">
        <v>16</v>
      </c>
      <c r="B13" s="11"/>
      <c r="C13" s="11"/>
    </row>
    <row r="14" spans="1:7" s="1" customFormat="1" ht="30.75" customHeight="1" x14ac:dyDescent="0.25">
      <c r="A14" s="12"/>
      <c r="B14" s="317" t="s">
        <v>286</v>
      </c>
      <c r="C14" s="318"/>
      <c r="D14" s="318"/>
    </row>
    <row r="15" spans="1:7" s="13" customFormat="1" ht="30.75" customHeight="1" x14ac:dyDescent="0.25">
      <c r="A15" s="4"/>
      <c r="B15" s="3" t="s">
        <v>1</v>
      </c>
      <c r="C15" s="311" t="s">
        <v>287</v>
      </c>
      <c r="D15" s="311"/>
      <c r="G15" s="24"/>
    </row>
    <row r="16" spans="1:7" s="13" customFormat="1" ht="31.5" customHeight="1" x14ac:dyDescent="0.25">
      <c r="A16" s="4"/>
      <c r="B16" s="3" t="s">
        <v>2</v>
      </c>
      <c r="C16" s="311" t="s">
        <v>288</v>
      </c>
      <c r="D16" s="311"/>
    </row>
    <row r="17" spans="1:6" s="13" customFormat="1" ht="76.5" customHeight="1" x14ac:dyDescent="0.25">
      <c r="A17" s="4"/>
      <c r="B17" s="22" t="s">
        <v>4</v>
      </c>
      <c r="C17" s="311" t="s">
        <v>313</v>
      </c>
      <c r="D17" s="311"/>
      <c r="F17" s="265"/>
    </row>
    <row r="18" spans="1:6" s="1" customFormat="1" ht="24.9" customHeight="1" x14ac:dyDescent="0.25">
      <c r="A18" s="12" t="s">
        <v>17</v>
      </c>
      <c r="B18" s="11"/>
      <c r="C18" s="11"/>
    </row>
    <row r="19" spans="1:6" s="1" customFormat="1" ht="30.75" customHeight="1" x14ac:dyDescent="0.25">
      <c r="A19" s="12"/>
      <c r="B19" s="266" t="s">
        <v>1</v>
      </c>
      <c r="C19" s="308" t="s">
        <v>289</v>
      </c>
      <c r="D19" s="308"/>
    </row>
    <row r="20" spans="1:6" s="1" customFormat="1" ht="45.75" customHeight="1" x14ac:dyDescent="0.25">
      <c r="A20" s="12"/>
      <c r="B20" s="266"/>
      <c r="C20" s="267" t="s">
        <v>3</v>
      </c>
      <c r="D20" s="268" t="s">
        <v>290</v>
      </c>
    </row>
    <row r="21" spans="1:6" s="1" customFormat="1" ht="33.75" customHeight="1" x14ac:dyDescent="0.25">
      <c r="A21" s="12"/>
      <c r="B21" s="266"/>
      <c r="C21" s="267"/>
      <c r="D21" s="269" t="s">
        <v>291</v>
      </c>
    </row>
    <row r="22" spans="1:6" s="1" customFormat="1" ht="33.75" customHeight="1" x14ac:dyDescent="0.25">
      <c r="A22" s="12"/>
      <c r="B22" s="266"/>
      <c r="C22" s="267"/>
      <c r="D22" s="268" t="s">
        <v>274</v>
      </c>
    </row>
    <row r="23" spans="1:6" s="1" customFormat="1" ht="44.25" customHeight="1" x14ac:dyDescent="0.25">
      <c r="A23" s="12"/>
      <c r="B23" s="266"/>
      <c r="C23" s="267"/>
      <c r="D23" s="268" t="s">
        <v>301</v>
      </c>
    </row>
    <row r="24" spans="1:6" s="1" customFormat="1" ht="20.25" customHeight="1" x14ac:dyDescent="0.25">
      <c r="A24" s="12"/>
      <c r="B24" s="266"/>
      <c r="C24" s="267"/>
      <c r="D24" s="268" t="s">
        <v>312</v>
      </c>
    </row>
    <row r="25" spans="1:6" s="1" customFormat="1" ht="74.25" customHeight="1" x14ac:dyDescent="0.25">
      <c r="A25" s="12"/>
      <c r="B25" s="266"/>
      <c r="C25" s="267" t="s">
        <v>57</v>
      </c>
      <c r="D25" s="268" t="s">
        <v>292</v>
      </c>
    </row>
    <row r="26" spans="1:6" s="1" customFormat="1" ht="82.5" customHeight="1" x14ac:dyDescent="0.25">
      <c r="A26" s="12"/>
      <c r="B26" s="266"/>
      <c r="C26" s="267" t="s">
        <v>58</v>
      </c>
      <c r="D26" s="269" t="s">
        <v>293</v>
      </c>
    </row>
    <row r="27" spans="1:6" s="1" customFormat="1" ht="60.75" customHeight="1" x14ac:dyDescent="0.25">
      <c r="A27" s="12"/>
      <c r="B27" s="266"/>
      <c r="C27" s="267"/>
      <c r="D27" s="268" t="s">
        <v>314</v>
      </c>
    </row>
    <row r="28" spans="1:6" s="1" customFormat="1" ht="81.75" customHeight="1" x14ac:dyDescent="0.25">
      <c r="A28" s="12"/>
      <c r="B28" s="11"/>
      <c r="C28" s="11"/>
      <c r="D28" s="268" t="s">
        <v>317</v>
      </c>
    </row>
    <row r="29" spans="1:6" s="1" customFormat="1" ht="35.25" customHeight="1" x14ac:dyDescent="0.25">
      <c r="A29" s="12"/>
      <c r="B29" s="11"/>
      <c r="C29" s="11"/>
      <c r="D29" s="299" t="s">
        <v>302</v>
      </c>
    </row>
    <row r="30" spans="1:6" s="13" customFormat="1" ht="137.25" customHeight="1" x14ac:dyDescent="0.25">
      <c r="A30" s="4"/>
      <c r="B30" s="3" t="s">
        <v>2</v>
      </c>
      <c r="C30" s="311" t="s">
        <v>310</v>
      </c>
      <c r="D30" s="311"/>
    </row>
    <row r="31" spans="1:6" s="13" customFormat="1" ht="85.5" customHeight="1" x14ac:dyDescent="0.25">
      <c r="A31" s="4"/>
      <c r="B31" s="3"/>
      <c r="C31" s="312" t="s">
        <v>119</v>
      </c>
      <c r="D31" s="309"/>
    </row>
    <row r="32" spans="1:6" s="13" customFormat="1" ht="51" customHeight="1" x14ac:dyDescent="0.25">
      <c r="A32" s="4"/>
      <c r="B32" s="3"/>
      <c r="C32" s="312" t="s">
        <v>275</v>
      </c>
      <c r="D32" s="309"/>
    </row>
    <row r="33" spans="1:8" s="13" customFormat="1" ht="24.75" customHeight="1" x14ac:dyDescent="0.25">
      <c r="A33" s="4"/>
      <c r="B33" s="3"/>
      <c r="C33" s="316" t="s">
        <v>10</v>
      </c>
      <c r="D33" s="316"/>
    </row>
    <row r="34" spans="1:8" s="13" customFormat="1" ht="44.25" customHeight="1" x14ac:dyDescent="0.25">
      <c r="A34" s="4"/>
      <c r="B34" s="3" t="s">
        <v>4</v>
      </c>
      <c r="C34" s="311" t="s">
        <v>120</v>
      </c>
      <c r="D34" s="311"/>
      <c r="F34" s="117"/>
    </row>
    <row r="35" spans="1:8" s="13" customFormat="1" ht="48" customHeight="1" x14ac:dyDescent="0.25">
      <c r="A35" s="4"/>
      <c r="B35" s="3"/>
      <c r="C35" s="3" t="s">
        <v>3</v>
      </c>
      <c r="D35" s="127" t="s">
        <v>121</v>
      </c>
      <c r="F35" s="117"/>
    </row>
    <row r="36" spans="1:8" s="13" customFormat="1" ht="57.75" customHeight="1" x14ac:dyDescent="0.25">
      <c r="A36" s="4"/>
      <c r="B36" s="3"/>
      <c r="C36" s="22" t="s">
        <v>57</v>
      </c>
      <c r="D36" s="7" t="s">
        <v>122</v>
      </c>
      <c r="F36" s="117"/>
    </row>
    <row r="37" spans="1:8" s="13" customFormat="1" ht="48" customHeight="1" x14ac:dyDescent="0.25">
      <c r="A37" s="4"/>
      <c r="B37" s="3"/>
      <c r="C37" s="266" t="s">
        <v>58</v>
      </c>
      <c r="D37" s="238" t="s">
        <v>276</v>
      </c>
      <c r="F37" s="117"/>
      <c r="G37" s="265"/>
    </row>
    <row r="38" spans="1:8" s="13" customFormat="1" ht="26.25" customHeight="1" x14ac:dyDescent="0.25">
      <c r="A38" s="4"/>
      <c r="B38" s="3"/>
      <c r="C38" s="306" t="s">
        <v>11</v>
      </c>
      <c r="D38" s="307"/>
      <c r="F38" s="117"/>
    </row>
    <row r="39" spans="1:8" s="13" customFormat="1" ht="57" customHeight="1" x14ac:dyDescent="0.25">
      <c r="A39" s="4"/>
      <c r="B39" s="3" t="s">
        <v>5</v>
      </c>
      <c r="C39" s="311" t="s">
        <v>123</v>
      </c>
      <c r="D39" s="311"/>
      <c r="F39" s="117"/>
    </row>
    <row r="40" spans="1:8" s="13" customFormat="1" ht="68.25" customHeight="1" x14ac:dyDescent="0.25">
      <c r="A40" s="4"/>
      <c r="B40" s="3"/>
      <c r="C40" s="22" t="s">
        <v>3</v>
      </c>
      <c r="D40" s="7" t="s">
        <v>124</v>
      </c>
      <c r="F40" s="117"/>
    </row>
    <row r="41" spans="1:8" s="13" customFormat="1" ht="24.75" customHeight="1" x14ac:dyDescent="0.25">
      <c r="A41" s="4"/>
      <c r="B41" s="3"/>
      <c r="C41" s="306" t="s">
        <v>12</v>
      </c>
      <c r="D41" s="307"/>
      <c r="F41" s="117"/>
    </row>
    <row r="42" spans="1:8" s="13" customFormat="1" ht="51" customHeight="1" x14ac:dyDescent="0.25">
      <c r="A42" s="4"/>
      <c r="B42" s="3" t="s">
        <v>6</v>
      </c>
      <c r="C42" s="311" t="s">
        <v>125</v>
      </c>
      <c r="D42" s="311"/>
      <c r="F42" s="117"/>
    </row>
    <row r="43" spans="1:8" s="13" customFormat="1" ht="70.5" customHeight="1" x14ac:dyDescent="0.25">
      <c r="A43" s="4"/>
      <c r="B43" s="3"/>
      <c r="C43" s="22" t="s">
        <v>3</v>
      </c>
      <c r="D43" s="7" t="s">
        <v>126</v>
      </c>
      <c r="F43" s="117"/>
    </row>
    <row r="44" spans="1:8" s="13" customFormat="1" ht="83.25" customHeight="1" x14ac:dyDescent="0.25">
      <c r="A44" s="4"/>
      <c r="B44" s="3"/>
      <c r="C44" s="22" t="s">
        <v>57</v>
      </c>
      <c r="D44" s="7" t="s">
        <v>127</v>
      </c>
      <c r="F44" s="117"/>
    </row>
    <row r="45" spans="1:8" s="1" customFormat="1" ht="24.9" customHeight="1" x14ac:dyDescent="0.25">
      <c r="A45" s="12" t="s">
        <v>109</v>
      </c>
      <c r="B45" s="11"/>
      <c r="C45" s="11"/>
    </row>
    <row r="46" spans="1:8" s="13" customFormat="1" ht="94.5" customHeight="1" x14ac:dyDescent="0.25">
      <c r="A46" s="4"/>
      <c r="B46" s="309" t="s">
        <v>110</v>
      </c>
      <c r="C46" s="310"/>
      <c r="D46" s="310"/>
    </row>
    <row r="47" spans="1:8" s="13" customFormat="1" ht="72" customHeight="1" x14ac:dyDescent="0.25">
      <c r="A47" s="4"/>
      <c r="B47" s="309" t="s">
        <v>92</v>
      </c>
      <c r="C47" s="310"/>
      <c r="D47" s="310"/>
      <c r="F47" s="14"/>
      <c r="G47" s="14"/>
      <c r="H47" s="8"/>
    </row>
    <row r="48" spans="1:8" s="13" customFormat="1" ht="44.25" customHeight="1" x14ac:dyDescent="0.25">
      <c r="A48" s="4"/>
      <c r="B48" s="309" t="s">
        <v>96</v>
      </c>
      <c r="C48" s="310"/>
      <c r="D48" s="310"/>
      <c r="F48" s="117"/>
    </row>
    <row r="49" spans="1:6" s="1" customFormat="1" ht="24.9" customHeight="1" x14ac:dyDescent="0.25">
      <c r="A49" s="12" t="s">
        <v>85</v>
      </c>
      <c r="B49" s="11"/>
      <c r="C49" s="11"/>
      <c r="F49" s="118"/>
    </row>
    <row r="50" spans="1:6" s="13" customFormat="1" ht="78.75" customHeight="1" x14ac:dyDescent="0.25">
      <c r="A50" s="4"/>
      <c r="B50" s="309" t="s">
        <v>97</v>
      </c>
      <c r="C50" s="310"/>
      <c r="D50" s="310"/>
      <c r="F50" s="117"/>
    </row>
    <row r="51" spans="1:6" s="1" customFormat="1" ht="24.9" customHeight="1" x14ac:dyDescent="0.25">
      <c r="A51" s="12" t="s">
        <v>86</v>
      </c>
      <c r="B51" s="11"/>
      <c r="C51" s="11"/>
    </row>
    <row r="52" spans="1:6" s="13" customFormat="1" ht="44.25" customHeight="1" x14ac:dyDescent="0.25">
      <c r="A52" s="4"/>
      <c r="B52" s="309" t="s">
        <v>93</v>
      </c>
      <c r="C52" s="310"/>
      <c r="D52" s="310"/>
    </row>
    <row r="53" spans="1:6" s="13" customFormat="1" ht="69.75" customHeight="1" x14ac:dyDescent="0.25">
      <c r="A53" s="4"/>
      <c r="B53" s="309" t="s">
        <v>108</v>
      </c>
      <c r="C53" s="310"/>
      <c r="D53" s="310"/>
    </row>
    <row r="54" spans="1:6" s="13" customFormat="1" ht="59.25" customHeight="1" x14ac:dyDescent="0.25">
      <c r="A54" s="4"/>
      <c r="B54" s="309" t="s">
        <v>107</v>
      </c>
      <c r="C54" s="310"/>
      <c r="D54" s="310"/>
    </row>
    <row r="55" spans="1:6" s="13" customFormat="1" ht="30" customHeight="1" x14ac:dyDescent="0.25">
      <c r="A55" s="4"/>
      <c r="B55" s="309" t="s">
        <v>94</v>
      </c>
      <c r="C55" s="310"/>
      <c r="D55" s="310"/>
    </row>
  </sheetData>
  <sheetProtection sheet="1" objects="1" scenarios="1"/>
  <mergeCells count="29">
    <mergeCell ref="B54:D54"/>
    <mergeCell ref="B55:D55"/>
    <mergeCell ref="C10:D10"/>
    <mergeCell ref="C11:D11"/>
    <mergeCell ref="C33:D33"/>
    <mergeCell ref="B50:D50"/>
    <mergeCell ref="B52:D52"/>
    <mergeCell ref="B53:D53"/>
    <mergeCell ref="C12:D12"/>
    <mergeCell ref="C42:D42"/>
    <mergeCell ref="C15:D15"/>
    <mergeCell ref="C34:D34"/>
    <mergeCell ref="C16:D16"/>
    <mergeCell ref="C17:D17"/>
    <mergeCell ref="C32:D32"/>
    <mergeCell ref="B14:D14"/>
    <mergeCell ref="B4:D4"/>
    <mergeCell ref="B5:D5"/>
    <mergeCell ref="B7:D7"/>
    <mergeCell ref="B8:D8"/>
    <mergeCell ref="C31:D31"/>
    <mergeCell ref="C30:D30"/>
    <mergeCell ref="C38:D38"/>
    <mergeCell ref="C19:D19"/>
    <mergeCell ref="B48:D48"/>
    <mergeCell ref="B47:D47"/>
    <mergeCell ref="B46:D46"/>
    <mergeCell ref="C41:D41"/>
    <mergeCell ref="C39:D39"/>
  </mergeCells>
  <phoneticPr fontId="0" type="noConversion"/>
  <printOptions horizontalCentered="1"/>
  <pageMargins left="0.7" right="0.7" top="0.75" bottom="0.75" header="0.5" footer="0.5"/>
  <pageSetup scale="88" fitToHeight="4" orientation="portrait" r:id="rId1"/>
  <headerFooter alignWithMargins="0">
    <oddHeader>&amp;C&amp;UNorth Carolina Division of Mental Health/Developmental Disabilities/Substance Abuse Services</oddHeader>
    <oddFooter>&amp;L&amp;8DMHDDSAS - Quality Management Section - Form BP01
Instructions&amp;C&amp;8&amp;P&amp;R&amp;8Revised August 2016</oddFooter>
  </headerFooter>
  <rowBreaks count="1" manualBreakCount="1">
    <brk id="48" max="16383" man="1"/>
  </rowBreaks>
  <ignoredErrors>
    <ignoredError sqref="B38:B43 B33:B34 B36" numberStoredAsText="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50"/>
  <sheetViews>
    <sheetView showGridLines="0" zoomScale="90" zoomScaleNormal="90" workbookViewId="0">
      <selection activeCell="B8" sqref="B8:D8"/>
    </sheetView>
  </sheetViews>
  <sheetFormatPr defaultColWidth="9.109375" defaultRowHeight="13.2" x14ac:dyDescent="0.25"/>
  <cols>
    <col min="1" max="1" width="89.33203125" style="15" customWidth="1"/>
    <col min="2" max="4" width="13.5546875" style="15" customWidth="1"/>
    <col min="5" max="5" width="10.6640625" style="15" customWidth="1"/>
    <col min="6" max="6" width="2.6640625" style="15" customWidth="1"/>
    <col min="7" max="8" width="13.5546875" style="15" customWidth="1"/>
    <col min="9" max="16384" width="9.109375" style="15"/>
  </cols>
  <sheetData>
    <row r="1" spans="1:13" ht="25.2" customHeight="1" thickBot="1" x14ac:dyDescent="0.3">
      <c r="A1" s="162" t="s">
        <v>83</v>
      </c>
      <c r="B1" s="163"/>
      <c r="C1" s="163"/>
      <c r="D1" s="164"/>
      <c r="E1" s="165"/>
    </row>
    <row r="2" spans="1:13" s="16" customFormat="1" ht="6" customHeight="1" thickTop="1" x14ac:dyDescent="0.25">
      <c r="A2" s="26"/>
      <c r="B2" s="27"/>
      <c r="C2" s="27"/>
      <c r="D2" s="28"/>
      <c r="E2" s="65"/>
    </row>
    <row r="3" spans="1:13" s="16" customFormat="1" ht="42" customHeight="1" x14ac:dyDescent="0.25">
      <c r="A3" s="351" t="s">
        <v>118</v>
      </c>
      <c r="B3" s="352"/>
      <c r="C3" s="352"/>
      <c r="D3" s="352"/>
      <c r="E3" s="353"/>
      <c r="G3" s="349"/>
      <c r="H3" s="349"/>
      <c r="I3" s="349"/>
    </row>
    <row r="4" spans="1:13" ht="30" customHeight="1" x14ac:dyDescent="0.25">
      <c r="A4" s="354" t="s">
        <v>283</v>
      </c>
      <c r="B4" s="355"/>
      <c r="C4" s="355"/>
      <c r="D4" s="355"/>
      <c r="E4" s="356"/>
      <c r="G4" s="349"/>
      <c r="H4" s="349"/>
      <c r="I4" s="349"/>
    </row>
    <row r="5" spans="1:13" s="17" customFormat="1" ht="18" customHeight="1" x14ac:dyDescent="0.2">
      <c r="A5" s="85" t="s">
        <v>64</v>
      </c>
      <c r="B5" s="346" t="s">
        <v>78</v>
      </c>
      <c r="C5" s="347"/>
      <c r="D5" s="348"/>
      <c r="E5" s="66"/>
      <c r="G5" s="349"/>
      <c r="H5" s="349"/>
      <c r="I5" s="349"/>
    </row>
    <row r="6" spans="1:13" s="17" customFormat="1" ht="18" customHeight="1" x14ac:dyDescent="0.25">
      <c r="A6" s="85" t="s">
        <v>65</v>
      </c>
      <c r="B6" s="346" t="s">
        <v>128</v>
      </c>
      <c r="C6" s="347"/>
      <c r="D6" s="348"/>
      <c r="E6" s="67"/>
      <c r="H6" s="169"/>
      <c r="I6" s="169"/>
    </row>
    <row r="7" spans="1:13" s="17" customFormat="1" ht="18" customHeight="1" x14ac:dyDescent="0.25">
      <c r="A7" s="86" t="s">
        <v>66</v>
      </c>
      <c r="B7" s="23" t="str">
        <f>IF(B6="First Quarter","July 1, "&amp;LEFT(B5,4)&amp;" - September 30, "&amp;LEFT(B5,4),IF(B6="Second Quarter","October 1, "&amp;LEFT(B5,4)&amp;" - December 31, "&amp;LEFT(B5,4), IF(B6="Third Quarter","January 1, "&amp;RIGHT(B5,4)&amp;" - March 31, "&amp;RIGHT(B5,4), IF(B6="Fourth Quarter","April 1, "&amp;RIGHT(B5,4)&amp;" - June 30, "&amp;RIGHT(B5,4),""))))</f>
        <v>July 1, 2016 - September 30, 2016</v>
      </c>
      <c r="C7" s="23"/>
      <c r="D7" s="23"/>
      <c r="E7" s="19"/>
      <c r="G7" s="169"/>
      <c r="H7" s="169"/>
      <c r="I7" s="169"/>
    </row>
    <row r="8" spans="1:13" s="17" customFormat="1" ht="18" customHeight="1" x14ac:dyDescent="0.25">
      <c r="A8" s="85" t="s">
        <v>67</v>
      </c>
      <c r="B8" s="322"/>
      <c r="C8" s="323"/>
      <c r="D8" s="324"/>
      <c r="E8" s="68"/>
      <c r="H8" s="235"/>
      <c r="I8" s="235"/>
      <c r="J8" s="235"/>
    </row>
    <row r="9" spans="1:13" s="17" customFormat="1" ht="18" customHeight="1" x14ac:dyDescent="0.25">
      <c r="A9" s="85" t="s">
        <v>68</v>
      </c>
      <c r="B9" s="325"/>
      <c r="C9" s="326"/>
      <c r="D9" s="327"/>
      <c r="E9" s="69"/>
      <c r="F9" s="43"/>
      <c r="G9" s="235"/>
      <c r="H9" s="169"/>
      <c r="I9" s="169"/>
      <c r="J9" s="169"/>
    </row>
    <row r="10" spans="1:13" ht="18" customHeight="1" x14ac:dyDescent="0.25">
      <c r="A10" s="86" t="s">
        <v>74</v>
      </c>
      <c r="B10" s="328" t="str">
        <f>IF(OR(B5="",B8=""),"",IF(LEFT(B5,4)&lt;&gt;RIGHT('Data Validation and Lookup'!B9,4),"Need to update population table",VLOOKUP(B8,Population,2,FALSE)))</f>
        <v/>
      </c>
      <c r="C10" s="329"/>
      <c r="D10" s="330"/>
      <c r="E10" s="19"/>
      <c r="F10" s="129" t="s">
        <v>100</v>
      </c>
      <c r="G10" s="350" t="s">
        <v>255</v>
      </c>
      <c r="H10" s="350"/>
      <c r="I10" s="350"/>
      <c r="J10" s="350"/>
      <c r="K10" s="350"/>
      <c r="L10" s="350"/>
      <c r="M10" s="350"/>
    </row>
    <row r="11" spans="1:13" ht="18" customHeight="1" x14ac:dyDescent="0.25">
      <c r="A11" s="86" t="s">
        <v>75</v>
      </c>
      <c r="B11" s="42" t="str">
        <f>IF($B10="","",B31/$B10*10000)</f>
        <v/>
      </c>
      <c r="C11" s="42" t="str">
        <f>IF($B10="","",C31/$B10*10000)</f>
        <v/>
      </c>
      <c r="D11" s="61" t="str">
        <f>IF($B10="","",D31/$B10*10000)</f>
        <v/>
      </c>
      <c r="E11" s="19"/>
      <c r="G11" s="350"/>
      <c r="H11" s="350"/>
      <c r="I11" s="350"/>
      <c r="J11" s="350"/>
      <c r="K11" s="350"/>
      <c r="L11" s="350"/>
      <c r="M11" s="350"/>
    </row>
    <row r="12" spans="1:13" ht="25.2" customHeight="1" x14ac:dyDescent="0.25">
      <c r="A12" s="87"/>
      <c r="B12" s="63" t="s">
        <v>47</v>
      </c>
      <c r="C12" s="64"/>
      <c r="D12" s="64"/>
      <c r="E12" s="19"/>
      <c r="G12" s="168"/>
      <c r="H12" s="168"/>
      <c r="I12" s="168"/>
      <c r="J12" s="168"/>
      <c r="K12" s="168"/>
      <c r="L12" s="168"/>
    </row>
    <row r="13" spans="1:13" ht="18" customHeight="1" x14ac:dyDescent="0.25">
      <c r="A13" s="88" t="s">
        <v>69</v>
      </c>
      <c r="B13" s="331"/>
      <c r="C13" s="332"/>
      <c r="D13" s="333"/>
      <c r="E13" s="19"/>
      <c r="G13" s="60"/>
      <c r="H13" s="36"/>
    </row>
    <row r="14" spans="1:13" ht="18" customHeight="1" x14ac:dyDescent="0.25">
      <c r="A14" s="85" t="s">
        <v>70</v>
      </c>
      <c r="B14" s="331"/>
      <c r="C14" s="332"/>
      <c r="D14" s="333"/>
      <c r="E14" s="19"/>
      <c r="G14" s="60"/>
      <c r="H14" s="36"/>
    </row>
    <row r="15" spans="1:13" ht="18" customHeight="1" x14ac:dyDescent="0.25">
      <c r="A15" s="85" t="s">
        <v>71</v>
      </c>
      <c r="B15" s="331"/>
      <c r="C15" s="332"/>
      <c r="D15" s="333"/>
      <c r="E15" s="19"/>
      <c r="G15" s="60"/>
      <c r="H15" s="36"/>
    </row>
    <row r="16" spans="1:13" ht="18" customHeight="1" x14ac:dyDescent="0.25">
      <c r="A16" s="85" t="s">
        <v>72</v>
      </c>
      <c r="B16" s="334"/>
      <c r="C16" s="335"/>
      <c r="D16" s="336"/>
      <c r="E16" s="19"/>
      <c r="G16" s="60"/>
      <c r="H16" s="36"/>
    </row>
    <row r="17" spans="1:12" s="17" customFormat="1" ht="9.6" customHeight="1" thickBot="1" x14ac:dyDescent="0.3">
      <c r="A17" s="30"/>
      <c r="B17" s="31"/>
      <c r="C17" s="32"/>
      <c r="D17" s="33"/>
      <c r="E17" s="70"/>
      <c r="G17" s="72"/>
      <c r="H17" s="73"/>
    </row>
    <row r="18" spans="1:12" ht="17.100000000000001" customHeight="1" thickTop="1" x14ac:dyDescent="0.25">
      <c r="A18" s="25"/>
      <c r="B18" s="156" t="s">
        <v>45</v>
      </c>
      <c r="C18" s="157"/>
      <c r="D18" s="158"/>
      <c r="E18" s="344" t="str">
        <f>"SFY"&amp;RIGHT(B5,4)&amp;" Standard*"</f>
        <v>SFY2017 Standard*</v>
      </c>
      <c r="G18" s="23"/>
      <c r="H18" s="23"/>
      <c r="J18" s="337" t="s">
        <v>73</v>
      </c>
      <c r="K18" s="338"/>
      <c r="L18" s="339"/>
    </row>
    <row r="19" spans="1:12" ht="17.100000000000001" customHeight="1" thickBot="1" x14ac:dyDescent="0.3">
      <c r="A19" s="25"/>
      <c r="B19" s="159" t="s">
        <v>13</v>
      </c>
      <c r="C19" s="160" t="s">
        <v>15</v>
      </c>
      <c r="D19" s="161" t="s">
        <v>14</v>
      </c>
      <c r="E19" s="345"/>
      <c r="G19" s="62"/>
      <c r="H19" s="62"/>
      <c r="J19" s="340"/>
      <c r="K19" s="341"/>
      <c r="L19" s="342"/>
    </row>
    <row r="20" spans="1:12" s="17" customFormat="1" ht="21.6" customHeight="1" x14ac:dyDescent="0.25">
      <c r="A20" s="139" t="s">
        <v>303</v>
      </c>
      <c r="B20" s="221">
        <f>IF('Page 3'!B$33=0,0,'Page 3'!B$33)</f>
        <v>0</v>
      </c>
      <c r="C20" s="222">
        <f>IF('Page 3'!N$33=0,0,'Page 3'!N$33)</f>
        <v>0</v>
      </c>
      <c r="D20" s="37">
        <f t="shared" ref="D20:D27" si="0">SUM(B20,C20)</f>
        <v>0</v>
      </c>
      <c r="E20" s="75"/>
      <c r="I20" s="29"/>
      <c r="J20" s="132">
        <f t="shared" ref="J20:K22" si="1">B20</f>
        <v>0</v>
      </c>
      <c r="K20" s="133">
        <f t="shared" si="1"/>
        <v>0</v>
      </c>
      <c r="L20" s="134"/>
    </row>
    <row r="21" spans="1:12" s="17" customFormat="1" ht="21.6" customHeight="1" x14ac:dyDescent="0.25">
      <c r="A21" s="90" t="s">
        <v>111</v>
      </c>
      <c r="B21" s="223">
        <f>IF('Page 3'!C$33=0,0,'Page 3'!C$33)</f>
        <v>0</v>
      </c>
      <c r="C21" s="224">
        <f>IF('Page 3'!O$33=0,0,'Page 3'!O$33)</f>
        <v>0</v>
      </c>
      <c r="D21" s="38">
        <f t="shared" ref="D21" si="2">SUM(B21,C21)</f>
        <v>0</v>
      </c>
      <c r="E21" s="76"/>
      <c r="I21" s="29"/>
      <c r="J21" s="136">
        <f t="shared" si="1"/>
        <v>0</v>
      </c>
      <c r="K21" s="77">
        <f t="shared" si="1"/>
        <v>0</v>
      </c>
      <c r="L21" s="135"/>
    </row>
    <row r="22" spans="1:12" s="17" customFormat="1" ht="36" customHeight="1" x14ac:dyDescent="0.25">
      <c r="A22" s="143" t="s">
        <v>112</v>
      </c>
      <c r="B22" s="223">
        <f>IF('Page 3'!D$33=0,0,'Page 3'!D$33)</f>
        <v>0</v>
      </c>
      <c r="C22" s="224">
        <f>IF('Page 3'!P$33=0,0,'Page 3'!P$33)</f>
        <v>0</v>
      </c>
      <c r="D22" s="38">
        <f t="shared" si="0"/>
        <v>0</v>
      </c>
      <c r="E22" s="76"/>
      <c r="I22" s="29"/>
      <c r="J22" s="136">
        <f t="shared" si="1"/>
        <v>0</v>
      </c>
      <c r="K22" s="77">
        <f t="shared" si="1"/>
        <v>0</v>
      </c>
      <c r="L22" s="135"/>
    </row>
    <row r="23" spans="1:12" s="17" customFormat="1" ht="21.6" customHeight="1" thickBot="1" x14ac:dyDescent="0.3">
      <c r="A23" s="230" t="s">
        <v>113</v>
      </c>
      <c r="B23" s="57">
        <f>IF(B20=0,0,(B21+B22)/B20)</f>
        <v>0</v>
      </c>
      <c r="C23" s="59">
        <f>IF(C20=0,0,(C21+C22)/C20)</f>
        <v>0</v>
      </c>
      <c r="D23" s="58">
        <f>IF(D20=0,0,(D21+D22)/D20)</f>
        <v>0</v>
      </c>
      <c r="E23" s="71">
        <v>0.97</v>
      </c>
      <c r="I23" s="29"/>
      <c r="J23" s="137"/>
      <c r="K23" s="78"/>
      <c r="L23" s="135"/>
    </row>
    <row r="24" spans="1:12" s="17" customFormat="1" ht="21.6" customHeight="1" x14ac:dyDescent="0.25">
      <c r="A24" s="89" t="s">
        <v>304</v>
      </c>
      <c r="B24" s="221">
        <f>IF('Page 3'!E$33=0,0,'Page 3'!E$33)</f>
        <v>0</v>
      </c>
      <c r="C24" s="222">
        <f>IF('Page 3'!Q$33=0,0,'Page 3'!Q$33)</f>
        <v>0</v>
      </c>
      <c r="D24" s="37">
        <f t="shared" si="0"/>
        <v>0</v>
      </c>
      <c r="E24" s="75"/>
      <c r="I24" s="29"/>
      <c r="J24" s="136">
        <f>B24</f>
        <v>0</v>
      </c>
      <c r="K24" s="77">
        <f>C24</f>
        <v>0</v>
      </c>
      <c r="L24" s="135"/>
    </row>
    <row r="25" spans="1:12" s="17" customFormat="1" ht="21.6" customHeight="1" x14ac:dyDescent="0.25">
      <c r="A25" s="90" t="s">
        <v>114</v>
      </c>
      <c r="B25" s="223">
        <f>IF('Page 3'!F$33=0,0,'Page 3'!F$33)</f>
        <v>0</v>
      </c>
      <c r="C25" s="224">
        <f>IF('Page 3'!R$33=0,0,'Page 3'!R$33)</f>
        <v>0</v>
      </c>
      <c r="D25" s="38">
        <f t="shared" si="0"/>
        <v>0</v>
      </c>
      <c r="E25" s="76"/>
      <c r="I25" s="29"/>
      <c r="J25" s="136">
        <f>B25</f>
        <v>0</v>
      </c>
      <c r="K25" s="77">
        <f>C25</f>
        <v>0</v>
      </c>
      <c r="L25" s="135"/>
    </row>
    <row r="26" spans="1:12" s="17" customFormat="1" ht="21.6" customHeight="1" thickBot="1" x14ac:dyDescent="0.3">
      <c r="A26" s="90" t="s">
        <v>115</v>
      </c>
      <c r="B26" s="91">
        <f>IF(B24=0,0,B25/B24)</f>
        <v>0</v>
      </c>
      <c r="C26" s="92">
        <f>IF(C24=0,0,C25/C24)</f>
        <v>0</v>
      </c>
      <c r="D26" s="93">
        <f>IF(D24=0,0,D25/D24)</f>
        <v>0</v>
      </c>
      <c r="E26" s="94">
        <v>0.82</v>
      </c>
      <c r="I26" s="29"/>
      <c r="J26" s="137"/>
      <c r="K26" s="78"/>
      <c r="L26" s="135"/>
    </row>
    <row r="27" spans="1:12" s="17" customFormat="1" ht="21.6" customHeight="1" x14ac:dyDescent="0.25">
      <c r="A27" s="95" t="s">
        <v>305</v>
      </c>
      <c r="B27" s="225">
        <f>IF('Page 3'!G$33=0,0,'Page 3'!G$33)</f>
        <v>0</v>
      </c>
      <c r="C27" s="226">
        <f>IF('Page 3'!S$33=0,0,'Page 3'!S$33)</f>
        <v>0</v>
      </c>
      <c r="D27" s="105">
        <f t="shared" si="0"/>
        <v>0</v>
      </c>
      <c r="E27" s="101"/>
      <c r="I27" s="29"/>
      <c r="J27" s="136">
        <f>B27</f>
        <v>0</v>
      </c>
      <c r="K27" s="77">
        <f>C27</f>
        <v>0</v>
      </c>
      <c r="L27" s="135"/>
    </row>
    <row r="28" spans="1:12" s="17" customFormat="1" ht="21.6" customHeight="1" x14ac:dyDescent="0.25">
      <c r="A28" s="96" t="s">
        <v>116</v>
      </c>
      <c r="B28" s="223">
        <f>IF('Page 3'!H$33=0,0,'Page 3'!H$33)</f>
        <v>0</v>
      </c>
      <c r="C28" s="224">
        <f>IF('Page 3'!T$33=0,0,'Page 3'!T$33)</f>
        <v>0</v>
      </c>
      <c r="D28" s="38">
        <f>SUM(B28,C28)</f>
        <v>0</v>
      </c>
      <c r="E28" s="102"/>
      <c r="I28" s="29"/>
      <c r="J28" s="136">
        <f>B28</f>
        <v>0</v>
      </c>
      <c r="K28" s="77">
        <f>C28</f>
        <v>0</v>
      </c>
      <c r="L28" s="135"/>
    </row>
    <row r="29" spans="1:12" s="17" customFormat="1" ht="21.6" customHeight="1" x14ac:dyDescent="0.25">
      <c r="A29" s="96" t="s">
        <v>115</v>
      </c>
      <c r="B29" s="106">
        <f>IF(B27=0,0,B28/B27)</f>
        <v>0</v>
      </c>
      <c r="C29" s="100">
        <f>IF(C27=0,0,C28/C27)</f>
        <v>0</v>
      </c>
      <c r="D29" s="107">
        <f>IF(D27=0,0,D28/D27)</f>
        <v>0</v>
      </c>
      <c r="E29" s="103">
        <v>0.75</v>
      </c>
      <c r="I29" s="29"/>
      <c r="J29" s="137"/>
      <c r="K29" s="78"/>
      <c r="L29" s="135"/>
    </row>
    <row r="30" spans="1:12" s="17" customFormat="1" ht="21.6" customHeight="1" thickBot="1" x14ac:dyDescent="0.3">
      <c r="A30" s="97" t="s">
        <v>117</v>
      </c>
      <c r="B30" s="227">
        <f>'Page 3'!I$33</f>
        <v>0</v>
      </c>
      <c r="C30" s="228">
        <f>'Page 3'!U$33</f>
        <v>0</v>
      </c>
      <c r="D30" s="229">
        <f>'Page 3'!Z33</f>
        <v>0</v>
      </c>
      <c r="E30" s="104"/>
      <c r="I30" s="29"/>
      <c r="J30" s="140">
        <f>B30</f>
        <v>0</v>
      </c>
      <c r="K30" s="141">
        <f>C30</f>
        <v>0</v>
      </c>
      <c r="L30" s="142">
        <f>D30</f>
        <v>0</v>
      </c>
    </row>
    <row r="31" spans="1:12" s="17" customFormat="1" ht="36.75" customHeight="1" thickBot="1" x14ac:dyDescent="0.3">
      <c r="A31" s="231" t="s">
        <v>306</v>
      </c>
      <c r="B31" s="232">
        <f>SUM(B20,B24,B27)</f>
        <v>0</v>
      </c>
      <c r="C31" s="233">
        <f>SUM(C20,C24,C27)</f>
        <v>0</v>
      </c>
      <c r="D31" s="234">
        <f>SUM(B31,C31)</f>
        <v>0</v>
      </c>
      <c r="E31" s="74"/>
      <c r="J31" s="138"/>
      <c r="K31" s="138"/>
      <c r="L31" s="138"/>
    </row>
    <row r="32" spans="1:12" x14ac:dyDescent="0.25">
      <c r="A32" s="112"/>
      <c r="B32" s="111" t="s">
        <v>103</v>
      </c>
      <c r="C32" s="111"/>
      <c r="D32" s="111"/>
      <c r="E32" s="113"/>
      <c r="I32" s="138"/>
    </row>
    <row r="33" spans="1:9" ht="20.100000000000001" customHeight="1" x14ac:dyDescent="0.25">
      <c r="A33" s="115" t="s">
        <v>91</v>
      </c>
      <c r="B33" s="114" t="s">
        <v>104</v>
      </c>
      <c r="C33" s="98"/>
      <c r="D33" s="98"/>
      <c r="E33" s="99"/>
      <c r="G33" s="343"/>
      <c r="H33" s="343"/>
      <c r="I33" s="138"/>
    </row>
    <row r="34" spans="1:9" ht="29.1" customHeight="1" x14ac:dyDescent="0.25">
      <c r="A34" s="319" t="s">
        <v>102</v>
      </c>
      <c r="B34" s="320"/>
      <c r="C34" s="320"/>
      <c r="D34" s="320"/>
      <c r="E34" s="321"/>
      <c r="G34" s="343"/>
      <c r="H34" s="343"/>
    </row>
    <row r="35" spans="1:9" ht="21" customHeight="1" x14ac:dyDescent="0.25">
      <c r="A35" s="18"/>
      <c r="B35" s="29"/>
      <c r="C35" s="29"/>
      <c r="D35" s="29"/>
      <c r="E35" s="19"/>
    </row>
    <row r="36" spans="1:9" ht="21" customHeight="1" x14ac:dyDescent="0.25">
      <c r="A36" s="18"/>
      <c r="B36" s="29"/>
      <c r="C36" s="29"/>
      <c r="D36" s="29"/>
      <c r="E36" s="19"/>
    </row>
    <row r="37" spans="1:9" ht="21" customHeight="1" x14ac:dyDescent="0.25">
      <c r="A37" s="18"/>
      <c r="B37" s="29"/>
      <c r="C37" s="29"/>
      <c r="D37" s="29"/>
      <c r="E37" s="19"/>
    </row>
    <row r="38" spans="1:9" ht="21" customHeight="1" x14ac:dyDescent="0.25">
      <c r="A38" s="18"/>
      <c r="B38" s="29"/>
      <c r="C38" s="29"/>
      <c r="D38" s="29"/>
      <c r="E38" s="19"/>
    </row>
    <row r="39" spans="1:9" ht="18.899999999999999" customHeight="1" x14ac:dyDescent="0.25">
      <c r="A39" s="18"/>
      <c r="B39" s="29"/>
      <c r="C39" s="29"/>
      <c r="D39" s="29"/>
      <c r="E39" s="19"/>
    </row>
    <row r="40" spans="1:9" ht="21" customHeight="1" x14ac:dyDescent="0.25">
      <c r="A40" s="18"/>
      <c r="B40" s="29"/>
      <c r="C40" s="29"/>
      <c r="D40" s="29"/>
      <c r="E40" s="19"/>
    </row>
    <row r="41" spans="1:9" ht="27.6" customHeight="1" x14ac:dyDescent="0.25">
      <c r="A41" s="319" t="s">
        <v>53</v>
      </c>
      <c r="B41" s="320"/>
      <c r="C41" s="320"/>
      <c r="D41" s="320"/>
      <c r="E41" s="321"/>
    </row>
    <row r="42" spans="1:9" ht="23.1" customHeight="1" x14ac:dyDescent="0.25">
      <c r="A42" s="18"/>
      <c r="B42" s="29"/>
      <c r="C42" s="29"/>
      <c r="D42" s="29"/>
      <c r="E42" s="19"/>
    </row>
    <row r="43" spans="1:9" ht="23.1" customHeight="1" x14ac:dyDescent="0.25">
      <c r="A43" s="18"/>
      <c r="B43" s="29"/>
      <c r="C43" s="29"/>
      <c r="D43" s="29"/>
      <c r="E43" s="19"/>
    </row>
    <row r="44" spans="1:9" ht="23.1" customHeight="1" x14ac:dyDescent="0.25">
      <c r="A44" s="18"/>
      <c r="B44" s="29"/>
      <c r="C44" s="29"/>
      <c r="D44" s="29"/>
      <c r="E44" s="19"/>
    </row>
    <row r="45" spans="1:9" ht="23.1" customHeight="1" x14ac:dyDescent="0.25">
      <c r="A45" s="18"/>
      <c r="B45" s="29"/>
      <c r="C45" s="29"/>
      <c r="D45" s="29"/>
      <c r="E45" s="19"/>
    </row>
    <row r="46" spans="1:9" ht="23.1" customHeight="1" x14ac:dyDescent="0.25">
      <c r="A46" s="18"/>
      <c r="B46" s="29"/>
      <c r="C46" s="29"/>
      <c r="D46" s="29"/>
      <c r="E46" s="19"/>
    </row>
    <row r="47" spans="1:9" ht="18" customHeight="1" x14ac:dyDescent="0.25">
      <c r="A47" s="18"/>
      <c r="B47" s="29"/>
      <c r="C47" s="29"/>
      <c r="D47" s="29"/>
      <c r="E47" s="19"/>
    </row>
    <row r="48" spans="1:9" ht="12.9" customHeight="1" thickBot="1" x14ac:dyDescent="0.3">
      <c r="A48" s="20"/>
      <c r="B48" s="34"/>
      <c r="C48" s="34"/>
      <c r="D48" s="34"/>
      <c r="E48" s="21"/>
    </row>
    <row r="49" spans="1:5" x14ac:dyDescent="0.25">
      <c r="A49" s="17"/>
      <c r="B49" s="17"/>
      <c r="C49" s="17"/>
      <c r="D49" s="17"/>
      <c r="E49" s="17"/>
    </row>
    <row r="50" spans="1:5" x14ac:dyDescent="0.25">
      <c r="A50" s="17"/>
      <c r="B50" s="17"/>
      <c r="C50" s="17"/>
      <c r="D50" s="17"/>
      <c r="E50" s="17"/>
    </row>
  </sheetData>
  <sheetProtection sheet="1" objects="1" scenarios="1" insertRows="0"/>
  <mergeCells count="18">
    <mergeCell ref="J18:L19"/>
    <mergeCell ref="G33:H34"/>
    <mergeCell ref="E18:E19"/>
    <mergeCell ref="A34:E34"/>
    <mergeCell ref="B5:D5"/>
    <mergeCell ref="B6:D6"/>
    <mergeCell ref="B14:D14"/>
    <mergeCell ref="G3:I5"/>
    <mergeCell ref="G10:M11"/>
    <mergeCell ref="A3:E3"/>
    <mergeCell ref="A4:E4"/>
    <mergeCell ref="A41:E41"/>
    <mergeCell ref="B8:D8"/>
    <mergeCell ref="B9:D9"/>
    <mergeCell ref="B10:D10"/>
    <mergeCell ref="B13:D13"/>
    <mergeCell ref="B15:D15"/>
    <mergeCell ref="B16:D16"/>
  </mergeCells>
  <conditionalFormatting sqref="B31:C31 B13:B16">
    <cfRule type="cellIs" dxfId="31" priority="46" stopIfTrue="1" operator="equal">
      <formula>""</formula>
    </cfRule>
  </conditionalFormatting>
  <conditionalFormatting sqref="B20:C20 B22:C22 B24:C25 B27:C28">
    <cfRule type="cellIs" dxfId="30" priority="47" stopIfTrue="1" operator="equal">
      <formula>""</formula>
    </cfRule>
  </conditionalFormatting>
  <conditionalFormatting sqref="B8:B9">
    <cfRule type="cellIs" dxfId="29" priority="22" stopIfTrue="1" operator="equal">
      <formula>""</formula>
    </cfRule>
  </conditionalFormatting>
  <conditionalFormatting sqref="B5:B6">
    <cfRule type="cellIs" dxfId="28" priority="21" stopIfTrue="1" operator="equal">
      <formula>""</formula>
    </cfRule>
  </conditionalFormatting>
  <conditionalFormatting sqref="B10:D11">
    <cfRule type="cellIs" dxfId="27" priority="4" stopIfTrue="1" operator="equal">
      <formula>""</formula>
    </cfRule>
  </conditionalFormatting>
  <conditionalFormatting sqref="B23:D23">
    <cfRule type="expression" dxfId="26" priority="9" stopIfTrue="1">
      <formula>B23&lt;$E$23</formula>
    </cfRule>
    <cfRule type="expression" dxfId="25" priority="12" stopIfTrue="1">
      <formula>B23&gt;=$E$23</formula>
    </cfRule>
  </conditionalFormatting>
  <conditionalFormatting sqref="B26:D26">
    <cfRule type="expression" dxfId="24" priority="8" stopIfTrue="1">
      <formula>B26&lt;$E$26</formula>
    </cfRule>
    <cfRule type="expression" dxfId="23" priority="11" stopIfTrue="1">
      <formula>B26&gt;=$E$26</formula>
    </cfRule>
  </conditionalFormatting>
  <conditionalFormatting sqref="B29:D29">
    <cfRule type="expression" dxfId="22" priority="7" stopIfTrue="1">
      <formula>B29&lt;$E$29</formula>
    </cfRule>
    <cfRule type="expression" dxfId="21" priority="10" stopIfTrue="1">
      <formula>B29&gt;=$E$29</formula>
    </cfRule>
  </conditionalFormatting>
  <conditionalFormatting sqref="D31">
    <cfRule type="expression" dxfId="20" priority="48" stopIfTrue="1">
      <formula>#REF!&lt;&gt;"OK"</formula>
    </cfRule>
  </conditionalFormatting>
  <conditionalFormatting sqref="B30:C30">
    <cfRule type="cellIs" dxfId="19" priority="6" stopIfTrue="1" operator="equal">
      <formula>""</formula>
    </cfRule>
  </conditionalFormatting>
  <conditionalFormatting sqref="D30">
    <cfRule type="cellIs" dxfId="18" priority="5" stopIfTrue="1" operator="equal">
      <formula>""</formula>
    </cfRule>
  </conditionalFormatting>
  <conditionalFormatting sqref="B10:D10">
    <cfRule type="cellIs" dxfId="17" priority="19" operator="equal">
      <formula>"Need to update population table"</formula>
    </cfRule>
  </conditionalFormatting>
  <conditionalFormatting sqref="B21:C21">
    <cfRule type="cellIs" dxfId="16" priority="3" stopIfTrue="1" operator="equal">
      <formula>""</formula>
    </cfRule>
  </conditionalFormatting>
  <dataValidations count="4">
    <dataValidation type="list" allowBlank="1" showInputMessage="1" showErrorMessage="1" error="Please select the applicable State Fiscal Year from the drop-down list." prompt="Select the SFY from the drop-down list." sqref="B5">
      <formula1>SFY</formula1>
    </dataValidation>
    <dataValidation type="list" allowBlank="1" showInputMessage="1" showErrorMessage="1" error="Please select the appropriate quarter from the drop-down list." prompt="Select the Quarter from the drop-down list." sqref="B6">
      <formula1>"First Quarter,Second Quarter,Third Quarter,Fourth Quarter"</formula1>
    </dataValidation>
    <dataValidation type="whole" operator="greaterThanOrEqual" allowBlank="1" showInputMessage="1" showErrorMessage="1" error="Enter a whole number greater than or equal to &quot;0&quot;." sqref="B31:C31">
      <formula1>0</formula1>
    </dataValidation>
    <dataValidation type="list" allowBlank="1" showInputMessage="1" showErrorMessage="1" prompt="Select the LME-MCO from the drop-down list." sqref="B8:D8">
      <formula1>LME_MCO</formula1>
    </dataValidation>
  </dataValidations>
  <printOptions horizontalCentered="1"/>
  <pageMargins left="0.3" right="0.3" top="0.5" bottom="0.5" header="0.3" footer="0.3"/>
  <pageSetup scale="73" orientation="portrait" r:id="rId1"/>
  <headerFooter alignWithMargins="0">
    <oddHeader>&amp;CNorth Carolina Division of Mental Health/Developmental Disabilities/Substance Abuse Services</oddHeader>
    <oddFooter xml:space="preserve">&amp;L&amp;8DMHDDSAS - Quality Management Section - Form BP01&amp;R&amp;8Revised August 2016
</oddFooter>
  </headerFooter>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F60"/>
  <sheetViews>
    <sheetView showGridLines="0" workbookViewId="0">
      <selection activeCell="D7" sqref="D7"/>
    </sheetView>
  </sheetViews>
  <sheetFormatPr defaultColWidth="9.109375" defaultRowHeight="13.2" x14ac:dyDescent="0.25"/>
  <cols>
    <col min="1" max="1" width="3.6640625" style="45" customWidth="1"/>
    <col min="2" max="2" width="4.6640625" style="45" customWidth="1"/>
    <col min="3" max="3" width="53.109375" style="1" customWidth="1"/>
    <col min="4" max="4" width="12.5546875" style="1" customWidth="1"/>
    <col min="5" max="5" width="13" style="1" customWidth="1"/>
    <col min="6" max="6" width="13.109375" style="45" customWidth="1"/>
    <col min="7" max="16384" width="9.109375" style="1"/>
  </cols>
  <sheetData>
    <row r="1" spans="1:6" ht="21" x14ac:dyDescent="0.25">
      <c r="A1" s="288" t="s">
        <v>307</v>
      </c>
      <c r="B1" s="54"/>
      <c r="C1" s="6"/>
      <c r="D1" s="6"/>
      <c r="E1" s="6"/>
      <c r="F1" s="55"/>
    </row>
    <row r="2" spans="1:6" ht="18" customHeight="1" x14ac:dyDescent="0.25">
      <c r="A2" s="79" t="str">
        <f>IF('Page 1'!B8="","Please Enter LME-MCO on Page 1","LME-MCO:  "&amp;'Page 1'!B8)</f>
        <v>Please Enter LME-MCO on Page 1</v>
      </c>
      <c r="E2" s="6"/>
      <c r="F2" s="80" t="str">
        <f>IF('Page 1'!B5="","Please Enter SFY and Quarter on Page 1","SFY"&amp;'Page 1'!B5&amp;" "&amp;'Page 1'!B6)</f>
        <v>SFY2016-2017 First Quarter</v>
      </c>
    </row>
    <row r="3" spans="1:6" ht="18" customHeight="1" x14ac:dyDescent="0.25">
      <c r="A3" s="259" t="s">
        <v>273</v>
      </c>
      <c r="B3" s="56"/>
      <c r="C3" s="6"/>
      <c r="D3" s="6"/>
      <c r="E3" s="6"/>
      <c r="F3" s="6"/>
    </row>
    <row r="4" spans="1:6" ht="18" customHeight="1" x14ac:dyDescent="0.25">
      <c r="A4" s="108" t="s">
        <v>87</v>
      </c>
      <c r="B4" s="109"/>
      <c r="C4" s="110"/>
      <c r="D4" s="110"/>
      <c r="E4" s="110"/>
      <c r="F4" s="110"/>
    </row>
    <row r="5" spans="1:6" ht="30" customHeight="1" x14ac:dyDescent="0.25">
      <c r="A5" s="146"/>
      <c r="B5" s="147"/>
      <c r="C5" s="148"/>
      <c r="D5" s="149" t="s">
        <v>29</v>
      </c>
      <c r="E5" s="149" t="s">
        <v>18</v>
      </c>
      <c r="F5" s="150" t="s">
        <v>95</v>
      </c>
    </row>
    <row r="6" spans="1:6" ht="18" customHeight="1" x14ac:dyDescent="0.25">
      <c r="A6" s="52" t="s">
        <v>1</v>
      </c>
      <c r="B6" s="81" t="s">
        <v>308</v>
      </c>
      <c r="C6" s="47"/>
      <c r="D6" s="144" t="str">
        <f>IF('Page 1'!D31=0,"-",'Page 1'!D31)</f>
        <v>-</v>
      </c>
      <c r="E6" s="82"/>
      <c r="F6" s="82"/>
    </row>
    <row r="7" spans="1:6" ht="18" customHeight="1" x14ac:dyDescent="0.25">
      <c r="A7" s="52" t="s">
        <v>2</v>
      </c>
      <c r="B7" s="53" t="s">
        <v>62</v>
      </c>
      <c r="C7" s="47"/>
      <c r="D7" s="145"/>
      <c r="E7" s="82"/>
      <c r="F7" s="82"/>
    </row>
    <row r="8" spans="1:6" ht="18" customHeight="1" x14ac:dyDescent="0.25">
      <c r="A8" s="151" t="s">
        <v>4</v>
      </c>
      <c r="B8" s="152" t="s">
        <v>19</v>
      </c>
      <c r="C8" s="153"/>
      <c r="D8" s="154"/>
      <c r="E8" s="153"/>
      <c r="F8" s="155"/>
    </row>
    <row r="9" spans="1:6" ht="18" customHeight="1" x14ac:dyDescent="0.25">
      <c r="A9" s="51"/>
      <c r="B9" s="50" t="s">
        <v>3</v>
      </c>
      <c r="C9" s="48" t="s">
        <v>63</v>
      </c>
      <c r="D9" s="145"/>
      <c r="E9" s="46">
        <f>IF(D$7="",0,D9/D$7)</f>
        <v>0</v>
      </c>
      <c r="F9" s="360" t="str">
        <f>IF(SUM(D9:D10)-D$7=0,"=",SUM(D9:D10)-D$7)</f>
        <v>=</v>
      </c>
    </row>
    <row r="10" spans="1:6" ht="18" customHeight="1" x14ac:dyDescent="0.25">
      <c r="A10" s="51"/>
      <c r="B10" s="50" t="s">
        <v>57</v>
      </c>
      <c r="C10" s="48" t="s">
        <v>88</v>
      </c>
      <c r="D10" s="145"/>
      <c r="E10" s="46">
        <f>IF(D$7="",0,D10/D$7)</f>
        <v>0</v>
      </c>
      <c r="F10" s="361"/>
    </row>
    <row r="11" spans="1:6" ht="18" customHeight="1" x14ac:dyDescent="0.25">
      <c r="A11" s="151" t="s">
        <v>5</v>
      </c>
      <c r="B11" s="152" t="s">
        <v>22</v>
      </c>
      <c r="C11" s="152"/>
      <c r="D11" s="154"/>
      <c r="E11" s="153"/>
      <c r="F11" s="155"/>
    </row>
    <row r="12" spans="1:6" ht="18" customHeight="1" x14ac:dyDescent="0.25">
      <c r="A12" s="51"/>
      <c r="B12" s="50" t="s">
        <v>3</v>
      </c>
      <c r="C12" s="48" t="s">
        <v>23</v>
      </c>
      <c r="D12" s="145"/>
      <c r="E12" s="46">
        <f>IF(D$7="",0,D12/D$7)</f>
        <v>0</v>
      </c>
      <c r="F12" s="357" t="str">
        <f>IF(SUM(D12:D14)-D$7=0,"=",SUM(D12:D14)-D$7)</f>
        <v>=</v>
      </c>
    </row>
    <row r="13" spans="1:6" ht="18" customHeight="1" x14ac:dyDescent="0.25">
      <c r="A13" s="51"/>
      <c r="B13" s="50" t="s">
        <v>57</v>
      </c>
      <c r="C13" s="48" t="s">
        <v>24</v>
      </c>
      <c r="D13" s="145"/>
      <c r="E13" s="46">
        <f>IF(D$7="",0,D13/D$7)</f>
        <v>0</v>
      </c>
      <c r="F13" s="358"/>
    </row>
    <row r="14" spans="1:6" ht="18" customHeight="1" x14ac:dyDescent="0.25">
      <c r="A14" s="51"/>
      <c r="B14" s="50" t="s">
        <v>58</v>
      </c>
      <c r="C14" s="48" t="s">
        <v>25</v>
      </c>
      <c r="D14" s="145"/>
      <c r="E14" s="46">
        <f>IF(D$7="",0,D14/D$7)</f>
        <v>0</v>
      </c>
      <c r="F14" s="359"/>
    </row>
    <row r="15" spans="1:6" ht="18" customHeight="1" x14ac:dyDescent="0.25">
      <c r="A15" s="151" t="s">
        <v>6</v>
      </c>
      <c r="B15" s="152" t="s">
        <v>26</v>
      </c>
      <c r="C15" s="152"/>
      <c r="D15" s="154"/>
      <c r="E15" s="153"/>
      <c r="F15" s="155"/>
    </row>
    <row r="16" spans="1:6" ht="18" customHeight="1" x14ac:dyDescent="0.25">
      <c r="A16" s="51"/>
      <c r="B16" s="50" t="s">
        <v>3</v>
      </c>
      <c r="C16" s="48" t="s">
        <v>28</v>
      </c>
      <c r="D16" s="145"/>
      <c r="E16" s="46">
        <f>IF(D$7="",0,D16/D$7)</f>
        <v>0</v>
      </c>
      <c r="F16" s="357" t="str">
        <f>IF(SUM(D16:D17)-D$7=0,"=",SUM(D16:D17)-D$7)</f>
        <v>=</v>
      </c>
    </row>
    <row r="17" spans="1:6" ht="18" customHeight="1" x14ac:dyDescent="0.25">
      <c r="A17" s="51"/>
      <c r="B17" s="50" t="s">
        <v>57</v>
      </c>
      <c r="C17" s="48" t="s">
        <v>27</v>
      </c>
      <c r="D17" s="145"/>
      <c r="E17" s="46">
        <f>IF(D$7="",0,D17/D$7)</f>
        <v>0</v>
      </c>
      <c r="F17" s="359"/>
    </row>
    <row r="18" spans="1:6" ht="18" customHeight="1" x14ac:dyDescent="0.25">
      <c r="A18" s="151" t="s">
        <v>54</v>
      </c>
      <c r="B18" s="152" t="s">
        <v>20</v>
      </c>
      <c r="C18" s="152"/>
      <c r="D18" s="154"/>
      <c r="E18" s="153"/>
      <c r="F18" s="155"/>
    </row>
    <row r="19" spans="1:6" ht="18" customHeight="1" x14ac:dyDescent="0.25">
      <c r="A19" s="51"/>
      <c r="B19" s="50" t="s">
        <v>3</v>
      </c>
      <c r="C19" s="48" t="s">
        <v>30</v>
      </c>
      <c r="D19" s="145"/>
      <c r="E19" s="46">
        <f>IF(D$7="",0,D19/D$7)</f>
        <v>0</v>
      </c>
      <c r="F19" s="357" t="str">
        <f>IF(SUM(D19:D22)-D$7=0,"=",SUM(D19:D22)-D$7)</f>
        <v>=</v>
      </c>
    </row>
    <row r="20" spans="1:6" ht="18" customHeight="1" x14ac:dyDescent="0.25">
      <c r="A20" s="51"/>
      <c r="B20" s="50" t="s">
        <v>57</v>
      </c>
      <c r="C20" s="49" t="s">
        <v>31</v>
      </c>
      <c r="D20" s="145"/>
      <c r="E20" s="46">
        <f>IF(D$7="",0,D20/D$7)</f>
        <v>0</v>
      </c>
      <c r="F20" s="358"/>
    </row>
    <row r="21" spans="1:6" ht="18" customHeight="1" x14ac:dyDescent="0.25">
      <c r="A21" s="51"/>
      <c r="B21" s="50" t="s">
        <v>58</v>
      </c>
      <c r="C21" s="49" t="s">
        <v>32</v>
      </c>
      <c r="D21" s="145"/>
      <c r="E21" s="46">
        <f>IF(D$7="",0,D21/D$7)</f>
        <v>0</v>
      </c>
      <c r="F21" s="358"/>
    </row>
    <row r="22" spans="1:6" ht="18" customHeight="1" x14ac:dyDescent="0.25">
      <c r="A22" s="51"/>
      <c r="B22" s="50" t="s">
        <v>59</v>
      </c>
      <c r="C22" s="49" t="s">
        <v>33</v>
      </c>
      <c r="D22" s="145"/>
      <c r="E22" s="46">
        <f>IF(D$7="",0,D22/D$7)</f>
        <v>0</v>
      </c>
      <c r="F22" s="359"/>
    </row>
    <row r="23" spans="1:6" ht="18" customHeight="1" x14ac:dyDescent="0.25">
      <c r="A23" s="151" t="s">
        <v>55</v>
      </c>
      <c r="B23" s="152" t="s">
        <v>21</v>
      </c>
      <c r="C23" s="152"/>
      <c r="D23" s="154"/>
      <c r="E23" s="153"/>
      <c r="F23" s="155"/>
    </row>
    <row r="24" spans="1:6" ht="18" customHeight="1" x14ac:dyDescent="0.25">
      <c r="A24" s="51"/>
      <c r="B24" s="50" t="s">
        <v>3</v>
      </c>
      <c r="C24" s="49" t="s">
        <v>34</v>
      </c>
      <c r="D24" s="145"/>
      <c r="E24" s="46">
        <f t="shared" ref="E24:E29" si="0">IF(D$7="",0,D24/D$7)</f>
        <v>0</v>
      </c>
      <c r="F24" s="357" t="str">
        <f>IF(SUM(D24:D29)-D$7=0,"=",SUM(D24:D29)-D$7)</f>
        <v>=</v>
      </c>
    </row>
    <row r="25" spans="1:6" ht="18" customHeight="1" x14ac:dyDescent="0.25">
      <c r="A25" s="51"/>
      <c r="B25" s="50" t="s">
        <v>57</v>
      </c>
      <c r="C25" s="49" t="s">
        <v>35</v>
      </c>
      <c r="D25" s="145"/>
      <c r="E25" s="46">
        <f t="shared" si="0"/>
        <v>0</v>
      </c>
      <c r="F25" s="358"/>
    </row>
    <row r="26" spans="1:6" ht="18" customHeight="1" x14ac:dyDescent="0.25">
      <c r="A26" s="51"/>
      <c r="B26" s="50" t="s">
        <v>58</v>
      </c>
      <c r="C26" s="49" t="s">
        <v>36</v>
      </c>
      <c r="D26" s="145"/>
      <c r="E26" s="46">
        <f t="shared" si="0"/>
        <v>0</v>
      </c>
      <c r="F26" s="358"/>
    </row>
    <row r="27" spans="1:6" ht="18" customHeight="1" x14ac:dyDescent="0.25">
      <c r="A27" s="51"/>
      <c r="B27" s="50" t="s">
        <v>59</v>
      </c>
      <c r="C27" s="49" t="s">
        <v>37</v>
      </c>
      <c r="D27" s="145"/>
      <c r="E27" s="46">
        <f t="shared" si="0"/>
        <v>0</v>
      </c>
      <c r="F27" s="358"/>
    </row>
    <row r="28" spans="1:6" ht="18" customHeight="1" x14ac:dyDescent="0.25">
      <c r="A28" s="51"/>
      <c r="B28" s="50" t="s">
        <v>60</v>
      </c>
      <c r="C28" s="49" t="s">
        <v>38</v>
      </c>
      <c r="D28" s="145"/>
      <c r="E28" s="46">
        <f t="shared" si="0"/>
        <v>0</v>
      </c>
      <c r="F28" s="358"/>
    </row>
    <row r="29" spans="1:6" ht="18" customHeight="1" x14ac:dyDescent="0.25">
      <c r="A29" s="51"/>
      <c r="B29" s="50" t="s">
        <v>61</v>
      </c>
      <c r="C29" s="49" t="s">
        <v>39</v>
      </c>
      <c r="D29" s="145"/>
      <c r="E29" s="46">
        <f t="shared" si="0"/>
        <v>0</v>
      </c>
      <c r="F29" s="359"/>
    </row>
    <row r="30" spans="1:6" ht="18" customHeight="1" x14ac:dyDescent="0.25">
      <c r="A30" s="151" t="s">
        <v>56</v>
      </c>
      <c r="B30" s="152" t="s">
        <v>40</v>
      </c>
      <c r="C30" s="152"/>
      <c r="D30" s="154"/>
      <c r="E30" s="153"/>
      <c r="F30" s="155"/>
    </row>
    <row r="31" spans="1:6" ht="18" customHeight="1" x14ac:dyDescent="0.25">
      <c r="A31" s="51"/>
      <c r="B31" s="50" t="s">
        <v>3</v>
      </c>
      <c r="C31" s="49" t="s">
        <v>41</v>
      </c>
      <c r="D31" s="145"/>
      <c r="E31" s="46">
        <f>IF(D$7="",0,D31/D$7)</f>
        <v>0</v>
      </c>
      <c r="F31" s="357" t="str">
        <f>IF(SUM(D31:D34)-D$7=0,"=",SUM(D31:D34)-D$7)</f>
        <v>=</v>
      </c>
    </row>
    <row r="32" spans="1:6" ht="18" customHeight="1" x14ac:dyDescent="0.25">
      <c r="A32" s="51"/>
      <c r="B32" s="50" t="s">
        <v>57</v>
      </c>
      <c r="C32" s="49" t="s">
        <v>42</v>
      </c>
      <c r="D32" s="145"/>
      <c r="E32" s="46">
        <f>IF(D$7="",0,D32/D$7)</f>
        <v>0</v>
      </c>
      <c r="F32" s="358"/>
    </row>
    <row r="33" spans="1:6" ht="18" customHeight="1" x14ac:dyDescent="0.25">
      <c r="A33" s="51"/>
      <c r="B33" s="50" t="s">
        <v>58</v>
      </c>
      <c r="C33" s="49" t="s">
        <v>43</v>
      </c>
      <c r="D33" s="145"/>
      <c r="E33" s="46">
        <f>IF(D$7="",0,D33/D$7)</f>
        <v>0</v>
      </c>
      <c r="F33" s="358"/>
    </row>
    <row r="34" spans="1:6" ht="18" customHeight="1" x14ac:dyDescent="0.25">
      <c r="A34" s="51"/>
      <c r="B34" s="50" t="s">
        <v>59</v>
      </c>
      <c r="C34" s="49" t="s">
        <v>44</v>
      </c>
      <c r="D34" s="145"/>
      <c r="E34" s="46">
        <f>IF(D$7="",0,D34/D$7)</f>
        <v>0</v>
      </c>
      <c r="F34" s="359"/>
    </row>
    <row r="35" spans="1:6" ht="18" customHeight="1" x14ac:dyDescent="0.25">
      <c r="A35" s="260" t="s">
        <v>90</v>
      </c>
    </row>
    <row r="36" spans="1:6" x14ac:dyDescent="0.25">
      <c r="A36" s="116" t="s">
        <v>89</v>
      </c>
    </row>
    <row r="55" spans="6:6" s="17" customFormat="1" x14ac:dyDescent="0.25">
      <c r="F55" s="35"/>
    </row>
    <row r="56" spans="6:6" s="17" customFormat="1" x14ac:dyDescent="0.25">
      <c r="F56" s="35"/>
    </row>
    <row r="57" spans="6:6" s="17" customFormat="1" x14ac:dyDescent="0.25">
      <c r="F57" s="35"/>
    </row>
    <row r="58" spans="6:6" s="17" customFormat="1" x14ac:dyDescent="0.25">
      <c r="F58" s="35"/>
    </row>
    <row r="59" spans="6:6" s="17" customFormat="1" x14ac:dyDescent="0.25">
      <c r="F59" s="35"/>
    </row>
    <row r="60" spans="6:6" s="17" customFormat="1" x14ac:dyDescent="0.25">
      <c r="F60" s="35"/>
    </row>
  </sheetData>
  <sheetProtection sheet="1" objects="1" scenarios="1"/>
  <mergeCells count="6">
    <mergeCell ref="F31:F34"/>
    <mergeCell ref="F9:F10"/>
    <mergeCell ref="F12:F14"/>
    <mergeCell ref="F16:F17"/>
    <mergeCell ref="F19:F22"/>
    <mergeCell ref="F24:F29"/>
  </mergeCells>
  <conditionalFormatting sqref="D7 D9:D10 D12:D14 D16:D17 D19:D22 D24:D29 D31:D34">
    <cfRule type="cellIs" dxfId="15" priority="7" stopIfTrue="1" operator="equal">
      <formula>""</formula>
    </cfRule>
  </conditionalFormatting>
  <conditionalFormatting sqref="F9 F12 F16 F19 F24 F31">
    <cfRule type="expression" dxfId="14" priority="4" stopIfTrue="1">
      <formula>AND(F9&lt;&gt;0,F9&lt;&gt;"=")</formula>
    </cfRule>
  </conditionalFormatting>
  <conditionalFormatting sqref="A2">
    <cfRule type="cellIs" dxfId="13" priority="3" operator="equal">
      <formula>"Please Enter LME-MCO on Page 1"</formula>
    </cfRule>
  </conditionalFormatting>
  <conditionalFormatting sqref="F2">
    <cfRule type="cellIs" dxfId="12" priority="2" operator="equal">
      <formula>"Please Enter SFY and Quarter on Page 1"</formula>
    </cfRule>
  </conditionalFormatting>
  <printOptions horizontalCentered="1"/>
  <pageMargins left="0.3" right="0.3" top="0.5" bottom="0.5" header="0.3" footer="0.3"/>
  <pageSetup orientation="portrait" r:id="rId1"/>
  <headerFooter>
    <oddHeader>&amp;CNorth Carolina Division of Mental Health/Developmental Disabilities/Substance Abuse Services</oddHeader>
    <oddFooter>&amp;LDMHDDSAS - Quality Management Section - Form BP01 (Page 2)&amp;RRevised August 2016</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E39"/>
  <sheetViews>
    <sheetView showGridLines="0" workbookViewId="0">
      <pane xSplit="1" ySplit="6" topLeftCell="B22" activePane="bottomRight" state="frozen"/>
      <selection activeCell="A11" sqref="A11"/>
      <selection pane="topRight" activeCell="A11" sqref="A11"/>
      <selection pane="bottomLeft" activeCell="A11" sqref="A11"/>
      <selection pane="bottomRight" activeCell="A7" sqref="A7"/>
    </sheetView>
  </sheetViews>
  <sheetFormatPr defaultColWidth="9.109375" defaultRowHeight="13.2" x14ac:dyDescent="0.25"/>
  <cols>
    <col min="1" max="1" width="13.33203125" style="170" bestFit="1" customWidth="1"/>
    <col min="2" max="8" width="9.109375" style="170"/>
    <col min="9" max="9" width="12.6640625" style="170" customWidth="1"/>
    <col min="10" max="12" width="9.109375" style="170"/>
    <col min="13" max="13" width="11.6640625" style="170" customWidth="1"/>
    <col min="14" max="20" width="9.109375" style="170"/>
    <col min="21" max="21" width="12.6640625" style="170" customWidth="1"/>
    <col min="22" max="24" width="9.109375" style="170"/>
    <col min="25" max="25" width="11.6640625" style="170" customWidth="1"/>
    <col min="26" max="26" width="12.6640625" style="170" customWidth="1"/>
    <col min="27" max="16384" width="9.109375" style="170"/>
  </cols>
  <sheetData>
    <row r="1" spans="1:31" ht="39" customHeight="1" x14ac:dyDescent="0.25">
      <c r="A1" s="364" t="s">
        <v>298</v>
      </c>
      <c r="B1" s="364"/>
      <c r="C1" s="364"/>
      <c r="D1" s="364"/>
      <c r="E1" s="364"/>
      <c r="F1" s="364"/>
      <c r="G1" s="364"/>
      <c r="H1" s="364"/>
      <c r="I1" s="364"/>
      <c r="J1" s="364"/>
      <c r="K1" s="364"/>
      <c r="L1" s="364"/>
      <c r="M1" s="364"/>
      <c r="N1" s="364"/>
      <c r="O1" s="364"/>
      <c r="P1" s="364"/>
      <c r="Q1" s="364"/>
      <c r="R1" s="364"/>
      <c r="S1" s="364"/>
      <c r="T1" s="364"/>
      <c r="U1" s="364"/>
      <c r="V1" s="364"/>
      <c r="W1" s="364"/>
      <c r="X1" s="364"/>
      <c r="Y1" s="364"/>
      <c r="Z1" s="364"/>
      <c r="AA1" s="364"/>
    </row>
    <row r="2" spans="1:31" ht="20.100000000000001" customHeight="1" x14ac:dyDescent="0.25">
      <c r="A2" s="289" t="s">
        <v>252</v>
      </c>
      <c r="G2" s="293"/>
      <c r="H2" s="294"/>
      <c r="I2" s="294"/>
      <c r="J2" s="294"/>
      <c r="K2" s="294"/>
      <c r="L2" s="294"/>
      <c r="M2" s="294"/>
      <c r="N2" s="294"/>
      <c r="O2" s="294"/>
      <c r="P2" s="294"/>
      <c r="Q2" s="294"/>
      <c r="R2" s="294"/>
      <c r="S2" s="294"/>
      <c r="T2" s="294"/>
      <c r="U2" s="294"/>
      <c r="V2" s="294"/>
      <c r="W2" s="294"/>
      <c r="X2" s="294"/>
      <c r="Y2" s="294"/>
      <c r="Z2" s="294"/>
      <c r="AA2" s="294"/>
    </row>
    <row r="3" spans="1:31" ht="24.9" customHeight="1" thickBot="1" x14ac:dyDescent="0.3">
      <c r="A3" s="290" t="s">
        <v>240</v>
      </c>
      <c r="B3" s="305" t="str">
        <f>IF('Page 1'!$B$8="","Enter LME-MCO on the Page 1 worksheet",'Page 1'!$B$8)</f>
        <v>Enter LME-MCO on the Page 1 worksheet</v>
      </c>
      <c r="G3" s="295"/>
      <c r="H3" s="290" t="str">
        <f>"SFY"&amp;RIGHT('Page 1'!B5,4)&amp;"  "&amp;'Page 1'!B6</f>
        <v>SFY2017  First Quarter</v>
      </c>
      <c r="I3" s="294"/>
      <c r="J3" s="294"/>
      <c r="K3" s="294"/>
      <c r="L3" s="294"/>
      <c r="M3" s="294"/>
      <c r="N3" s="294"/>
      <c r="O3" s="294"/>
      <c r="P3" s="294"/>
      <c r="Q3" s="294"/>
      <c r="R3" s="294"/>
      <c r="S3" s="294"/>
      <c r="T3" s="294"/>
      <c r="U3" s="294"/>
      <c r="V3" s="294"/>
      <c r="W3" s="294"/>
      <c r="X3" s="294"/>
      <c r="Y3" s="294"/>
      <c r="Z3" s="294"/>
      <c r="AA3" s="294"/>
    </row>
    <row r="4" spans="1:31" ht="140.1" customHeight="1" thickTop="1" thickBot="1" x14ac:dyDescent="0.3">
      <c r="A4" s="296"/>
      <c r="B4" s="193" t="s">
        <v>248</v>
      </c>
      <c r="C4" s="194" t="s">
        <v>243</v>
      </c>
      <c r="D4" s="194" t="s">
        <v>244</v>
      </c>
      <c r="E4" s="193" t="s">
        <v>247</v>
      </c>
      <c r="F4" s="194" t="s">
        <v>245</v>
      </c>
      <c r="G4" s="193" t="s">
        <v>249</v>
      </c>
      <c r="H4" s="194" t="s">
        <v>246</v>
      </c>
      <c r="I4" s="278" t="s">
        <v>281</v>
      </c>
      <c r="J4" s="195" t="s">
        <v>278</v>
      </c>
      <c r="K4" s="195" t="s">
        <v>279</v>
      </c>
      <c r="L4" s="196" t="s">
        <v>280</v>
      </c>
      <c r="M4" s="198" t="s">
        <v>309</v>
      </c>
      <c r="N4" s="175" t="s">
        <v>248</v>
      </c>
      <c r="O4" s="176" t="s">
        <v>243</v>
      </c>
      <c r="P4" s="176" t="s">
        <v>244</v>
      </c>
      <c r="Q4" s="175" t="s">
        <v>247</v>
      </c>
      <c r="R4" s="176" t="s">
        <v>245</v>
      </c>
      <c r="S4" s="175" t="s">
        <v>249</v>
      </c>
      <c r="T4" s="176" t="s">
        <v>246</v>
      </c>
      <c r="U4" s="177" t="s">
        <v>281</v>
      </c>
      <c r="V4" s="184" t="s">
        <v>278</v>
      </c>
      <c r="W4" s="184" t="s">
        <v>279</v>
      </c>
      <c r="X4" s="185" t="s">
        <v>280</v>
      </c>
      <c r="Y4" s="186" t="s">
        <v>309</v>
      </c>
      <c r="Z4" s="292" t="s">
        <v>294</v>
      </c>
    </row>
    <row r="5" spans="1:31" ht="20.100000000000001" customHeight="1" thickTop="1" thickBot="1" x14ac:dyDescent="0.3">
      <c r="A5" s="182" t="s">
        <v>315</v>
      </c>
      <c r="B5" s="199" t="s">
        <v>10</v>
      </c>
      <c r="C5" s="199"/>
      <c r="D5" s="199"/>
      <c r="E5" s="200" t="s">
        <v>11</v>
      </c>
      <c r="F5" s="199"/>
      <c r="G5" s="200" t="s">
        <v>12</v>
      </c>
      <c r="H5" s="199"/>
      <c r="I5" s="199"/>
      <c r="J5" s="276" t="s">
        <v>277</v>
      </c>
      <c r="K5" s="202"/>
      <c r="L5" s="277"/>
      <c r="M5" s="201" t="s">
        <v>242</v>
      </c>
      <c r="N5" s="178" t="s">
        <v>10</v>
      </c>
      <c r="O5" s="179"/>
      <c r="P5" s="179"/>
      <c r="Q5" s="178" t="s">
        <v>11</v>
      </c>
      <c r="R5" s="179"/>
      <c r="S5" s="178" t="s">
        <v>12</v>
      </c>
      <c r="T5" s="179"/>
      <c r="U5" s="179"/>
      <c r="V5" s="180" t="s">
        <v>277</v>
      </c>
      <c r="W5" s="279"/>
      <c r="X5" s="280"/>
      <c r="Y5" s="281" t="s">
        <v>242</v>
      </c>
      <c r="Z5" s="362" t="s">
        <v>282</v>
      </c>
    </row>
    <row r="6" spans="1:31" ht="20.100000000000001" customHeight="1" thickTop="1" thickBot="1" x14ac:dyDescent="0.3">
      <c r="A6" s="183" t="s">
        <v>251</v>
      </c>
      <c r="B6" s="202" t="s">
        <v>13</v>
      </c>
      <c r="C6" s="203"/>
      <c r="D6" s="203"/>
      <c r="E6" s="203"/>
      <c r="F6" s="203"/>
      <c r="G6" s="203"/>
      <c r="H6" s="203"/>
      <c r="I6" s="203"/>
      <c r="J6" s="203"/>
      <c r="K6" s="203"/>
      <c r="L6" s="203"/>
      <c r="M6" s="204"/>
      <c r="N6" s="180" t="s">
        <v>15</v>
      </c>
      <c r="O6" s="181"/>
      <c r="P6" s="181"/>
      <c r="Q6" s="181"/>
      <c r="R6" s="181"/>
      <c r="S6" s="181"/>
      <c r="T6" s="181"/>
      <c r="U6" s="181"/>
      <c r="V6" s="181"/>
      <c r="W6" s="181"/>
      <c r="X6" s="181"/>
      <c r="Y6" s="181"/>
      <c r="Z6" s="363"/>
    </row>
    <row r="7" spans="1:31" ht="15" customHeight="1" thickTop="1" x14ac:dyDescent="0.25">
      <c r="A7" s="191" t="str">
        <f>IF($B$3="Enter LME-MCO on the Page 1 worksheet","",IF(VLOOKUP($B$3,County_Lookup,2,FALSE)=0,"",VLOOKUP($B$3,County_Lookup,2,FALSE)))</f>
        <v/>
      </c>
      <c r="B7" s="205"/>
      <c r="C7" s="205"/>
      <c r="D7" s="205"/>
      <c r="E7" s="205"/>
      <c r="F7" s="205"/>
      <c r="G7" s="205"/>
      <c r="H7" s="205"/>
      <c r="I7" s="207"/>
      <c r="J7" s="206">
        <f t="shared" ref="J7:J32" si="0">IF(B7=0,0,SUM(C7:D7)/B7)</f>
        <v>0</v>
      </c>
      <c r="K7" s="206">
        <f t="shared" ref="K7:K32" si="1">IF(E7=0,0,F7/E7)</f>
        <v>0</v>
      </c>
      <c r="L7" s="206">
        <f t="shared" ref="L7:L32" si="2">IF(G7=0,0,H7/G7)</f>
        <v>0</v>
      </c>
      <c r="M7" s="208">
        <f t="shared" ref="M7:M32" si="3">SUM(B7,E7,G7)</f>
        <v>0</v>
      </c>
      <c r="N7" s="205"/>
      <c r="O7" s="205"/>
      <c r="P7" s="205"/>
      <c r="Q7" s="205"/>
      <c r="R7" s="205"/>
      <c r="S7" s="205"/>
      <c r="T7" s="205"/>
      <c r="U7" s="207"/>
      <c r="V7" s="206">
        <f t="shared" ref="V7:V32" si="4">IF(N7=0,0,SUM(O7:P7)/N7)</f>
        <v>0</v>
      </c>
      <c r="W7" s="206">
        <f t="shared" ref="W7:W32" si="5">IF(Q7=0,0,R7/Q7)</f>
        <v>0</v>
      </c>
      <c r="X7" s="206">
        <f t="shared" ref="X7:X32" si="6">IF(S7=0,0,T7/S7)</f>
        <v>0</v>
      </c>
      <c r="Y7" s="282">
        <f t="shared" ref="Y7:Y32" si="7">SUM(N7,Q7,S7)</f>
        <v>0</v>
      </c>
      <c r="Z7" s="285"/>
      <c r="AE7" s="304"/>
    </row>
    <row r="8" spans="1:31" ht="15" customHeight="1" x14ac:dyDescent="0.25">
      <c r="A8" s="192" t="str">
        <f>IF($B$3="Enter LME-MCO on the Page 1 worksheet","",IF(VLOOKUP($B$3,County_Lookup,3,FALSE)=0,"",VLOOKUP($B$3,County_Lookup,3,FALSE)))</f>
        <v/>
      </c>
      <c r="B8" s="209"/>
      <c r="C8" s="209"/>
      <c r="D8" s="209"/>
      <c r="E8" s="209"/>
      <c r="F8" s="209"/>
      <c r="G8" s="209"/>
      <c r="H8" s="209"/>
      <c r="I8" s="211"/>
      <c r="J8" s="210">
        <f t="shared" si="0"/>
        <v>0</v>
      </c>
      <c r="K8" s="210">
        <f t="shared" si="1"/>
        <v>0</v>
      </c>
      <c r="L8" s="210">
        <f t="shared" si="2"/>
        <v>0</v>
      </c>
      <c r="M8" s="212">
        <f t="shared" si="3"/>
        <v>0</v>
      </c>
      <c r="N8" s="209"/>
      <c r="O8" s="209"/>
      <c r="P8" s="209"/>
      <c r="Q8" s="209"/>
      <c r="R8" s="209"/>
      <c r="S8" s="209"/>
      <c r="T8" s="209"/>
      <c r="U8" s="211"/>
      <c r="V8" s="210">
        <f t="shared" si="4"/>
        <v>0</v>
      </c>
      <c r="W8" s="210">
        <f t="shared" si="5"/>
        <v>0</v>
      </c>
      <c r="X8" s="210">
        <f t="shared" si="6"/>
        <v>0</v>
      </c>
      <c r="Y8" s="283">
        <f t="shared" si="7"/>
        <v>0</v>
      </c>
      <c r="Z8" s="286"/>
    </row>
    <row r="9" spans="1:31" ht="15" customHeight="1" x14ac:dyDescent="0.25">
      <c r="A9" s="192" t="str">
        <f>IF($B$3="Enter LME-MCO on the Page 1 worksheet","",IF(VLOOKUP($B$3,County_Lookup,4,FALSE)=0,"",VLOOKUP($B$3,County_Lookup,4,FALSE)))</f>
        <v/>
      </c>
      <c r="B9" s="209"/>
      <c r="C9" s="209"/>
      <c r="D9" s="209"/>
      <c r="E9" s="209"/>
      <c r="F9" s="209"/>
      <c r="G9" s="209"/>
      <c r="H9" s="209"/>
      <c r="I9" s="211"/>
      <c r="J9" s="210">
        <f t="shared" si="0"/>
        <v>0</v>
      </c>
      <c r="K9" s="210">
        <f t="shared" si="1"/>
        <v>0</v>
      </c>
      <c r="L9" s="210">
        <f t="shared" si="2"/>
        <v>0</v>
      </c>
      <c r="M9" s="212">
        <f t="shared" si="3"/>
        <v>0</v>
      </c>
      <c r="N9" s="209"/>
      <c r="O9" s="209"/>
      <c r="P9" s="209"/>
      <c r="Q9" s="209"/>
      <c r="R9" s="209"/>
      <c r="S9" s="209"/>
      <c r="T9" s="209"/>
      <c r="U9" s="211"/>
      <c r="V9" s="210">
        <f t="shared" si="4"/>
        <v>0</v>
      </c>
      <c r="W9" s="210">
        <f t="shared" si="5"/>
        <v>0</v>
      </c>
      <c r="X9" s="210">
        <f t="shared" si="6"/>
        <v>0</v>
      </c>
      <c r="Y9" s="283">
        <f t="shared" si="7"/>
        <v>0</v>
      </c>
      <c r="Z9" s="286"/>
    </row>
    <row r="10" spans="1:31" ht="15" customHeight="1" x14ac:dyDescent="0.25">
      <c r="A10" s="192" t="str">
        <f>IF($B$3="Enter LME-MCO on the Page 1 worksheet","",IF(VLOOKUP($B$3,County_Lookup,5,FALSE)=0,"",VLOOKUP($B$3,County_Lookup,5,FALSE)))</f>
        <v/>
      </c>
      <c r="B10" s="209"/>
      <c r="C10" s="209"/>
      <c r="D10" s="209"/>
      <c r="E10" s="209"/>
      <c r="F10" s="209"/>
      <c r="G10" s="209"/>
      <c r="H10" s="209"/>
      <c r="I10" s="211"/>
      <c r="J10" s="210">
        <f t="shared" si="0"/>
        <v>0</v>
      </c>
      <c r="K10" s="210">
        <f t="shared" si="1"/>
        <v>0</v>
      </c>
      <c r="L10" s="210">
        <f t="shared" si="2"/>
        <v>0</v>
      </c>
      <c r="M10" s="212">
        <f t="shared" si="3"/>
        <v>0</v>
      </c>
      <c r="N10" s="209"/>
      <c r="O10" s="209"/>
      <c r="P10" s="209"/>
      <c r="Q10" s="209"/>
      <c r="R10" s="209"/>
      <c r="S10" s="209"/>
      <c r="T10" s="209"/>
      <c r="U10" s="211"/>
      <c r="V10" s="210">
        <f t="shared" si="4"/>
        <v>0</v>
      </c>
      <c r="W10" s="210">
        <f t="shared" si="5"/>
        <v>0</v>
      </c>
      <c r="X10" s="210">
        <f t="shared" si="6"/>
        <v>0</v>
      </c>
      <c r="Y10" s="283">
        <f t="shared" si="7"/>
        <v>0</v>
      </c>
      <c r="Z10" s="286"/>
    </row>
    <row r="11" spans="1:31" ht="15" customHeight="1" x14ac:dyDescent="0.25">
      <c r="A11" s="192" t="str">
        <f>IF($B$3="Enter LME-MCO on the Page 1 worksheet","",IF(VLOOKUP($B$3,County_Lookup,6,FALSE)=0,"",VLOOKUP($B$3,County_Lookup,6,FALSE)))</f>
        <v/>
      </c>
      <c r="B11" s="209"/>
      <c r="C11" s="209"/>
      <c r="D11" s="209"/>
      <c r="E11" s="209"/>
      <c r="F11" s="209"/>
      <c r="G11" s="209"/>
      <c r="H11" s="209"/>
      <c r="I11" s="211"/>
      <c r="J11" s="210">
        <f t="shared" si="0"/>
        <v>0</v>
      </c>
      <c r="K11" s="210">
        <f t="shared" si="1"/>
        <v>0</v>
      </c>
      <c r="L11" s="210">
        <f t="shared" si="2"/>
        <v>0</v>
      </c>
      <c r="M11" s="212">
        <f t="shared" si="3"/>
        <v>0</v>
      </c>
      <c r="N11" s="209"/>
      <c r="O11" s="209"/>
      <c r="P11" s="209"/>
      <c r="Q11" s="209"/>
      <c r="R11" s="209"/>
      <c r="S11" s="209"/>
      <c r="T11" s="209"/>
      <c r="U11" s="211"/>
      <c r="V11" s="210">
        <f t="shared" si="4"/>
        <v>0</v>
      </c>
      <c r="W11" s="210">
        <f t="shared" si="5"/>
        <v>0</v>
      </c>
      <c r="X11" s="210">
        <f t="shared" si="6"/>
        <v>0</v>
      </c>
      <c r="Y11" s="283">
        <f t="shared" si="7"/>
        <v>0</v>
      </c>
      <c r="Z11" s="286"/>
    </row>
    <row r="12" spans="1:31" ht="15" customHeight="1" x14ac:dyDescent="0.25">
      <c r="A12" s="192" t="str">
        <f>IF($B$3="Enter LME-MCO on the Page 1 worksheet","",IF(VLOOKUP($B$3,County_Lookup,7,FALSE)=0,"",VLOOKUP($B$3,County_Lookup,7,FALSE)))</f>
        <v/>
      </c>
      <c r="B12" s="209"/>
      <c r="C12" s="209"/>
      <c r="D12" s="209"/>
      <c r="E12" s="209"/>
      <c r="F12" s="209"/>
      <c r="G12" s="209"/>
      <c r="H12" s="209"/>
      <c r="I12" s="211"/>
      <c r="J12" s="210">
        <f t="shared" si="0"/>
        <v>0</v>
      </c>
      <c r="K12" s="210">
        <f t="shared" si="1"/>
        <v>0</v>
      </c>
      <c r="L12" s="210">
        <f t="shared" si="2"/>
        <v>0</v>
      </c>
      <c r="M12" s="212">
        <f t="shared" si="3"/>
        <v>0</v>
      </c>
      <c r="N12" s="209"/>
      <c r="O12" s="209"/>
      <c r="P12" s="209"/>
      <c r="Q12" s="209"/>
      <c r="R12" s="209"/>
      <c r="S12" s="209"/>
      <c r="T12" s="209"/>
      <c r="U12" s="211"/>
      <c r="V12" s="210">
        <f t="shared" si="4"/>
        <v>0</v>
      </c>
      <c r="W12" s="210">
        <f t="shared" si="5"/>
        <v>0</v>
      </c>
      <c r="X12" s="210">
        <f t="shared" si="6"/>
        <v>0</v>
      </c>
      <c r="Y12" s="283">
        <f t="shared" si="7"/>
        <v>0</v>
      </c>
      <c r="Z12" s="286"/>
    </row>
    <row r="13" spans="1:31" ht="15" customHeight="1" x14ac:dyDescent="0.25">
      <c r="A13" s="192" t="str">
        <f>IF($B$3="Enter LME-MCO on the Page 1 worksheet","",IF(VLOOKUP($B$3,County_Lookup,8,FALSE)=0,"",VLOOKUP($B$3,County_Lookup,8,FALSE)))</f>
        <v/>
      </c>
      <c r="B13" s="209"/>
      <c r="C13" s="209"/>
      <c r="D13" s="209"/>
      <c r="E13" s="209"/>
      <c r="F13" s="209"/>
      <c r="G13" s="209"/>
      <c r="H13" s="209"/>
      <c r="I13" s="211"/>
      <c r="J13" s="210">
        <f t="shared" si="0"/>
        <v>0</v>
      </c>
      <c r="K13" s="210">
        <f t="shared" si="1"/>
        <v>0</v>
      </c>
      <c r="L13" s="210">
        <f t="shared" si="2"/>
        <v>0</v>
      </c>
      <c r="M13" s="212">
        <f t="shared" si="3"/>
        <v>0</v>
      </c>
      <c r="N13" s="209"/>
      <c r="O13" s="209"/>
      <c r="P13" s="209"/>
      <c r="Q13" s="209"/>
      <c r="R13" s="209"/>
      <c r="S13" s="209"/>
      <c r="T13" s="209"/>
      <c r="U13" s="211"/>
      <c r="V13" s="210">
        <f t="shared" si="4"/>
        <v>0</v>
      </c>
      <c r="W13" s="210">
        <f t="shared" si="5"/>
        <v>0</v>
      </c>
      <c r="X13" s="210">
        <f t="shared" si="6"/>
        <v>0</v>
      </c>
      <c r="Y13" s="283">
        <f t="shared" si="7"/>
        <v>0</v>
      </c>
      <c r="Z13" s="286"/>
    </row>
    <row r="14" spans="1:31" ht="15" customHeight="1" x14ac:dyDescent="0.25">
      <c r="A14" s="192" t="str">
        <f>IF($B$3="Enter LME-MCO on the Page 1 worksheet","",IF(VLOOKUP($B$3,County_Lookup,9,FALSE)=0,"",VLOOKUP($B$3,County_Lookup,9,FALSE)))</f>
        <v/>
      </c>
      <c r="B14" s="209"/>
      <c r="C14" s="209"/>
      <c r="D14" s="209"/>
      <c r="E14" s="209"/>
      <c r="F14" s="209"/>
      <c r="G14" s="209"/>
      <c r="H14" s="209"/>
      <c r="I14" s="211"/>
      <c r="J14" s="210">
        <f t="shared" si="0"/>
        <v>0</v>
      </c>
      <c r="K14" s="210">
        <f t="shared" si="1"/>
        <v>0</v>
      </c>
      <c r="L14" s="210">
        <f t="shared" si="2"/>
        <v>0</v>
      </c>
      <c r="M14" s="212">
        <f t="shared" si="3"/>
        <v>0</v>
      </c>
      <c r="N14" s="209"/>
      <c r="O14" s="209"/>
      <c r="P14" s="209"/>
      <c r="Q14" s="209"/>
      <c r="R14" s="209"/>
      <c r="S14" s="209"/>
      <c r="T14" s="209"/>
      <c r="U14" s="211"/>
      <c r="V14" s="210">
        <f t="shared" si="4"/>
        <v>0</v>
      </c>
      <c r="W14" s="210">
        <f t="shared" si="5"/>
        <v>0</v>
      </c>
      <c r="X14" s="210">
        <f t="shared" si="6"/>
        <v>0</v>
      </c>
      <c r="Y14" s="283">
        <f t="shared" si="7"/>
        <v>0</v>
      </c>
      <c r="Z14" s="286"/>
    </row>
    <row r="15" spans="1:31" ht="15" customHeight="1" x14ac:dyDescent="0.25">
      <c r="A15" s="192" t="str">
        <f>IF($B$3="Enter LME-MCO on the Page 1 worksheet","",IF(VLOOKUP($B$3,County_Lookup,10,FALSE)=0,"",VLOOKUP($B$3,County_Lookup,10,FALSE)))</f>
        <v/>
      </c>
      <c r="B15" s="209"/>
      <c r="C15" s="209"/>
      <c r="D15" s="209"/>
      <c r="E15" s="209"/>
      <c r="F15" s="209"/>
      <c r="G15" s="209"/>
      <c r="H15" s="209"/>
      <c r="I15" s="211"/>
      <c r="J15" s="210">
        <f t="shared" si="0"/>
        <v>0</v>
      </c>
      <c r="K15" s="210">
        <f t="shared" si="1"/>
        <v>0</v>
      </c>
      <c r="L15" s="210">
        <f t="shared" si="2"/>
        <v>0</v>
      </c>
      <c r="M15" s="212">
        <f t="shared" si="3"/>
        <v>0</v>
      </c>
      <c r="N15" s="209"/>
      <c r="O15" s="209"/>
      <c r="P15" s="209"/>
      <c r="Q15" s="209"/>
      <c r="R15" s="209"/>
      <c r="S15" s="209"/>
      <c r="T15" s="209"/>
      <c r="U15" s="211"/>
      <c r="V15" s="210">
        <f t="shared" si="4"/>
        <v>0</v>
      </c>
      <c r="W15" s="210">
        <f t="shared" si="5"/>
        <v>0</v>
      </c>
      <c r="X15" s="210">
        <f t="shared" si="6"/>
        <v>0</v>
      </c>
      <c r="Y15" s="283">
        <f t="shared" si="7"/>
        <v>0</v>
      </c>
      <c r="Z15" s="286"/>
    </row>
    <row r="16" spans="1:31" ht="15" customHeight="1" x14ac:dyDescent="0.25">
      <c r="A16" s="192" t="str">
        <f>IF($B$3="Enter LME-MCO on the Page 1 worksheet","",IF(VLOOKUP($B$3,County_Lookup,11,FALSE)=0,"",VLOOKUP($B$3,County_Lookup,11,FALSE)))</f>
        <v/>
      </c>
      <c r="B16" s="209"/>
      <c r="C16" s="209"/>
      <c r="D16" s="209"/>
      <c r="E16" s="209"/>
      <c r="F16" s="209"/>
      <c r="G16" s="209"/>
      <c r="H16" s="209"/>
      <c r="I16" s="211"/>
      <c r="J16" s="210">
        <f t="shared" si="0"/>
        <v>0</v>
      </c>
      <c r="K16" s="210">
        <f t="shared" si="1"/>
        <v>0</v>
      </c>
      <c r="L16" s="210">
        <f t="shared" si="2"/>
        <v>0</v>
      </c>
      <c r="M16" s="212">
        <f t="shared" si="3"/>
        <v>0</v>
      </c>
      <c r="N16" s="209"/>
      <c r="O16" s="209"/>
      <c r="P16" s="209"/>
      <c r="Q16" s="209"/>
      <c r="R16" s="209"/>
      <c r="S16" s="209"/>
      <c r="T16" s="209"/>
      <c r="U16" s="211"/>
      <c r="V16" s="210">
        <f t="shared" si="4"/>
        <v>0</v>
      </c>
      <c r="W16" s="210">
        <f t="shared" si="5"/>
        <v>0</v>
      </c>
      <c r="X16" s="210">
        <f t="shared" si="6"/>
        <v>0</v>
      </c>
      <c r="Y16" s="283">
        <f t="shared" si="7"/>
        <v>0</v>
      </c>
      <c r="Z16" s="286"/>
    </row>
    <row r="17" spans="1:26" ht="15" customHeight="1" x14ac:dyDescent="0.25">
      <c r="A17" s="192" t="str">
        <f>IF($B$3="Enter LME-MCO on the Page 1 worksheet","",IF(VLOOKUP($B$3,County_Lookup,12,FALSE)=0,"",VLOOKUP($B$3,County_Lookup,12,FALSE)))</f>
        <v/>
      </c>
      <c r="B17" s="209"/>
      <c r="C17" s="209"/>
      <c r="D17" s="209"/>
      <c r="E17" s="209"/>
      <c r="F17" s="209"/>
      <c r="G17" s="209"/>
      <c r="H17" s="209"/>
      <c r="I17" s="211"/>
      <c r="J17" s="210">
        <f t="shared" si="0"/>
        <v>0</v>
      </c>
      <c r="K17" s="210">
        <f t="shared" si="1"/>
        <v>0</v>
      </c>
      <c r="L17" s="210">
        <f t="shared" si="2"/>
        <v>0</v>
      </c>
      <c r="M17" s="212">
        <f t="shared" si="3"/>
        <v>0</v>
      </c>
      <c r="N17" s="209"/>
      <c r="O17" s="209"/>
      <c r="P17" s="209"/>
      <c r="Q17" s="209"/>
      <c r="R17" s="209"/>
      <c r="S17" s="209"/>
      <c r="T17" s="209"/>
      <c r="U17" s="211"/>
      <c r="V17" s="210">
        <f t="shared" si="4"/>
        <v>0</v>
      </c>
      <c r="W17" s="210">
        <f t="shared" si="5"/>
        <v>0</v>
      </c>
      <c r="X17" s="210">
        <f t="shared" si="6"/>
        <v>0</v>
      </c>
      <c r="Y17" s="283">
        <f t="shared" si="7"/>
        <v>0</v>
      </c>
      <c r="Z17" s="286"/>
    </row>
    <row r="18" spans="1:26" ht="15" customHeight="1" x14ac:dyDescent="0.25">
      <c r="A18" s="192" t="str">
        <f>IF($B$3="Enter LME-MCO on the Page 1 worksheet","",IF(VLOOKUP($B$3,County_Lookup,13,FALSE)=0,"",VLOOKUP($B$3,County_Lookup,13,FALSE)))</f>
        <v/>
      </c>
      <c r="B18" s="209"/>
      <c r="C18" s="209"/>
      <c r="D18" s="209"/>
      <c r="E18" s="209"/>
      <c r="F18" s="209"/>
      <c r="G18" s="209"/>
      <c r="H18" s="209"/>
      <c r="I18" s="211"/>
      <c r="J18" s="210">
        <f t="shared" si="0"/>
        <v>0</v>
      </c>
      <c r="K18" s="210">
        <f t="shared" si="1"/>
        <v>0</v>
      </c>
      <c r="L18" s="210">
        <f t="shared" si="2"/>
        <v>0</v>
      </c>
      <c r="M18" s="212">
        <f t="shared" si="3"/>
        <v>0</v>
      </c>
      <c r="N18" s="209"/>
      <c r="O18" s="209"/>
      <c r="P18" s="209"/>
      <c r="Q18" s="209"/>
      <c r="R18" s="209"/>
      <c r="S18" s="209"/>
      <c r="T18" s="209"/>
      <c r="U18" s="211"/>
      <c r="V18" s="210">
        <f t="shared" si="4"/>
        <v>0</v>
      </c>
      <c r="W18" s="210">
        <f t="shared" si="5"/>
        <v>0</v>
      </c>
      <c r="X18" s="210">
        <f t="shared" si="6"/>
        <v>0</v>
      </c>
      <c r="Y18" s="283">
        <f t="shared" si="7"/>
        <v>0</v>
      </c>
      <c r="Z18" s="286"/>
    </row>
    <row r="19" spans="1:26" ht="15" customHeight="1" x14ac:dyDescent="0.25">
      <c r="A19" s="192" t="str">
        <f>IF($B$3="Enter LME-MCO on the Page 1 worksheet","",IF(VLOOKUP($B$3,County_Lookup,14,FALSE)=0,"",VLOOKUP($B$3,County_Lookup,14,FALSE)))</f>
        <v/>
      </c>
      <c r="B19" s="209"/>
      <c r="C19" s="209"/>
      <c r="D19" s="209"/>
      <c r="E19" s="209"/>
      <c r="F19" s="209"/>
      <c r="G19" s="209"/>
      <c r="H19" s="209"/>
      <c r="I19" s="211"/>
      <c r="J19" s="210">
        <f t="shared" si="0"/>
        <v>0</v>
      </c>
      <c r="K19" s="210">
        <f t="shared" si="1"/>
        <v>0</v>
      </c>
      <c r="L19" s="210">
        <f t="shared" si="2"/>
        <v>0</v>
      </c>
      <c r="M19" s="212">
        <f t="shared" si="3"/>
        <v>0</v>
      </c>
      <c r="N19" s="209"/>
      <c r="O19" s="209"/>
      <c r="P19" s="209"/>
      <c r="Q19" s="209"/>
      <c r="R19" s="209"/>
      <c r="S19" s="209"/>
      <c r="T19" s="209"/>
      <c r="U19" s="211"/>
      <c r="V19" s="210">
        <f t="shared" si="4"/>
        <v>0</v>
      </c>
      <c r="W19" s="210">
        <f t="shared" si="5"/>
        <v>0</v>
      </c>
      <c r="X19" s="210">
        <f t="shared" si="6"/>
        <v>0</v>
      </c>
      <c r="Y19" s="283">
        <f t="shared" si="7"/>
        <v>0</v>
      </c>
      <c r="Z19" s="286"/>
    </row>
    <row r="20" spans="1:26" ht="15" customHeight="1" x14ac:dyDescent="0.25">
      <c r="A20" s="192" t="str">
        <f>IF($B$3="Enter LME-MCO on the Page 1 worksheet","",IF(VLOOKUP($B$3,County_Lookup,15,FALSE)=0,"",VLOOKUP($B$3,County_Lookup,15,FALSE)))</f>
        <v/>
      </c>
      <c r="B20" s="209"/>
      <c r="C20" s="209"/>
      <c r="D20" s="209"/>
      <c r="E20" s="209"/>
      <c r="F20" s="209"/>
      <c r="G20" s="209"/>
      <c r="H20" s="209"/>
      <c r="I20" s="211"/>
      <c r="J20" s="210">
        <f t="shared" si="0"/>
        <v>0</v>
      </c>
      <c r="K20" s="210">
        <f t="shared" si="1"/>
        <v>0</v>
      </c>
      <c r="L20" s="210">
        <f t="shared" si="2"/>
        <v>0</v>
      </c>
      <c r="M20" s="212">
        <f t="shared" si="3"/>
        <v>0</v>
      </c>
      <c r="N20" s="209"/>
      <c r="O20" s="209"/>
      <c r="P20" s="209"/>
      <c r="Q20" s="209"/>
      <c r="R20" s="209"/>
      <c r="S20" s="209"/>
      <c r="T20" s="209"/>
      <c r="U20" s="211"/>
      <c r="V20" s="210">
        <f t="shared" si="4"/>
        <v>0</v>
      </c>
      <c r="W20" s="210">
        <f t="shared" si="5"/>
        <v>0</v>
      </c>
      <c r="X20" s="210">
        <f t="shared" si="6"/>
        <v>0</v>
      </c>
      <c r="Y20" s="283">
        <f t="shared" si="7"/>
        <v>0</v>
      </c>
      <c r="Z20" s="286"/>
    </row>
    <row r="21" spans="1:26" ht="15" customHeight="1" x14ac:dyDescent="0.25">
      <c r="A21" s="192" t="str">
        <f>IF($B$3="Enter LME-MCO on the Page 1 worksheet","",IF(VLOOKUP($B$3,County_Lookup,16,FALSE)=0,"",VLOOKUP($B$3,County_Lookup,16,FALSE)))</f>
        <v/>
      </c>
      <c r="B21" s="209"/>
      <c r="C21" s="209"/>
      <c r="D21" s="209"/>
      <c r="E21" s="209"/>
      <c r="F21" s="209"/>
      <c r="G21" s="209"/>
      <c r="H21" s="209"/>
      <c r="I21" s="211"/>
      <c r="J21" s="210">
        <f t="shared" si="0"/>
        <v>0</v>
      </c>
      <c r="K21" s="210">
        <f t="shared" si="1"/>
        <v>0</v>
      </c>
      <c r="L21" s="210">
        <f t="shared" si="2"/>
        <v>0</v>
      </c>
      <c r="M21" s="212">
        <f t="shared" si="3"/>
        <v>0</v>
      </c>
      <c r="N21" s="209"/>
      <c r="O21" s="209"/>
      <c r="P21" s="209"/>
      <c r="Q21" s="209"/>
      <c r="R21" s="209"/>
      <c r="S21" s="209"/>
      <c r="T21" s="209"/>
      <c r="U21" s="211"/>
      <c r="V21" s="210">
        <f t="shared" si="4"/>
        <v>0</v>
      </c>
      <c r="W21" s="210">
        <f t="shared" si="5"/>
        <v>0</v>
      </c>
      <c r="X21" s="210">
        <f t="shared" si="6"/>
        <v>0</v>
      </c>
      <c r="Y21" s="283">
        <f t="shared" si="7"/>
        <v>0</v>
      </c>
      <c r="Z21" s="286"/>
    </row>
    <row r="22" spans="1:26" ht="15" customHeight="1" x14ac:dyDescent="0.25">
      <c r="A22" s="192" t="str">
        <f>IF($B$3="Enter LME-MCO on the Page 1 worksheet","",IF(VLOOKUP($B$3,County_Lookup,17,FALSE)=0,"",VLOOKUP($B$3,County_Lookup,17,FALSE)))</f>
        <v/>
      </c>
      <c r="B22" s="209"/>
      <c r="C22" s="209"/>
      <c r="D22" s="209"/>
      <c r="E22" s="209"/>
      <c r="F22" s="209"/>
      <c r="G22" s="209"/>
      <c r="H22" s="209"/>
      <c r="I22" s="211"/>
      <c r="J22" s="210">
        <f t="shared" si="0"/>
        <v>0</v>
      </c>
      <c r="K22" s="210">
        <f t="shared" si="1"/>
        <v>0</v>
      </c>
      <c r="L22" s="210">
        <f t="shared" si="2"/>
        <v>0</v>
      </c>
      <c r="M22" s="212">
        <f t="shared" si="3"/>
        <v>0</v>
      </c>
      <c r="N22" s="209"/>
      <c r="O22" s="209"/>
      <c r="P22" s="209"/>
      <c r="Q22" s="209"/>
      <c r="R22" s="209"/>
      <c r="S22" s="209"/>
      <c r="T22" s="209"/>
      <c r="U22" s="211"/>
      <c r="V22" s="210">
        <f t="shared" si="4"/>
        <v>0</v>
      </c>
      <c r="W22" s="210">
        <f t="shared" si="5"/>
        <v>0</v>
      </c>
      <c r="X22" s="210">
        <f t="shared" si="6"/>
        <v>0</v>
      </c>
      <c r="Y22" s="283">
        <f t="shared" si="7"/>
        <v>0</v>
      </c>
      <c r="Z22" s="286"/>
    </row>
    <row r="23" spans="1:26" ht="15" customHeight="1" x14ac:dyDescent="0.25">
      <c r="A23" s="192" t="str">
        <f>IF($B$3="Enter LME-MCO on the Page 1 worksheet","",IF(VLOOKUP($B$3,County_Lookup,18,FALSE)=0,"",VLOOKUP($B$3,County_Lookup,18,FALSE)))</f>
        <v/>
      </c>
      <c r="B23" s="209"/>
      <c r="C23" s="209"/>
      <c r="D23" s="209"/>
      <c r="E23" s="209"/>
      <c r="F23" s="209"/>
      <c r="G23" s="209"/>
      <c r="H23" s="209"/>
      <c r="I23" s="211"/>
      <c r="J23" s="210">
        <f t="shared" si="0"/>
        <v>0</v>
      </c>
      <c r="K23" s="210">
        <f t="shared" si="1"/>
        <v>0</v>
      </c>
      <c r="L23" s="210">
        <f t="shared" si="2"/>
        <v>0</v>
      </c>
      <c r="M23" s="212">
        <f t="shared" si="3"/>
        <v>0</v>
      </c>
      <c r="N23" s="209"/>
      <c r="O23" s="209"/>
      <c r="P23" s="209"/>
      <c r="Q23" s="209"/>
      <c r="R23" s="209"/>
      <c r="S23" s="209"/>
      <c r="T23" s="209"/>
      <c r="U23" s="211"/>
      <c r="V23" s="210">
        <f t="shared" si="4"/>
        <v>0</v>
      </c>
      <c r="W23" s="210">
        <f t="shared" si="5"/>
        <v>0</v>
      </c>
      <c r="X23" s="210">
        <f t="shared" si="6"/>
        <v>0</v>
      </c>
      <c r="Y23" s="283">
        <f t="shared" si="7"/>
        <v>0</v>
      </c>
      <c r="Z23" s="286"/>
    </row>
    <row r="24" spans="1:26" ht="15" customHeight="1" x14ac:dyDescent="0.25">
      <c r="A24" s="192" t="str">
        <f>IF($B$3="Enter LME-MCO on the Page 1 worksheet","",IF(VLOOKUP($B$3,County_Lookup,19,FALSE)=0,"",VLOOKUP($B$3,County_Lookup,19,FALSE)))</f>
        <v/>
      </c>
      <c r="B24" s="209"/>
      <c r="C24" s="209"/>
      <c r="D24" s="209"/>
      <c r="E24" s="209"/>
      <c r="F24" s="209"/>
      <c r="G24" s="209"/>
      <c r="H24" s="209"/>
      <c r="I24" s="211"/>
      <c r="J24" s="210">
        <f t="shared" si="0"/>
        <v>0</v>
      </c>
      <c r="K24" s="210">
        <f t="shared" si="1"/>
        <v>0</v>
      </c>
      <c r="L24" s="210">
        <f t="shared" si="2"/>
        <v>0</v>
      </c>
      <c r="M24" s="212">
        <f t="shared" si="3"/>
        <v>0</v>
      </c>
      <c r="N24" s="209"/>
      <c r="O24" s="209"/>
      <c r="P24" s="209"/>
      <c r="Q24" s="209"/>
      <c r="R24" s="209"/>
      <c r="S24" s="209"/>
      <c r="T24" s="209"/>
      <c r="U24" s="211"/>
      <c r="V24" s="210">
        <f t="shared" si="4"/>
        <v>0</v>
      </c>
      <c r="W24" s="210">
        <f t="shared" si="5"/>
        <v>0</v>
      </c>
      <c r="X24" s="210">
        <f t="shared" si="6"/>
        <v>0</v>
      </c>
      <c r="Y24" s="283">
        <f t="shared" si="7"/>
        <v>0</v>
      </c>
      <c r="Z24" s="286"/>
    </row>
    <row r="25" spans="1:26" ht="15" customHeight="1" x14ac:dyDescent="0.25">
      <c r="A25" s="192" t="str">
        <f>IF($B$3="Enter LME-MCO on the Page 1 worksheet","",IF(VLOOKUP($B$3,County_Lookup,20,FALSE)=0,"",VLOOKUP($B$3,County_Lookup,20,FALSE)))</f>
        <v/>
      </c>
      <c r="B25" s="209"/>
      <c r="C25" s="209"/>
      <c r="D25" s="209"/>
      <c r="E25" s="209"/>
      <c r="F25" s="209"/>
      <c r="G25" s="209"/>
      <c r="H25" s="209"/>
      <c r="I25" s="211"/>
      <c r="J25" s="210">
        <f t="shared" si="0"/>
        <v>0</v>
      </c>
      <c r="K25" s="210">
        <f t="shared" si="1"/>
        <v>0</v>
      </c>
      <c r="L25" s="210">
        <f t="shared" si="2"/>
        <v>0</v>
      </c>
      <c r="M25" s="212">
        <f t="shared" si="3"/>
        <v>0</v>
      </c>
      <c r="N25" s="209"/>
      <c r="O25" s="209"/>
      <c r="P25" s="209"/>
      <c r="Q25" s="209"/>
      <c r="R25" s="209"/>
      <c r="S25" s="209"/>
      <c r="T25" s="209"/>
      <c r="U25" s="211"/>
      <c r="V25" s="210">
        <f t="shared" si="4"/>
        <v>0</v>
      </c>
      <c r="W25" s="210">
        <f t="shared" si="5"/>
        <v>0</v>
      </c>
      <c r="X25" s="210">
        <f t="shared" si="6"/>
        <v>0</v>
      </c>
      <c r="Y25" s="283">
        <f t="shared" si="7"/>
        <v>0</v>
      </c>
      <c r="Z25" s="286"/>
    </row>
    <row r="26" spans="1:26" ht="15" customHeight="1" x14ac:dyDescent="0.25">
      <c r="A26" s="192" t="str">
        <f>IF($B$3="Enter LME-MCO on the Page 1 worksheet","",IF(VLOOKUP($B$3,County_Lookup,21,FALSE)=0,"",VLOOKUP($B$3,County_Lookup,21,FALSE)))</f>
        <v/>
      </c>
      <c r="B26" s="209"/>
      <c r="C26" s="209"/>
      <c r="D26" s="209"/>
      <c r="E26" s="209"/>
      <c r="F26" s="209"/>
      <c r="G26" s="209"/>
      <c r="H26" s="209"/>
      <c r="I26" s="211"/>
      <c r="J26" s="210">
        <f t="shared" si="0"/>
        <v>0</v>
      </c>
      <c r="K26" s="210">
        <f t="shared" si="1"/>
        <v>0</v>
      </c>
      <c r="L26" s="210">
        <f t="shared" si="2"/>
        <v>0</v>
      </c>
      <c r="M26" s="212">
        <f t="shared" si="3"/>
        <v>0</v>
      </c>
      <c r="N26" s="209"/>
      <c r="O26" s="209"/>
      <c r="P26" s="209"/>
      <c r="Q26" s="209"/>
      <c r="R26" s="209"/>
      <c r="S26" s="209"/>
      <c r="T26" s="209"/>
      <c r="U26" s="211"/>
      <c r="V26" s="210">
        <f t="shared" si="4"/>
        <v>0</v>
      </c>
      <c r="W26" s="210">
        <f t="shared" si="5"/>
        <v>0</v>
      </c>
      <c r="X26" s="210">
        <f t="shared" si="6"/>
        <v>0</v>
      </c>
      <c r="Y26" s="283">
        <f t="shared" si="7"/>
        <v>0</v>
      </c>
      <c r="Z26" s="286"/>
    </row>
    <row r="27" spans="1:26" ht="15" customHeight="1" x14ac:dyDescent="0.25">
      <c r="A27" s="192" t="str">
        <f>IF($B$3="Enter LME-MCO on the Page 1 worksheet","",IF(VLOOKUP($B$3,County_Lookup,22,FALSE)=0,"",VLOOKUP($B$3,County_Lookup,22,FALSE)))</f>
        <v/>
      </c>
      <c r="B27" s="209"/>
      <c r="C27" s="209"/>
      <c r="D27" s="209"/>
      <c r="E27" s="209"/>
      <c r="F27" s="209"/>
      <c r="G27" s="209"/>
      <c r="H27" s="209"/>
      <c r="I27" s="211"/>
      <c r="J27" s="210">
        <f t="shared" si="0"/>
        <v>0</v>
      </c>
      <c r="K27" s="210">
        <f t="shared" si="1"/>
        <v>0</v>
      </c>
      <c r="L27" s="210">
        <f t="shared" si="2"/>
        <v>0</v>
      </c>
      <c r="M27" s="212">
        <f t="shared" si="3"/>
        <v>0</v>
      </c>
      <c r="N27" s="209"/>
      <c r="O27" s="209"/>
      <c r="P27" s="209"/>
      <c r="Q27" s="209"/>
      <c r="R27" s="209"/>
      <c r="S27" s="209"/>
      <c r="T27" s="209"/>
      <c r="U27" s="211"/>
      <c r="V27" s="210">
        <f t="shared" si="4"/>
        <v>0</v>
      </c>
      <c r="W27" s="210">
        <f t="shared" si="5"/>
        <v>0</v>
      </c>
      <c r="X27" s="210">
        <f t="shared" si="6"/>
        <v>0</v>
      </c>
      <c r="Y27" s="283">
        <f t="shared" si="7"/>
        <v>0</v>
      </c>
      <c r="Z27" s="286"/>
    </row>
    <row r="28" spans="1:26" ht="15" customHeight="1" x14ac:dyDescent="0.25">
      <c r="A28" s="192" t="str">
        <f>IF($B$3="Enter LME-MCO on the Page 1 worksheet","",IF(VLOOKUP($B$3,County_Lookup,23,FALSE)=0,"",VLOOKUP($B$3,County_Lookup,23,FALSE)))</f>
        <v/>
      </c>
      <c r="B28" s="209"/>
      <c r="C28" s="209"/>
      <c r="D28" s="209"/>
      <c r="E28" s="209"/>
      <c r="F28" s="209"/>
      <c r="G28" s="209"/>
      <c r="H28" s="209"/>
      <c r="I28" s="211"/>
      <c r="J28" s="210">
        <f t="shared" si="0"/>
        <v>0</v>
      </c>
      <c r="K28" s="210">
        <f t="shared" si="1"/>
        <v>0</v>
      </c>
      <c r="L28" s="210">
        <f t="shared" si="2"/>
        <v>0</v>
      </c>
      <c r="M28" s="212">
        <f t="shared" si="3"/>
        <v>0</v>
      </c>
      <c r="N28" s="209"/>
      <c r="O28" s="209"/>
      <c r="P28" s="209"/>
      <c r="Q28" s="209"/>
      <c r="R28" s="209"/>
      <c r="S28" s="209"/>
      <c r="T28" s="209"/>
      <c r="U28" s="211"/>
      <c r="V28" s="210">
        <f t="shared" si="4"/>
        <v>0</v>
      </c>
      <c r="W28" s="210">
        <f t="shared" si="5"/>
        <v>0</v>
      </c>
      <c r="X28" s="210">
        <f t="shared" si="6"/>
        <v>0</v>
      </c>
      <c r="Y28" s="283">
        <f t="shared" si="7"/>
        <v>0</v>
      </c>
      <c r="Z28" s="286"/>
    </row>
    <row r="29" spans="1:26" ht="15" customHeight="1" x14ac:dyDescent="0.25">
      <c r="A29" s="192" t="str">
        <f>IF($B$3="Enter LME-MCO on the Page 1 worksheet","",IF(VLOOKUP($B$3,County_Lookup,24,FALSE)=0,"",VLOOKUP($B$3,County_Lookup,24,FALSE)))</f>
        <v/>
      </c>
      <c r="B29" s="209"/>
      <c r="C29" s="209"/>
      <c r="D29" s="209"/>
      <c r="E29" s="209"/>
      <c r="F29" s="209"/>
      <c r="G29" s="209"/>
      <c r="H29" s="209"/>
      <c r="I29" s="211"/>
      <c r="J29" s="210">
        <f t="shared" si="0"/>
        <v>0</v>
      </c>
      <c r="K29" s="210">
        <f t="shared" si="1"/>
        <v>0</v>
      </c>
      <c r="L29" s="210">
        <f t="shared" si="2"/>
        <v>0</v>
      </c>
      <c r="M29" s="212">
        <f t="shared" si="3"/>
        <v>0</v>
      </c>
      <c r="N29" s="209"/>
      <c r="O29" s="209"/>
      <c r="P29" s="209"/>
      <c r="Q29" s="209"/>
      <c r="R29" s="209"/>
      <c r="S29" s="209"/>
      <c r="T29" s="209"/>
      <c r="U29" s="211"/>
      <c r="V29" s="210">
        <f t="shared" si="4"/>
        <v>0</v>
      </c>
      <c r="W29" s="210">
        <f t="shared" si="5"/>
        <v>0</v>
      </c>
      <c r="X29" s="210">
        <f t="shared" si="6"/>
        <v>0</v>
      </c>
      <c r="Y29" s="283">
        <f t="shared" si="7"/>
        <v>0</v>
      </c>
      <c r="Z29" s="286"/>
    </row>
    <row r="30" spans="1:26" ht="15" customHeight="1" x14ac:dyDescent="0.25">
      <c r="A30" s="192" t="str">
        <f>IF($B$3="Enter LME-MCO on the Page 1 worksheet","",IF(VLOOKUP($B$3,County_Lookup,25,FALSE)=0,"",VLOOKUP($B$3,County_Lookup,25,FALSE)))</f>
        <v/>
      </c>
      <c r="B30" s="209"/>
      <c r="C30" s="209"/>
      <c r="D30" s="209"/>
      <c r="E30" s="209"/>
      <c r="F30" s="209"/>
      <c r="G30" s="209"/>
      <c r="H30" s="209"/>
      <c r="I30" s="211"/>
      <c r="J30" s="210">
        <f t="shared" si="0"/>
        <v>0</v>
      </c>
      <c r="K30" s="210">
        <f t="shared" si="1"/>
        <v>0</v>
      </c>
      <c r="L30" s="210">
        <f t="shared" si="2"/>
        <v>0</v>
      </c>
      <c r="M30" s="212">
        <f t="shared" si="3"/>
        <v>0</v>
      </c>
      <c r="N30" s="209"/>
      <c r="O30" s="209"/>
      <c r="P30" s="209"/>
      <c r="Q30" s="209"/>
      <c r="R30" s="209"/>
      <c r="S30" s="209"/>
      <c r="T30" s="209"/>
      <c r="U30" s="211"/>
      <c r="V30" s="210">
        <f t="shared" si="4"/>
        <v>0</v>
      </c>
      <c r="W30" s="210">
        <f t="shared" si="5"/>
        <v>0</v>
      </c>
      <c r="X30" s="210">
        <f t="shared" si="6"/>
        <v>0</v>
      </c>
      <c r="Y30" s="283">
        <f t="shared" si="7"/>
        <v>0</v>
      </c>
      <c r="Z30" s="286"/>
    </row>
    <row r="31" spans="1:26" ht="15" customHeight="1" x14ac:dyDescent="0.25">
      <c r="A31" s="192" t="str">
        <f>IF($B$3="Enter LME-MCO on the Page 1 worksheet","",IF(VLOOKUP($B$3,County_Lookup,26,FALSE)=0,"",VLOOKUP($B$3,County_Lookup,26,FALSE)))</f>
        <v/>
      </c>
      <c r="B31" s="209"/>
      <c r="C31" s="209"/>
      <c r="D31" s="209"/>
      <c r="E31" s="209"/>
      <c r="F31" s="209"/>
      <c r="G31" s="209"/>
      <c r="H31" s="209"/>
      <c r="I31" s="211"/>
      <c r="J31" s="210">
        <f t="shared" si="0"/>
        <v>0</v>
      </c>
      <c r="K31" s="210">
        <f t="shared" si="1"/>
        <v>0</v>
      </c>
      <c r="L31" s="210">
        <f t="shared" si="2"/>
        <v>0</v>
      </c>
      <c r="M31" s="212">
        <f t="shared" si="3"/>
        <v>0</v>
      </c>
      <c r="N31" s="209"/>
      <c r="O31" s="209"/>
      <c r="P31" s="209"/>
      <c r="Q31" s="209"/>
      <c r="R31" s="209"/>
      <c r="S31" s="209"/>
      <c r="T31" s="209"/>
      <c r="U31" s="211"/>
      <c r="V31" s="210">
        <f t="shared" si="4"/>
        <v>0</v>
      </c>
      <c r="W31" s="210">
        <f t="shared" si="5"/>
        <v>0</v>
      </c>
      <c r="X31" s="210">
        <f t="shared" si="6"/>
        <v>0</v>
      </c>
      <c r="Y31" s="283">
        <f t="shared" si="7"/>
        <v>0</v>
      </c>
      <c r="Z31" s="286"/>
    </row>
    <row r="32" spans="1:26" ht="15" customHeight="1" thickBot="1" x14ac:dyDescent="0.3">
      <c r="A32" s="192" t="str">
        <f>IF($B$3="Enter LME-MCO on the Page 1 worksheet","",IF(VLOOKUP($B$3,County_Lookup,27,FALSE)=0,"",VLOOKUP($B$3,County_Lookup,27,FALSE)))</f>
        <v/>
      </c>
      <c r="B32" s="209"/>
      <c r="C32" s="209"/>
      <c r="D32" s="209"/>
      <c r="E32" s="209"/>
      <c r="F32" s="209"/>
      <c r="G32" s="209"/>
      <c r="H32" s="209"/>
      <c r="I32" s="211"/>
      <c r="J32" s="210">
        <f t="shared" si="0"/>
        <v>0</v>
      </c>
      <c r="K32" s="210">
        <f t="shared" si="1"/>
        <v>0</v>
      </c>
      <c r="L32" s="210">
        <f t="shared" si="2"/>
        <v>0</v>
      </c>
      <c r="M32" s="212">
        <f t="shared" si="3"/>
        <v>0</v>
      </c>
      <c r="N32" s="209"/>
      <c r="O32" s="209"/>
      <c r="P32" s="209"/>
      <c r="Q32" s="209"/>
      <c r="R32" s="209"/>
      <c r="S32" s="209"/>
      <c r="T32" s="209"/>
      <c r="U32" s="211"/>
      <c r="V32" s="210">
        <f t="shared" si="4"/>
        <v>0</v>
      </c>
      <c r="W32" s="210">
        <f t="shared" si="5"/>
        <v>0</v>
      </c>
      <c r="X32" s="210">
        <f t="shared" si="6"/>
        <v>0</v>
      </c>
      <c r="Y32" s="283">
        <f t="shared" si="7"/>
        <v>0</v>
      </c>
      <c r="Z32" s="286"/>
    </row>
    <row r="33" spans="1:26" ht="20.100000000000001" customHeight="1" thickBot="1" x14ac:dyDescent="0.3">
      <c r="A33" s="291" t="s">
        <v>266</v>
      </c>
      <c r="B33" s="213">
        <f t="shared" ref="B33:H33" si="8">SUM(B7:B32)</f>
        <v>0</v>
      </c>
      <c r="C33" s="213">
        <f t="shared" si="8"/>
        <v>0</v>
      </c>
      <c r="D33" s="213">
        <f t="shared" si="8"/>
        <v>0</v>
      </c>
      <c r="E33" s="213">
        <f t="shared" si="8"/>
        <v>0</v>
      </c>
      <c r="F33" s="213">
        <f t="shared" si="8"/>
        <v>0</v>
      </c>
      <c r="G33" s="213">
        <f t="shared" si="8"/>
        <v>0</v>
      </c>
      <c r="H33" s="213">
        <f t="shared" si="8"/>
        <v>0</v>
      </c>
      <c r="I33" s="215"/>
      <c r="J33" s="214">
        <f t="shared" ref="J33" si="9">IF(B33=0,0,SUM(C33:D33)/B33)</f>
        <v>0</v>
      </c>
      <c r="K33" s="214">
        <f t="shared" ref="K33" si="10">IF(E33=0,0,F33/E33)</f>
        <v>0</v>
      </c>
      <c r="L33" s="214">
        <f t="shared" ref="L33" si="11">IF(G33=0,0,H33/G33)</f>
        <v>0</v>
      </c>
      <c r="M33" s="220">
        <f t="shared" ref="M33:T33" si="12">SUM(M7:M32)</f>
        <v>0</v>
      </c>
      <c r="N33" s="219">
        <f t="shared" si="12"/>
        <v>0</v>
      </c>
      <c r="O33" s="216">
        <f t="shared" si="12"/>
        <v>0</v>
      </c>
      <c r="P33" s="216">
        <f t="shared" si="12"/>
        <v>0</v>
      </c>
      <c r="Q33" s="216">
        <f t="shared" si="12"/>
        <v>0</v>
      </c>
      <c r="R33" s="216">
        <f t="shared" si="12"/>
        <v>0</v>
      </c>
      <c r="S33" s="216">
        <f t="shared" si="12"/>
        <v>0</v>
      </c>
      <c r="T33" s="216">
        <f t="shared" si="12"/>
        <v>0</v>
      </c>
      <c r="U33" s="218"/>
      <c r="V33" s="217">
        <f t="shared" ref="V33" si="13">IF(N33=0,0,SUM(O33:P33)/N33)</f>
        <v>0</v>
      </c>
      <c r="W33" s="217">
        <f t="shared" ref="W33" si="14">IF(Q33=0,0,R33/Q33)</f>
        <v>0</v>
      </c>
      <c r="X33" s="217">
        <f t="shared" ref="X33" si="15">IF(S33=0,0,T33/S33)</f>
        <v>0</v>
      </c>
      <c r="Y33" s="284">
        <f>SUM(Y7:Y32)</f>
        <v>0</v>
      </c>
      <c r="Z33" s="287"/>
    </row>
    <row r="35" spans="1:26" x14ac:dyDescent="0.25">
      <c r="A35" s="188" t="s">
        <v>253</v>
      </c>
      <c r="J35" s="189">
        <f>COUNTIF(J7:J32,"&gt;=0.97")</f>
        <v>0</v>
      </c>
      <c r="K35" s="189">
        <f>COUNTIF(K7:K32,"&gt;=0.82")</f>
        <v>0</v>
      </c>
      <c r="L35" s="189">
        <f>COUNTIF(L7:L32,"&gt;=0.75")</f>
        <v>0</v>
      </c>
      <c r="V35" s="189">
        <f>COUNTIF(V7:V32,"&gt;=0.97")</f>
        <v>0</v>
      </c>
      <c r="W35" s="189">
        <f>COUNTIF(W7:W32,"&gt;=0.82")</f>
        <v>0</v>
      </c>
      <c r="X35" s="189">
        <f>COUNTIF(X7:X32,"&gt;=0.75")</f>
        <v>0</v>
      </c>
    </row>
    <row r="36" spans="1:26" x14ac:dyDescent="0.25">
      <c r="A36" s="188" t="s">
        <v>254</v>
      </c>
      <c r="J36" s="190">
        <f>IF(COUNTIF(B6:B32,"&gt;0")=0,0,J35/COUNTIF(B6:B32,"&gt;0"))</f>
        <v>0</v>
      </c>
      <c r="K36" s="190">
        <f>IF(COUNTIF(E6:E32,"&gt;0")=0,0,K35/COUNTIF(E6:E32,"&gt;0"))</f>
        <v>0</v>
      </c>
      <c r="L36" s="190">
        <f>IF(COUNTIF(G6:G32,"&gt;0")=0,0,L35/COUNTIF(G6:G32,"&gt;0"))</f>
        <v>0</v>
      </c>
      <c r="V36" s="190">
        <f>IF(COUNTIF(N6:N32,"&gt;0")=0,0,V35/COUNTIF(N6:N32,"&gt;0"))</f>
        <v>0</v>
      </c>
      <c r="W36" s="190">
        <f>IF(COUNTIF(Q6:Q32,"&gt;0")=0,0,W35/COUNTIF(Q6:Q32,"&gt;0"))</f>
        <v>0</v>
      </c>
      <c r="X36" s="190">
        <f>IF(COUNTIF(S6:S32,"&gt;0")=0,0,X35/COUNTIF(S6:S32,"&gt;0"))</f>
        <v>0</v>
      </c>
    </row>
    <row r="39" spans="1:26" x14ac:dyDescent="0.25">
      <c r="B39" s="256"/>
      <c r="C39" s="256"/>
      <c r="D39" s="256"/>
      <c r="E39" s="256"/>
      <c r="F39" s="256"/>
      <c r="G39" s="256"/>
      <c r="H39" s="256"/>
      <c r="I39" s="256"/>
      <c r="J39" s="256"/>
      <c r="K39" s="256"/>
      <c r="L39" s="256"/>
      <c r="M39" s="256"/>
      <c r="N39" s="256"/>
      <c r="O39" s="256"/>
      <c r="P39" s="256"/>
      <c r="Q39" s="256"/>
      <c r="R39" s="256"/>
      <c r="S39" s="256"/>
      <c r="T39" s="256"/>
      <c r="U39" s="256"/>
      <c r="V39" s="256"/>
      <c r="W39" s="256"/>
      <c r="X39" s="256"/>
      <c r="Y39" s="256"/>
    </row>
  </sheetData>
  <sheetProtection sheet="1" objects="1" scenarios="1"/>
  <mergeCells count="2">
    <mergeCell ref="Z5:Z6"/>
    <mergeCell ref="A1:AA1"/>
  </mergeCells>
  <conditionalFormatting sqref="A7:Z32">
    <cfRule type="expression" dxfId="11" priority="3">
      <formula>$A7=""</formula>
    </cfRule>
  </conditionalFormatting>
  <conditionalFormatting sqref="A7:A32">
    <cfRule type="expression" dxfId="10" priority="2">
      <formula>OR(A7="Other",A7="Unknown")</formula>
    </cfRule>
  </conditionalFormatting>
  <conditionalFormatting sqref="B3">
    <cfRule type="cellIs" dxfId="9" priority="1" operator="equal">
      <formula>"Enter LME-MCO on the Page 1 worksheet"</formula>
    </cfRule>
  </conditionalFormatting>
  <printOptions horizontalCentered="1"/>
  <pageMargins left="0.3" right="0.3" top="0.5" bottom="0.5" header="0.3" footer="0.3"/>
  <pageSetup paperSize="5" scale="63" fitToHeight="0" orientation="landscape" r:id="rId1"/>
  <headerFooter>
    <oddFooter>&amp;C&amp;P</oddFooter>
  </headerFooter>
  <colBreaks count="1" manualBreakCount="1">
    <brk id="13" max="1048575" man="1"/>
  </colBreaks>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L107"/>
  <sheetViews>
    <sheetView showGridLines="0" workbookViewId="0">
      <selection activeCell="A14" sqref="A14"/>
    </sheetView>
  </sheetViews>
  <sheetFormatPr defaultColWidth="9.109375" defaultRowHeight="13.2" x14ac:dyDescent="0.25"/>
  <cols>
    <col min="1" max="1" width="36" style="1" bestFit="1" customWidth="1"/>
    <col min="2" max="2" width="20" style="1" bestFit="1" customWidth="1"/>
    <col min="3" max="3" width="20" style="1" customWidth="1"/>
    <col min="4" max="8" width="9.109375" style="1"/>
    <col min="9" max="9" width="13.33203125" style="1" bestFit="1" customWidth="1"/>
    <col min="10" max="10" width="36" style="1" bestFit="1" customWidth="1"/>
    <col min="11" max="11" width="9.109375" style="1"/>
    <col min="12" max="12" width="43.88671875" style="1" customWidth="1"/>
    <col min="13" max="13" width="10.88671875" style="1" bestFit="1" customWidth="1"/>
    <col min="14" max="14" width="9.33203125" style="1" bestFit="1" customWidth="1"/>
    <col min="15" max="15" width="11.33203125" style="1" bestFit="1" customWidth="1"/>
    <col min="16" max="16" width="10.88671875" style="1" bestFit="1" customWidth="1"/>
    <col min="17" max="17" width="9.88671875" style="1" bestFit="1" customWidth="1"/>
    <col min="18" max="18" width="11.33203125" style="1" bestFit="1" customWidth="1"/>
    <col min="19" max="19" width="8.88671875" style="1" bestFit="1" customWidth="1"/>
    <col min="20" max="20" width="8.6640625" style="1" bestFit="1" customWidth="1"/>
    <col min="21" max="21" width="9.109375" style="1"/>
    <col min="22" max="22" width="8.5546875" style="1" bestFit="1" customWidth="1"/>
    <col min="23" max="23" width="11.5546875" style="1" bestFit="1" customWidth="1"/>
    <col min="24" max="24" width="7.88671875" style="1" bestFit="1" customWidth="1"/>
    <col min="25" max="25" width="6.88671875" style="1" bestFit="1" customWidth="1"/>
    <col min="26" max="26" width="11.33203125" style="1" bestFit="1" customWidth="1"/>
    <col min="27" max="27" width="11.6640625" style="1" bestFit="1" customWidth="1"/>
    <col min="28" max="28" width="11.5546875" style="1" bestFit="1" customWidth="1"/>
    <col min="29" max="29" width="7.109375" style="1" bestFit="1" customWidth="1"/>
    <col min="30" max="30" width="9.44140625" style="1" bestFit="1" customWidth="1"/>
    <col min="31" max="31" width="10.88671875" style="1" bestFit="1" customWidth="1"/>
    <col min="32" max="32" width="11.109375" style="1" bestFit="1" customWidth="1"/>
    <col min="33" max="33" width="10.88671875" style="1" bestFit="1" customWidth="1"/>
    <col min="34" max="34" width="8.5546875" style="1" bestFit="1" customWidth="1"/>
    <col min="35" max="35" width="7.33203125" style="1" bestFit="1" customWidth="1"/>
    <col min="36" max="36" width="10.88671875" style="1" bestFit="1" customWidth="1"/>
    <col min="37" max="37" width="8.5546875" style="1" bestFit="1" customWidth="1"/>
    <col min="38" max="16384" width="9.109375" style="1"/>
  </cols>
  <sheetData>
    <row r="1" spans="1:38" x14ac:dyDescent="0.25">
      <c r="A1" s="131" t="s">
        <v>101</v>
      </c>
      <c r="B1" s="130"/>
      <c r="C1" s="130"/>
      <c r="D1" s="130"/>
      <c r="E1" s="130"/>
      <c r="F1" s="130"/>
      <c r="G1" s="130"/>
    </row>
    <row r="2" spans="1:38" x14ac:dyDescent="0.25">
      <c r="A2" s="303" t="s">
        <v>311</v>
      </c>
      <c r="B2" s="6"/>
      <c r="C2" s="6"/>
      <c r="D2" s="6"/>
      <c r="E2" s="6"/>
      <c r="F2" s="6"/>
      <c r="G2" s="6"/>
      <c r="I2" s="172" t="s">
        <v>239</v>
      </c>
      <c r="L2" s="172" t="s">
        <v>297</v>
      </c>
    </row>
    <row r="3" spans="1:38" x14ac:dyDescent="0.25">
      <c r="I3" s="172" t="s">
        <v>238</v>
      </c>
      <c r="L3" s="172" t="s">
        <v>319</v>
      </c>
    </row>
    <row r="4" spans="1:38" x14ac:dyDescent="0.25">
      <c r="J4" s="300">
        <f>SUBTOTAL(3,J6:J107)</f>
        <v>100</v>
      </c>
      <c r="L4" s="301" t="s">
        <v>295</v>
      </c>
      <c r="M4" s="45">
        <v>2</v>
      </c>
      <c r="N4" s="45">
        <v>3</v>
      </c>
      <c r="O4" s="45">
        <v>4</v>
      </c>
      <c r="P4" s="45">
        <v>5</v>
      </c>
      <c r="Q4" s="45">
        <v>6</v>
      </c>
      <c r="R4" s="45">
        <v>7</v>
      </c>
      <c r="S4" s="45">
        <v>8</v>
      </c>
      <c r="T4" s="45">
        <v>9</v>
      </c>
      <c r="U4" s="45">
        <v>10</v>
      </c>
      <c r="V4" s="45">
        <v>11</v>
      </c>
      <c r="W4" s="45">
        <v>12</v>
      </c>
      <c r="X4" s="45">
        <v>13</v>
      </c>
      <c r="Y4" s="45">
        <v>14</v>
      </c>
      <c r="Z4" s="45">
        <v>15</v>
      </c>
      <c r="AA4" s="45">
        <v>16</v>
      </c>
      <c r="AB4" s="45">
        <v>17</v>
      </c>
      <c r="AC4" s="45">
        <v>18</v>
      </c>
      <c r="AD4" s="45">
        <v>19</v>
      </c>
      <c r="AE4" s="45">
        <v>20</v>
      </c>
      <c r="AF4" s="45">
        <v>21</v>
      </c>
      <c r="AG4" s="45">
        <v>22</v>
      </c>
      <c r="AH4" s="45">
        <v>23</v>
      </c>
      <c r="AI4" s="45">
        <v>24</v>
      </c>
      <c r="AJ4" s="256">
        <v>25</v>
      </c>
      <c r="AK4" s="45">
        <v>26</v>
      </c>
      <c r="AL4" s="45">
        <v>27</v>
      </c>
    </row>
    <row r="5" spans="1:38" x14ac:dyDescent="0.25">
      <c r="B5" s="41"/>
      <c r="I5" s="173" t="s">
        <v>136</v>
      </c>
      <c r="J5" s="173" t="s">
        <v>137</v>
      </c>
      <c r="L5" s="12" t="s">
        <v>52</v>
      </c>
      <c r="AJ5" s="170"/>
      <c r="AK5" s="170"/>
    </row>
    <row r="6" spans="1:38" x14ac:dyDescent="0.25">
      <c r="B6" s="41"/>
      <c r="I6" s="171" t="s">
        <v>138</v>
      </c>
      <c r="J6" s="171" t="s">
        <v>49</v>
      </c>
      <c r="L6" s="1" t="s">
        <v>48</v>
      </c>
      <c r="M6" s="1" t="s">
        <v>163</v>
      </c>
      <c r="N6" s="1" t="s">
        <v>169</v>
      </c>
      <c r="O6" s="1" t="s">
        <v>188</v>
      </c>
      <c r="P6" s="1" t="s">
        <v>229</v>
      </c>
      <c r="Q6" s="1" t="s">
        <v>296</v>
      </c>
      <c r="R6" s="166" t="s">
        <v>250</v>
      </c>
    </row>
    <row r="7" spans="1:38" x14ac:dyDescent="0.25">
      <c r="A7" s="124" t="s">
        <v>98</v>
      </c>
      <c r="B7" s="41"/>
      <c r="C7" s="120"/>
      <c r="D7" s="120"/>
      <c r="I7" s="171" t="s">
        <v>139</v>
      </c>
      <c r="J7" s="171" t="s">
        <v>318</v>
      </c>
      <c r="L7" s="166" t="s">
        <v>49</v>
      </c>
      <c r="M7" s="1" t="s">
        <v>138</v>
      </c>
      <c r="N7" s="1" t="s">
        <v>150</v>
      </c>
      <c r="O7" s="1" t="s">
        <v>154</v>
      </c>
      <c r="P7" s="1" t="s">
        <v>156</v>
      </c>
      <c r="Q7" s="1" t="s">
        <v>166</v>
      </c>
      <c r="R7" s="1" t="s">
        <v>167</v>
      </c>
      <c r="S7" s="1" t="s">
        <v>171</v>
      </c>
      <c r="T7" s="1" t="s">
        <v>172</v>
      </c>
      <c r="U7" s="1" t="s">
        <v>176</v>
      </c>
      <c r="V7" s="1" t="s">
        <v>179</v>
      </c>
      <c r="W7" s="166" t="s">
        <v>197</v>
      </c>
      <c r="X7" s="1" t="s">
        <v>205</v>
      </c>
      <c r="Y7" s="1" t="s">
        <v>210</v>
      </c>
      <c r="Z7" s="1" t="s">
        <v>216</v>
      </c>
      <c r="AA7" s="1" t="s">
        <v>217</v>
      </c>
      <c r="AB7" s="1" t="s">
        <v>221</v>
      </c>
      <c r="AC7" s="1" t="s">
        <v>222</v>
      </c>
      <c r="AD7" s="1" t="s">
        <v>227</v>
      </c>
      <c r="AE7" s="1" t="s">
        <v>228</v>
      </c>
      <c r="AF7" s="1" t="s">
        <v>230</v>
      </c>
      <c r="AG7" s="166" t="s">
        <v>296</v>
      </c>
      <c r="AH7" s="166" t="s">
        <v>250</v>
      </c>
    </row>
    <row r="8" spans="1:38" x14ac:dyDescent="0.25">
      <c r="B8" s="121" t="s">
        <v>134</v>
      </c>
      <c r="C8" s="121"/>
      <c r="D8" s="120"/>
      <c r="I8" s="171" t="s">
        <v>140</v>
      </c>
      <c r="J8" s="171" t="s">
        <v>318</v>
      </c>
      <c r="L8" s="1" t="s">
        <v>50</v>
      </c>
      <c r="M8" s="1" t="s">
        <v>146</v>
      </c>
      <c r="N8" s="1" t="s">
        <v>161</v>
      </c>
      <c r="O8" s="1" t="s">
        <v>168</v>
      </c>
      <c r="P8" s="1" t="s">
        <v>170</v>
      </c>
      <c r="Q8" s="1" t="s">
        <v>177</v>
      </c>
      <c r="R8" s="1" t="s">
        <v>191</v>
      </c>
      <c r="S8" s="1" t="s">
        <v>201</v>
      </c>
      <c r="T8" s="1" t="s">
        <v>215</v>
      </c>
      <c r="U8" s="1" t="s">
        <v>219</v>
      </c>
      <c r="V8" s="1" t="s">
        <v>220</v>
      </c>
      <c r="W8" s="1" t="s">
        <v>233</v>
      </c>
      <c r="X8" s="1" t="s">
        <v>235</v>
      </c>
      <c r="Y8" s="1" t="s">
        <v>296</v>
      </c>
      <c r="Z8" s="166" t="s">
        <v>250</v>
      </c>
    </row>
    <row r="9" spans="1:38" x14ac:dyDescent="0.25">
      <c r="A9" s="12" t="s">
        <v>52</v>
      </c>
      <c r="B9" s="122" t="s">
        <v>133</v>
      </c>
      <c r="C9" s="122"/>
      <c r="D9" s="120"/>
      <c r="I9" s="171" t="s">
        <v>141</v>
      </c>
      <c r="J9" s="171" t="s">
        <v>51</v>
      </c>
      <c r="L9" s="1" t="s">
        <v>46</v>
      </c>
      <c r="M9" s="1" t="s">
        <v>149</v>
      </c>
      <c r="N9" s="1" t="s">
        <v>155</v>
      </c>
      <c r="O9" s="1" t="s">
        <v>160</v>
      </c>
      <c r="P9" s="1" t="s">
        <v>173</v>
      </c>
      <c r="Q9" s="1" t="s">
        <v>186</v>
      </c>
      <c r="R9" s="1" t="s">
        <v>192</v>
      </c>
      <c r="S9" s="1" t="s">
        <v>223</v>
      </c>
      <c r="T9" s="1" t="s">
        <v>236</v>
      </c>
      <c r="U9" s="1" t="s">
        <v>296</v>
      </c>
      <c r="V9" s="166" t="s">
        <v>250</v>
      </c>
    </row>
    <row r="10" spans="1:38" x14ac:dyDescent="0.25">
      <c r="A10" s="1" t="s">
        <v>48</v>
      </c>
      <c r="B10" s="40">
        <v>1774838</v>
      </c>
      <c r="C10" s="128"/>
      <c r="D10" s="120"/>
      <c r="I10" s="171" t="s">
        <v>142</v>
      </c>
      <c r="J10" s="171" t="s">
        <v>318</v>
      </c>
      <c r="L10" s="1" t="s">
        <v>51</v>
      </c>
      <c r="M10" s="1" t="s">
        <v>141</v>
      </c>
      <c r="N10" s="1" t="s">
        <v>178</v>
      </c>
      <c r="O10" s="1" t="s">
        <v>180</v>
      </c>
      <c r="P10" s="1" t="s">
        <v>184</v>
      </c>
      <c r="Q10" s="1" t="s">
        <v>190</v>
      </c>
      <c r="R10" s="1" t="s">
        <v>199</v>
      </c>
      <c r="S10" s="1" t="s">
        <v>200</v>
      </c>
      <c r="T10" s="1" t="s">
        <v>213</v>
      </c>
      <c r="U10" s="1" t="s">
        <v>214</v>
      </c>
      <c r="V10" s="1" t="s">
        <v>296</v>
      </c>
      <c r="W10" s="166" t="s">
        <v>250</v>
      </c>
    </row>
    <row r="11" spans="1:38" x14ac:dyDescent="0.25">
      <c r="A11" s="1" t="s">
        <v>49</v>
      </c>
      <c r="B11" s="39">
        <v>2967688</v>
      </c>
      <c r="C11" s="128"/>
      <c r="D11" s="120"/>
      <c r="I11" s="171" t="s">
        <v>143</v>
      </c>
      <c r="J11" s="171" t="s">
        <v>318</v>
      </c>
      <c r="L11" s="166" t="s">
        <v>129</v>
      </c>
      <c r="M11" s="1" t="s">
        <v>144</v>
      </c>
      <c r="N11" s="1" t="s">
        <v>145</v>
      </c>
      <c r="O11" s="1" t="s">
        <v>147</v>
      </c>
      <c r="P11" s="1" t="s">
        <v>152</v>
      </c>
      <c r="Q11" s="1" t="s">
        <v>153</v>
      </c>
      <c r="R11" s="1" t="s">
        <v>158</v>
      </c>
      <c r="S11" s="1" t="s">
        <v>162</v>
      </c>
      <c r="T11" s="1" t="s">
        <v>164</v>
      </c>
      <c r="U11" s="1" t="s">
        <v>165</v>
      </c>
      <c r="V11" s="1" t="s">
        <v>174</v>
      </c>
      <c r="W11" s="1" t="s">
        <v>183</v>
      </c>
      <c r="X11" s="1" t="s">
        <v>185</v>
      </c>
      <c r="Y11" s="1" t="s">
        <v>189</v>
      </c>
      <c r="Z11" s="1" t="s">
        <v>195</v>
      </c>
      <c r="AA11" s="1" t="s">
        <v>202</v>
      </c>
      <c r="AB11" s="1" t="s">
        <v>203</v>
      </c>
      <c r="AC11" s="1" t="s">
        <v>204</v>
      </c>
      <c r="AD11" s="1" t="s">
        <v>206</v>
      </c>
      <c r="AE11" s="1" t="s">
        <v>207</v>
      </c>
      <c r="AF11" s="1" t="s">
        <v>208</v>
      </c>
      <c r="AG11" s="1" t="s">
        <v>209</v>
      </c>
      <c r="AH11" s="1" t="s">
        <v>211</v>
      </c>
      <c r="AI11" s="1" t="s">
        <v>226</v>
      </c>
      <c r="AJ11" s="1" t="s">
        <v>231</v>
      </c>
      <c r="AK11" s="302" t="s">
        <v>296</v>
      </c>
      <c r="AL11" s="166" t="s">
        <v>250</v>
      </c>
    </row>
    <row r="12" spans="1:38" x14ac:dyDescent="0.25">
      <c r="A12" s="1" t="s">
        <v>50</v>
      </c>
      <c r="B12" s="39">
        <v>794988</v>
      </c>
      <c r="C12" s="128"/>
      <c r="D12" s="120"/>
      <c r="I12" s="171" t="s">
        <v>144</v>
      </c>
      <c r="J12" s="171" t="s">
        <v>129</v>
      </c>
      <c r="L12" s="166" t="s">
        <v>318</v>
      </c>
      <c r="M12" s="1" t="s">
        <v>139</v>
      </c>
      <c r="N12" s="1" t="s">
        <v>140</v>
      </c>
      <c r="O12" s="1" t="s">
        <v>142</v>
      </c>
      <c r="P12" s="1" t="s">
        <v>143</v>
      </c>
      <c r="Q12" s="1" t="s">
        <v>148</v>
      </c>
      <c r="R12" s="1" t="s">
        <v>151</v>
      </c>
      <c r="S12" s="1" t="s">
        <v>157</v>
      </c>
      <c r="T12" s="1" t="s">
        <v>159</v>
      </c>
      <c r="U12" s="1" t="s">
        <v>175</v>
      </c>
      <c r="V12" s="1" t="s">
        <v>181</v>
      </c>
      <c r="W12" s="1" t="s">
        <v>182</v>
      </c>
      <c r="X12" s="1" t="s">
        <v>187</v>
      </c>
      <c r="Y12" s="1" t="s">
        <v>193</v>
      </c>
      <c r="Z12" s="1" t="s">
        <v>194</v>
      </c>
      <c r="AA12" s="1" t="s">
        <v>196</v>
      </c>
      <c r="AB12" s="1" t="s">
        <v>198</v>
      </c>
      <c r="AC12" s="1" t="s">
        <v>212</v>
      </c>
      <c r="AD12" s="1" t="s">
        <v>218</v>
      </c>
      <c r="AE12" s="1" t="s">
        <v>224</v>
      </c>
      <c r="AF12" s="1" t="s">
        <v>225</v>
      </c>
      <c r="AG12" s="1" t="s">
        <v>232</v>
      </c>
      <c r="AH12" s="1" t="s">
        <v>234</v>
      </c>
      <c r="AI12" s="1" t="s">
        <v>237</v>
      </c>
      <c r="AJ12" s="1" t="s">
        <v>296</v>
      </c>
      <c r="AK12" s="166" t="s">
        <v>250</v>
      </c>
    </row>
    <row r="13" spans="1:38" x14ac:dyDescent="0.25">
      <c r="A13" s="1" t="s">
        <v>46</v>
      </c>
      <c r="B13" s="39">
        <v>892197</v>
      </c>
      <c r="C13" s="128"/>
      <c r="D13" s="120"/>
      <c r="I13" s="171" t="s">
        <v>145</v>
      </c>
      <c r="J13" s="171" t="s">
        <v>129</v>
      </c>
    </row>
    <row r="14" spans="1:38" x14ac:dyDescent="0.25">
      <c r="A14" s="1" t="s">
        <v>51</v>
      </c>
      <c r="B14" s="39">
        <v>1062076</v>
      </c>
      <c r="C14" s="128"/>
      <c r="D14" s="120"/>
      <c r="I14" s="171" t="s">
        <v>146</v>
      </c>
      <c r="J14" s="171" t="s">
        <v>50</v>
      </c>
    </row>
    <row r="15" spans="1:38" x14ac:dyDescent="0.25">
      <c r="A15" s="1" t="s">
        <v>129</v>
      </c>
      <c r="B15" s="39">
        <v>1243048</v>
      </c>
      <c r="C15" s="128"/>
      <c r="D15" s="120"/>
      <c r="I15" s="171" t="s">
        <v>147</v>
      </c>
      <c r="J15" s="171" t="s">
        <v>129</v>
      </c>
    </row>
    <row r="16" spans="1:38" x14ac:dyDescent="0.25">
      <c r="A16" s="166" t="s">
        <v>318</v>
      </c>
      <c r="B16" s="44">
        <v>1064168</v>
      </c>
      <c r="C16" s="128"/>
      <c r="D16" s="120"/>
      <c r="I16" s="171" t="s">
        <v>148</v>
      </c>
      <c r="J16" s="171" t="s">
        <v>318</v>
      </c>
    </row>
    <row r="17" spans="1:10" x14ac:dyDescent="0.25">
      <c r="B17" s="119">
        <f>SUM(B10:B16)</f>
        <v>9799003</v>
      </c>
      <c r="C17" s="123"/>
      <c r="D17" s="120"/>
      <c r="I17" s="171" t="s">
        <v>149</v>
      </c>
      <c r="J17" s="171" t="s">
        <v>46</v>
      </c>
    </row>
    <row r="18" spans="1:10" x14ac:dyDescent="0.25">
      <c r="A18" s="12" t="s">
        <v>76</v>
      </c>
      <c r="C18" s="120"/>
      <c r="D18" s="120"/>
      <c r="I18" s="171" t="s">
        <v>150</v>
      </c>
      <c r="J18" t="s">
        <v>49</v>
      </c>
    </row>
    <row r="19" spans="1:10" x14ac:dyDescent="0.25">
      <c r="A19" s="41" t="s">
        <v>77</v>
      </c>
      <c r="B19" s="126"/>
      <c r="C19" s="125"/>
      <c r="D19" s="120"/>
      <c r="I19" s="171" t="s">
        <v>151</v>
      </c>
      <c r="J19" s="171" t="s">
        <v>318</v>
      </c>
    </row>
    <row r="20" spans="1:10" x14ac:dyDescent="0.25">
      <c r="A20" s="41" t="s">
        <v>78</v>
      </c>
      <c r="C20" s="120"/>
      <c r="D20" s="120"/>
      <c r="I20" s="171" t="s">
        <v>152</v>
      </c>
      <c r="J20" s="171" t="s">
        <v>129</v>
      </c>
    </row>
    <row r="21" spans="1:10" x14ac:dyDescent="0.25">
      <c r="A21" s="41" t="s">
        <v>79</v>
      </c>
      <c r="B21" s="1" t="s">
        <v>99</v>
      </c>
      <c r="I21" s="171" t="s">
        <v>153</v>
      </c>
      <c r="J21" s="171" t="s">
        <v>129</v>
      </c>
    </row>
    <row r="22" spans="1:10" x14ac:dyDescent="0.25">
      <c r="A22" s="41" t="s">
        <v>80</v>
      </c>
      <c r="B22" s="167" t="s">
        <v>132</v>
      </c>
      <c r="I22" s="171" t="s">
        <v>154</v>
      </c>
      <c r="J22" s="171" t="s">
        <v>49</v>
      </c>
    </row>
    <row r="23" spans="1:10" x14ac:dyDescent="0.25">
      <c r="A23" s="41" t="s">
        <v>81</v>
      </c>
      <c r="B23" s="1" t="s">
        <v>135</v>
      </c>
      <c r="I23" s="171" t="s">
        <v>155</v>
      </c>
      <c r="J23" s="171" t="s">
        <v>46</v>
      </c>
    </row>
    <row r="24" spans="1:10" x14ac:dyDescent="0.25">
      <c r="A24" s="166" t="s">
        <v>130</v>
      </c>
      <c r="I24" s="171" t="s">
        <v>156</v>
      </c>
      <c r="J24" s="171" t="s">
        <v>49</v>
      </c>
    </row>
    <row r="25" spans="1:10" x14ac:dyDescent="0.25">
      <c r="A25" s="166" t="s">
        <v>131</v>
      </c>
      <c r="I25" s="171" t="s">
        <v>157</v>
      </c>
      <c r="J25" s="171" t="s">
        <v>318</v>
      </c>
    </row>
    <row r="26" spans="1:10" x14ac:dyDescent="0.25">
      <c r="I26" s="171" t="s">
        <v>158</v>
      </c>
      <c r="J26" s="171" t="s">
        <v>129</v>
      </c>
    </row>
    <row r="27" spans="1:10" x14ac:dyDescent="0.25">
      <c r="I27" s="171" t="s">
        <v>159</v>
      </c>
      <c r="J27" s="171" t="s">
        <v>318</v>
      </c>
    </row>
    <row r="28" spans="1:10" x14ac:dyDescent="0.25">
      <c r="I28" s="171" t="s">
        <v>160</v>
      </c>
      <c r="J28" s="171" t="s">
        <v>46</v>
      </c>
    </row>
    <row r="29" spans="1:10" x14ac:dyDescent="0.25">
      <c r="I29" s="171" t="s">
        <v>161</v>
      </c>
      <c r="J29" s="171" t="s">
        <v>50</v>
      </c>
    </row>
    <row r="30" spans="1:10" x14ac:dyDescent="0.25">
      <c r="I30" s="171" t="s">
        <v>162</v>
      </c>
      <c r="J30" s="171" t="s">
        <v>129</v>
      </c>
    </row>
    <row r="31" spans="1:10" x14ac:dyDescent="0.25">
      <c r="I31" s="171" t="s">
        <v>163</v>
      </c>
      <c r="J31" s="171" t="s">
        <v>48</v>
      </c>
    </row>
    <row r="32" spans="1:10" x14ac:dyDescent="0.25">
      <c r="I32" s="171" t="s">
        <v>164</v>
      </c>
      <c r="J32" s="171" t="s">
        <v>129</v>
      </c>
    </row>
    <row r="33" spans="9:10" x14ac:dyDescent="0.25">
      <c r="I33" s="171" t="s">
        <v>165</v>
      </c>
      <c r="J33" s="171" t="s">
        <v>129</v>
      </c>
    </row>
    <row r="34" spans="9:10" x14ac:dyDescent="0.25">
      <c r="I34" s="171" t="s">
        <v>166</v>
      </c>
      <c r="J34" t="s">
        <v>49</v>
      </c>
    </row>
    <row r="35" spans="9:10" x14ac:dyDescent="0.25">
      <c r="I35" s="171" t="s">
        <v>167</v>
      </c>
      <c r="J35" t="s">
        <v>49</v>
      </c>
    </row>
    <row r="36" spans="9:10" x14ac:dyDescent="0.25">
      <c r="I36" s="171" t="s">
        <v>168</v>
      </c>
      <c r="J36" s="171" t="s">
        <v>50</v>
      </c>
    </row>
    <row r="37" spans="9:10" x14ac:dyDescent="0.25">
      <c r="I37" s="171" t="s">
        <v>169</v>
      </c>
      <c r="J37" s="171" t="s">
        <v>48</v>
      </c>
    </row>
    <row r="38" spans="9:10" x14ac:dyDescent="0.25">
      <c r="I38" s="171" t="s">
        <v>170</v>
      </c>
      <c r="J38" s="171" t="s">
        <v>50</v>
      </c>
    </row>
    <row r="39" spans="9:10" x14ac:dyDescent="0.25">
      <c r="I39" s="171" t="s">
        <v>171</v>
      </c>
      <c r="J39" t="s">
        <v>49</v>
      </c>
    </row>
    <row r="40" spans="9:10" x14ac:dyDescent="0.25">
      <c r="I40" s="171" t="s">
        <v>172</v>
      </c>
      <c r="J40" s="171" t="s">
        <v>49</v>
      </c>
    </row>
    <row r="41" spans="9:10" x14ac:dyDescent="0.25">
      <c r="I41" s="171" t="s">
        <v>173</v>
      </c>
      <c r="J41" s="171" t="s">
        <v>46</v>
      </c>
    </row>
    <row r="42" spans="9:10" x14ac:dyDescent="0.25">
      <c r="I42" s="171" t="s">
        <v>174</v>
      </c>
      <c r="J42" s="171" t="s">
        <v>129</v>
      </c>
    </row>
    <row r="43" spans="9:10" x14ac:dyDescent="0.25">
      <c r="I43" s="171" t="s">
        <v>175</v>
      </c>
      <c r="J43" s="171" t="s">
        <v>318</v>
      </c>
    </row>
    <row r="44" spans="9:10" x14ac:dyDescent="0.25">
      <c r="I44" s="171" t="s">
        <v>176</v>
      </c>
      <c r="J44" s="171" t="s">
        <v>49</v>
      </c>
    </row>
    <row r="45" spans="9:10" x14ac:dyDescent="0.25">
      <c r="I45" s="171" t="s">
        <v>177</v>
      </c>
      <c r="J45" s="171" t="s">
        <v>50</v>
      </c>
    </row>
    <row r="46" spans="9:10" x14ac:dyDescent="0.25">
      <c r="I46" s="171" t="s">
        <v>178</v>
      </c>
      <c r="J46" s="171" t="s">
        <v>51</v>
      </c>
    </row>
    <row r="47" spans="9:10" x14ac:dyDescent="0.25">
      <c r="I47" s="171" t="s">
        <v>179</v>
      </c>
      <c r="J47" s="171" t="s">
        <v>49</v>
      </c>
    </row>
    <row r="48" spans="9:10" x14ac:dyDescent="0.25">
      <c r="I48" s="171" t="s">
        <v>180</v>
      </c>
      <c r="J48" s="171" t="s">
        <v>51</v>
      </c>
    </row>
    <row r="49" spans="9:10" x14ac:dyDescent="0.25">
      <c r="I49" s="171" t="s">
        <v>181</v>
      </c>
      <c r="J49" s="171" t="s">
        <v>318</v>
      </c>
    </row>
    <row r="50" spans="9:10" x14ac:dyDescent="0.25">
      <c r="I50" s="171" t="s">
        <v>182</v>
      </c>
      <c r="J50" s="171" t="s">
        <v>318</v>
      </c>
    </row>
    <row r="51" spans="9:10" x14ac:dyDescent="0.25">
      <c r="I51" s="171" t="s">
        <v>183</v>
      </c>
      <c r="J51" s="171" t="s">
        <v>129</v>
      </c>
    </row>
    <row r="52" spans="9:10" x14ac:dyDescent="0.25">
      <c r="I52" s="171" t="s">
        <v>184</v>
      </c>
      <c r="J52" s="171" t="s">
        <v>51</v>
      </c>
    </row>
    <row r="53" spans="9:10" x14ac:dyDescent="0.25">
      <c r="I53" s="171" t="s">
        <v>185</v>
      </c>
      <c r="J53" s="171" t="s">
        <v>129</v>
      </c>
    </row>
    <row r="54" spans="9:10" x14ac:dyDescent="0.25">
      <c r="I54" s="171" t="s">
        <v>186</v>
      </c>
      <c r="J54" s="171" t="s">
        <v>46</v>
      </c>
    </row>
    <row r="55" spans="9:10" x14ac:dyDescent="0.25">
      <c r="I55" s="171" t="s">
        <v>187</v>
      </c>
      <c r="J55" s="171" t="s">
        <v>318</v>
      </c>
    </row>
    <row r="56" spans="9:10" x14ac:dyDescent="0.25">
      <c r="I56" s="171" t="s">
        <v>188</v>
      </c>
      <c r="J56" s="171" t="s">
        <v>48</v>
      </c>
    </row>
    <row r="57" spans="9:10" x14ac:dyDescent="0.25">
      <c r="I57" s="171" t="s">
        <v>189</v>
      </c>
      <c r="J57" s="171" t="s">
        <v>129</v>
      </c>
    </row>
    <row r="58" spans="9:10" x14ac:dyDescent="0.25">
      <c r="I58" s="171" t="s">
        <v>190</v>
      </c>
      <c r="J58" s="171" t="s">
        <v>51</v>
      </c>
    </row>
    <row r="59" spans="9:10" x14ac:dyDescent="0.25">
      <c r="I59" s="171" t="s">
        <v>191</v>
      </c>
      <c r="J59" s="171" t="s">
        <v>50</v>
      </c>
    </row>
    <row r="60" spans="9:10" x14ac:dyDescent="0.25">
      <c r="I60" s="171" t="s">
        <v>192</v>
      </c>
      <c r="J60" s="171" t="s">
        <v>46</v>
      </c>
    </row>
    <row r="61" spans="9:10" x14ac:dyDescent="0.25">
      <c r="I61" s="171" t="s">
        <v>193</v>
      </c>
      <c r="J61" s="171" t="s">
        <v>318</v>
      </c>
    </row>
    <row r="62" spans="9:10" x14ac:dyDescent="0.25">
      <c r="I62" s="171" t="s">
        <v>194</v>
      </c>
      <c r="J62" s="171" t="s">
        <v>318</v>
      </c>
    </row>
    <row r="63" spans="9:10" x14ac:dyDescent="0.25">
      <c r="I63" s="171" t="s">
        <v>195</v>
      </c>
      <c r="J63" s="171" t="s">
        <v>129</v>
      </c>
    </row>
    <row r="64" spans="9:10" x14ac:dyDescent="0.25">
      <c r="I64" s="171" t="s">
        <v>196</v>
      </c>
      <c r="J64" s="171" t="s">
        <v>318</v>
      </c>
    </row>
    <row r="65" spans="9:10" x14ac:dyDescent="0.25">
      <c r="I65" s="171" t="s">
        <v>197</v>
      </c>
      <c r="J65" s="171" t="s">
        <v>49</v>
      </c>
    </row>
    <row r="66" spans="9:10" x14ac:dyDescent="0.25">
      <c r="I66" s="171" t="s">
        <v>198</v>
      </c>
      <c r="J66" s="171" t="s">
        <v>318</v>
      </c>
    </row>
    <row r="67" spans="9:10" x14ac:dyDescent="0.25">
      <c r="I67" s="171" t="s">
        <v>199</v>
      </c>
      <c r="J67" s="171" t="s">
        <v>51</v>
      </c>
    </row>
    <row r="68" spans="9:10" x14ac:dyDescent="0.25">
      <c r="I68" s="171" t="s">
        <v>200</v>
      </c>
      <c r="J68" s="171" t="s">
        <v>51</v>
      </c>
    </row>
    <row r="69" spans="9:10" x14ac:dyDescent="0.25">
      <c r="I69" s="171" t="s">
        <v>201</v>
      </c>
      <c r="J69" s="171" t="s">
        <v>50</v>
      </c>
    </row>
    <row r="70" spans="9:10" x14ac:dyDescent="0.25">
      <c r="I70" s="171" t="s">
        <v>202</v>
      </c>
      <c r="J70" s="171" t="s">
        <v>129</v>
      </c>
    </row>
    <row r="71" spans="9:10" x14ac:dyDescent="0.25">
      <c r="I71" s="171" t="s">
        <v>203</v>
      </c>
      <c r="J71" s="171" t="s">
        <v>129</v>
      </c>
    </row>
    <row r="72" spans="9:10" x14ac:dyDescent="0.25">
      <c r="I72" s="171" t="s">
        <v>204</v>
      </c>
      <c r="J72" s="171" t="s">
        <v>129</v>
      </c>
    </row>
    <row r="73" spans="9:10" x14ac:dyDescent="0.25">
      <c r="I73" s="171" t="s">
        <v>205</v>
      </c>
      <c r="J73" s="171" t="s">
        <v>49</v>
      </c>
    </row>
    <row r="74" spans="9:10" x14ac:dyDescent="0.25">
      <c r="I74" s="171" t="s">
        <v>206</v>
      </c>
      <c r="J74" s="171" t="s">
        <v>129</v>
      </c>
    </row>
    <row r="75" spans="9:10" x14ac:dyDescent="0.25">
      <c r="I75" s="171" t="s">
        <v>207</v>
      </c>
      <c r="J75" s="171" t="s">
        <v>129</v>
      </c>
    </row>
    <row r="76" spans="9:10" x14ac:dyDescent="0.25">
      <c r="I76" s="171" t="s">
        <v>208</v>
      </c>
      <c r="J76" s="171" t="s">
        <v>129</v>
      </c>
    </row>
    <row r="77" spans="9:10" x14ac:dyDescent="0.25">
      <c r="I77" s="171" t="s">
        <v>209</v>
      </c>
      <c r="J77" s="171" t="s">
        <v>129</v>
      </c>
    </row>
    <row r="78" spans="9:10" x14ac:dyDescent="0.25">
      <c r="I78" s="171" t="s">
        <v>210</v>
      </c>
      <c r="J78" s="171" t="s">
        <v>49</v>
      </c>
    </row>
    <row r="79" spans="9:10" x14ac:dyDescent="0.25">
      <c r="I79" s="171" t="s">
        <v>211</v>
      </c>
      <c r="J79" s="171" t="s">
        <v>129</v>
      </c>
    </row>
    <row r="80" spans="9:10" x14ac:dyDescent="0.25">
      <c r="I80" s="171" t="s">
        <v>212</v>
      </c>
      <c r="J80" s="171" t="s">
        <v>318</v>
      </c>
    </row>
    <row r="81" spans="9:10" x14ac:dyDescent="0.25">
      <c r="I81" s="171" t="s">
        <v>213</v>
      </c>
      <c r="J81" s="171" t="s">
        <v>51</v>
      </c>
    </row>
    <row r="82" spans="9:10" x14ac:dyDescent="0.25">
      <c r="I82" s="171" t="s">
        <v>214</v>
      </c>
      <c r="J82" s="171" t="s">
        <v>51</v>
      </c>
    </row>
    <row r="83" spans="9:10" x14ac:dyDescent="0.25">
      <c r="I83" s="171" t="s">
        <v>215</v>
      </c>
      <c r="J83" s="171" t="s">
        <v>50</v>
      </c>
    </row>
    <row r="84" spans="9:10" x14ac:dyDescent="0.25">
      <c r="I84" s="171" t="s">
        <v>216</v>
      </c>
      <c r="J84" t="s">
        <v>49</v>
      </c>
    </row>
    <row r="85" spans="9:10" x14ac:dyDescent="0.25">
      <c r="I85" s="171" t="s">
        <v>217</v>
      </c>
      <c r="J85" t="s">
        <v>49</v>
      </c>
    </row>
    <row r="86" spans="9:10" x14ac:dyDescent="0.25">
      <c r="I86" s="171" t="s">
        <v>218</v>
      </c>
      <c r="J86" s="171" t="s">
        <v>318</v>
      </c>
    </row>
    <row r="87" spans="9:10" x14ac:dyDescent="0.25">
      <c r="I87" s="171" t="s">
        <v>219</v>
      </c>
      <c r="J87" s="171" t="s">
        <v>50</v>
      </c>
    </row>
    <row r="88" spans="9:10" x14ac:dyDescent="0.25">
      <c r="I88" s="171" t="s">
        <v>220</v>
      </c>
      <c r="J88" s="171" t="s">
        <v>50</v>
      </c>
    </row>
    <row r="89" spans="9:10" x14ac:dyDescent="0.25">
      <c r="I89" s="171" t="s">
        <v>221</v>
      </c>
      <c r="J89" t="s">
        <v>49</v>
      </c>
    </row>
    <row r="90" spans="9:10" x14ac:dyDescent="0.25">
      <c r="I90" s="171" t="s">
        <v>222</v>
      </c>
      <c r="J90" t="s">
        <v>49</v>
      </c>
    </row>
    <row r="91" spans="9:10" x14ac:dyDescent="0.25">
      <c r="I91" s="171" t="s">
        <v>223</v>
      </c>
      <c r="J91" s="171" t="s">
        <v>46</v>
      </c>
    </row>
    <row r="92" spans="9:10" x14ac:dyDescent="0.25">
      <c r="I92" s="171" t="s">
        <v>224</v>
      </c>
      <c r="J92" s="171" t="s">
        <v>318</v>
      </c>
    </row>
    <row r="93" spans="9:10" x14ac:dyDescent="0.25">
      <c r="I93" s="171" t="s">
        <v>225</v>
      </c>
      <c r="J93" s="171" t="s">
        <v>318</v>
      </c>
    </row>
    <row r="94" spans="9:10" x14ac:dyDescent="0.25">
      <c r="I94" s="171" t="s">
        <v>226</v>
      </c>
      <c r="J94" s="171" t="s">
        <v>129</v>
      </c>
    </row>
    <row r="95" spans="9:10" x14ac:dyDescent="0.25">
      <c r="I95" s="171" t="s">
        <v>227</v>
      </c>
      <c r="J95" t="s">
        <v>49</v>
      </c>
    </row>
    <row r="96" spans="9:10" x14ac:dyDescent="0.25">
      <c r="I96" s="171" t="s">
        <v>228</v>
      </c>
      <c r="J96" s="171" t="s">
        <v>49</v>
      </c>
    </row>
    <row r="97" spans="9:10" x14ac:dyDescent="0.25">
      <c r="I97" s="171" t="s">
        <v>229</v>
      </c>
      <c r="J97" s="171" t="s">
        <v>48</v>
      </c>
    </row>
    <row r="98" spans="9:10" x14ac:dyDescent="0.25">
      <c r="I98" s="171" t="s">
        <v>230</v>
      </c>
      <c r="J98" s="171" t="s">
        <v>49</v>
      </c>
    </row>
    <row r="99" spans="9:10" x14ac:dyDescent="0.25">
      <c r="I99" s="171" t="s">
        <v>231</v>
      </c>
      <c r="J99" s="171" t="s">
        <v>129</v>
      </c>
    </row>
    <row r="100" spans="9:10" x14ac:dyDescent="0.25">
      <c r="I100" s="171" t="s">
        <v>232</v>
      </c>
      <c r="J100" s="171" t="s">
        <v>318</v>
      </c>
    </row>
    <row r="101" spans="9:10" x14ac:dyDescent="0.25">
      <c r="I101" s="171" t="s">
        <v>233</v>
      </c>
      <c r="J101" s="171" t="s">
        <v>50</v>
      </c>
    </row>
    <row r="102" spans="9:10" x14ac:dyDescent="0.25">
      <c r="I102" s="171" t="s">
        <v>234</v>
      </c>
      <c r="J102" s="171" t="s">
        <v>318</v>
      </c>
    </row>
    <row r="103" spans="9:10" x14ac:dyDescent="0.25">
      <c r="I103" s="171" t="s">
        <v>235</v>
      </c>
      <c r="J103" s="171" t="s">
        <v>50</v>
      </c>
    </row>
    <row r="104" spans="9:10" x14ac:dyDescent="0.25">
      <c r="I104" s="171" t="s">
        <v>236</v>
      </c>
      <c r="J104" s="171" t="s">
        <v>46</v>
      </c>
    </row>
    <row r="105" spans="9:10" x14ac:dyDescent="0.25">
      <c r="I105" s="171" t="s">
        <v>237</v>
      </c>
      <c r="J105" s="171" t="s">
        <v>318</v>
      </c>
    </row>
    <row r="106" spans="9:10" x14ac:dyDescent="0.25">
      <c r="I106" s="166" t="s">
        <v>250</v>
      </c>
    </row>
    <row r="107" spans="9:10" x14ac:dyDescent="0.25">
      <c r="I107" s="166" t="s">
        <v>266</v>
      </c>
    </row>
  </sheetData>
  <sheetProtection sheet="1" objects="1" scenarios="1" autoFilter="0"/>
  <autoFilter ref="I5:J107"/>
  <sortState ref="A10:B16">
    <sortCondition ref="A10:A16"/>
  </sortState>
  <conditionalFormatting sqref="M6:AK6 M8:AK12">
    <cfRule type="cellIs" dxfId="8" priority="6" operator="equal">
      <formula>""</formula>
    </cfRule>
  </conditionalFormatting>
  <conditionalFormatting sqref="M7:AG7 AI7:AK7">
    <cfRule type="cellIs" dxfId="7" priority="5" operator="equal">
      <formula>""</formula>
    </cfRule>
  </conditionalFormatting>
  <conditionalFormatting sqref="AH7">
    <cfRule type="cellIs" dxfId="6" priority="4" operator="equal">
      <formula>""</formula>
    </cfRule>
  </conditionalFormatting>
  <conditionalFormatting sqref="AL12">
    <cfRule type="cellIs" dxfId="5" priority="3" operator="equal">
      <formula>""</formula>
    </cfRule>
  </conditionalFormatting>
  <conditionalFormatting sqref="AL6 AL8:AL10">
    <cfRule type="cellIs" dxfId="4" priority="2" operator="equal">
      <formula>""</formula>
    </cfRule>
  </conditionalFormatting>
  <conditionalFormatting sqref="AL7">
    <cfRule type="cellIs" dxfId="3" priority="1" operator="equal">
      <formula>""</formula>
    </cfRule>
  </conditionalFormatting>
  <hyperlinks>
    <hyperlink ref="B22" r:id="rId1"/>
  </hyperlinks>
  <pageMargins left="0.7" right="0.7" top="0.75" bottom="0.75" header="0.3" footer="0.3"/>
  <pageSetup scale="82" orientation="portrait" r:id="rId2"/>
  <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R86"/>
  <sheetViews>
    <sheetView showGridLines="0" workbookViewId="0">
      <pane ySplit="4" topLeftCell="A5" activePane="bottomLeft" state="frozen"/>
      <selection activeCell="A11" sqref="A11"/>
      <selection pane="bottomLeft" activeCell="A5" sqref="A5"/>
    </sheetView>
  </sheetViews>
  <sheetFormatPr defaultColWidth="9.109375" defaultRowHeight="13.2" x14ac:dyDescent="0.25"/>
  <cols>
    <col min="1" max="1" width="6.6640625" style="170" customWidth="1"/>
    <col min="2" max="2" width="7.88671875" style="170" bestFit="1" customWidth="1"/>
    <col min="3" max="3" width="36" style="170" bestFit="1" customWidth="1"/>
    <col min="4" max="4" width="12.6640625" style="170" customWidth="1"/>
    <col min="5" max="5" width="14.44140625" style="170" bestFit="1" customWidth="1"/>
    <col min="6" max="16" width="9.109375" style="170"/>
    <col min="17" max="17" width="11.6640625" style="170" customWidth="1"/>
    <col min="18" max="16384" width="9.109375" style="170"/>
  </cols>
  <sheetData>
    <row r="1" spans="1:18" ht="20.100000000000001" customHeight="1" x14ac:dyDescent="0.25">
      <c r="A1" s="237" t="s">
        <v>270</v>
      </c>
    </row>
    <row r="2" spans="1:18" ht="20.100000000000001" customHeight="1" thickBot="1" x14ac:dyDescent="0.3">
      <c r="A2" s="258" t="s">
        <v>240</v>
      </c>
      <c r="C2" s="174" t="str">
        <f>IF('Page 1'!$B$8="","Enter LME-MCO on the Page 1 worksheet",'Page 1'!$B$8)</f>
        <v>Enter LME-MCO on the Page 1 worksheet</v>
      </c>
      <c r="K2" s="187"/>
      <c r="L2" s="187"/>
      <c r="O2" s="236"/>
    </row>
    <row r="3" spans="1:18" ht="140.1" customHeight="1" thickTop="1" thickBot="1" x14ac:dyDescent="0.3">
      <c r="F3" s="193" t="s">
        <v>248</v>
      </c>
      <c r="G3" s="194" t="s">
        <v>243</v>
      </c>
      <c r="H3" s="194" t="s">
        <v>244</v>
      </c>
      <c r="I3" s="193" t="s">
        <v>247</v>
      </c>
      <c r="J3" s="194" t="s">
        <v>245</v>
      </c>
      <c r="K3" s="193" t="s">
        <v>249</v>
      </c>
      <c r="L3" s="194" t="s">
        <v>246</v>
      </c>
      <c r="M3" s="197" t="s">
        <v>241</v>
      </c>
      <c r="N3" s="297" t="s">
        <v>278</v>
      </c>
      <c r="O3" s="196" t="s">
        <v>279</v>
      </c>
      <c r="P3" s="298" t="s">
        <v>280</v>
      </c>
      <c r="Q3" s="198" t="s">
        <v>309</v>
      </c>
    </row>
    <row r="4" spans="1:18" ht="40.799999999999997" thickTop="1" thickBot="1" x14ac:dyDescent="0.3">
      <c r="A4" s="246" t="s">
        <v>76</v>
      </c>
      <c r="B4" s="246" t="s">
        <v>267</v>
      </c>
      <c r="C4" s="246" t="s">
        <v>52</v>
      </c>
      <c r="D4" s="246" t="s">
        <v>268</v>
      </c>
      <c r="E4" s="247" t="s">
        <v>316</v>
      </c>
      <c r="F4" s="239" t="s">
        <v>256</v>
      </c>
      <c r="G4" s="240" t="s">
        <v>269</v>
      </c>
      <c r="H4" s="240" t="s">
        <v>257</v>
      </c>
      <c r="I4" s="240" t="s">
        <v>259</v>
      </c>
      <c r="J4" s="240" t="s">
        <v>260</v>
      </c>
      <c r="K4" s="240" t="s">
        <v>262</v>
      </c>
      <c r="L4" s="240" t="s">
        <v>263</v>
      </c>
      <c r="M4" s="240" t="s">
        <v>265</v>
      </c>
      <c r="N4" s="240" t="s">
        <v>258</v>
      </c>
      <c r="O4" s="240" t="s">
        <v>261</v>
      </c>
      <c r="P4" s="240" t="s">
        <v>264</v>
      </c>
      <c r="Q4" s="257" t="s">
        <v>272</v>
      </c>
      <c r="R4" s="189" t="s">
        <v>271</v>
      </c>
    </row>
    <row r="5" spans="1:18" ht="15" customHeight="1" thickTop="1" x14ac:dyDescent="0.25">
      <c r="A5" s="270" t="str">
        <f>RIGHT('Page 1'!$B$5,4)</f>
        <v>2017</v>
      </c>
      <c r="B5" s="270" t="str">
        <f>IF('Page 1'!$B$6="First Quarter","Q1",IF('Page 1'!$B$6="Second Quarter","Q2",IF('Page 1'!$B$6="Third Quarter","Q3",IF('Page 1'!$B$6="Fourth Quarter","Q4",""))))</f>
        <v>Q1</v>
      </c>
      <c r="C5" s="270" t="str">
        <f>IF('Page 1'!$B$8="","",'Page 1'!$B$8)</f>
        <v/>
      </c>
      <c r="D5" s="271" t="s">
        <v>13</v>
      </c>
      <c r="E5" s="272" t="str">
        <f>IF($C$2="Enter LME-MCO on the Page 1 worksheet","",IF(VLOOKUP($C$2,County_Lookup,2,FALSE)=0,"",VLOOKUP($C$2,County_Lookup,2,FALSE)))</f>
        <v/>
      </c>
      <c r="F5" s="248">
        <f>VLOOKUP($E5,'Page 3'!$A$7:$Z$33,2,FALSE)</f>
        <v>0</v>
      </c>
      <c r="G5" s="248">
        <f>VLOOKUP($E5,'Page 3'!$A$7:$Z$33,3,FALSE)</f>
        <v>0</v>
      </c>
      <c r="H5" s="248">
        <f>VLOOKUP($E5,'Page 3'!$A$7:$Z$33,4,FALSE)</f>
        <v>0</v>
      </c>
      <c r="I5" s="248">
        <f>VLOOKUP($E5,'Page 3'!$A$7:$Z$33,5,FALSE)</f>
        <v>0</v>
      </c>
      <c r="J5" s="248">
        <f>VLOOKUP($E5,'Page 3'!$A$7:$Z$33,6,FALSE)</f>
        <v>0</v>
      </c>
      <c r="K5" s="248">
        <f>VLOOKUP($E5,'Page 3'!$A$7:$Z$33,7,FALSE)</f>
        <v>0</v>
      </c>
      <c r="L5" s="248">
        <f>VLOOKUP($E5,'Page 3'!$A$7:$Z$33,8,FALSE)</f>
        <v>0</v>
      </c>
      <c r="M5" s="250">
        <f>VLOOKUP($E5,'Page 3'!$A$7:$Z$33,9,FALSE)</f>
        <v>0</v>
      </c>
      <c r="N5" s="249">
        <f t="shared" ref="N5:N30" si="0">IF(F5=0,0,SUM(G5:H5)/F5)</f>
        <v>0</v>
      </c>
      <c r="O5" s="249">
        <f t="shared" ref="O5:O30" si="1">IF(I5=0,0,J5/I5)</f>
        <v>0</v>
      </c>
      <c r="P5" s="249">
        <f t="shared" ref="P5:P30" si="2">IF(K5=0,0,L5/K5)</f>
        <v>0</v>
      </c>
      <c r="Q5" s="251">
        <f t="shared" ref="Q5:Q30" si="3">SUM(F5,I5,K5)</f>
        <v>0</v>
      </c>
      <c r="R5" s="256" t="str">
        <f>IF(OR($E5="LME-MCO Total",Q5&gt;0),1,"")</f>
        <v/>
      </c>
    </row>
    <row r="6" spans="1:18" ht="15" customHeight="1" x14ac:dyDescent="0.25">
      <c r="A6" s="273" t="str">
        <f>RIGHT('Page 1'!$B$5,4)</f>
        <v>2017</v>
      </c>
      <c r="B6" s="273" t="str">
        <f>IF('Page 1'!$B$6="First Quarter","Q1",IF('Page 1'!$B$6="Second Quarter","Q2",IF('Page 1'!$B$6="Third Quarter","Q3",IF('Page 1'!$B$6="Fourth Quarter","Q4",""))))</f>
        <v>Q1</v>
      </c>
      <c r="C6" s="273" t="str">
        <f>IF('Page 1'!$B$8="","",'Page 1'!$B$8)</f>
        <v/>
      </c>
      <c r="D6" s="274" t="s">
        <v>13</v>
      </c>
      <c r="E6" s="275" t="str">
        <f>IF($C$2="Enter LME-MCO on the Page 1 worksheet","",IF(VLOOKUP($C$2,County_Lookup,3,FALSE)=0,"",VLOOKUP($C$2,County_Lookup,3,FALSE)))</f>
        <v/>
      </c>
      <c r="F6" s="252">
        <f>VLOOKUP($E6,'Page 3'!$A$7:$Z$33,2,FALSE)</f>
        <v>0</v>
      </c>
      <c r="G6" s="252">
        <f>VLOOKUP($E6,'Page 3'!$A$7:$Z$33,3,FALSE)</f>
        <v>0</v>
      </c>
      <c r="H6" s="252">
        <f>VLOOKUP($E6,'Page 3'!$A$7:$Z$33,4,FALSE)</f>
        <v>0</v>
      </c>
      <c r="I6" s="252">
        <f>VLOOKUP($E6,'Page 3'!$A$7:$Z$33,5,FALSE)</f>
        <v>0</v>
      </c>
      <c r="J6" s="252">
        <f>VLOOKUP($E6,'Page 3'!$A$7:$Z$33,6,FALSE)</f>
        <v>0</v>
      </c>
      <c r="K6" s="252">
        <f>VLOOKUP($E6,'Page 3'!$A$7:$Z$33,7,FALSE)</f>
        <v>0</v>
      </c>
      <c r="L6" s="252">
        <f>VLOOKUP($E6,'Page 3'!$A$7:$Z$33,8,FALSE)</f>
        <v>0</v>
      </c>
      <c r="M6" s="254">
        <f>VLOOKUP($E6,'Page 3'!$A$7:$Z$33,9,FALSE)</f>
        <v>0</v>
      </c>
      <c r="N6" s="253">
        <f t="shared" si="0"/>
        <v>0</v>
      </c>
      <c r="O6" s="253">
        <f t="shared" si="1"/>
        <v>0</v>
      </c>
      <c r="P6" s="253">
        <f t="shared" si="2"/>
        <v>0</v>
      </c>
      <c r="Q6" s="255">
        <f t="shared" si="3"/>
        <v>0</v>
      </c>
      <c r="R6" s="256" t="str">
        <f t="shared" ref="R6:R69" si="4">IF(OR($E6="LME-MCO Total",Q6&gt;0),1,"")</f>
        <v/>
      </c>
    </row>
    <row r="7" spans="1:18" ht="15" customHeight="1" x14ac:dyDescent="0.25">
      <c r="A7" s="273" t="str">
        <f>RIGHT('Page 1'!$B$5,4)</f>
        <v>2017</v>
      </c>
      <c r="B7" s="273" t="str">
        <f>IF('Page 1'!$B$6="First Quarter","Q1",IF('Page 1'!$B$6="Second Quarter","Q2",IF('Page 1'!$B$6="Third Quarter","Q3",IF('Page 1'!$B$6="Fourth Quarter","Q4",""))))</f>
        <v>Q1</v>
      </c>
      <c r="C7" s="273" t="str">
        <f>IF('Page 1'!$B$8="","",'Page 1'!$B$8)</f>
        <v/>
      </c>
      <c r="D7" s="274" t="s">
        <v>13</v>
      </c>
      <c r="E7" s="275" t="str">
        <f>IF($C$2="Enter LME-MCO on the Page 1 worksheet","",IF(VLOOKUP($C$2,County_Lookup,4,FALSE)=0,"",VLOOKUP($C$2,County_Lookup,4,FALSE)))</f>
        <v/>
      </c>
      <c r="F7" s="252">
        <f>VLOOKUP($E7,'Page 3'!$A$7:$Z$33,2,FALSE)</f>
        <v>0</v>
      </c>
      <c r="G7" s="252">
        <f>VLOOKUP($E7,'Page 3'!$A$7:$Z$33,3,FALSE)</f>
        <v>0</v>
      </c>
      <c r="H7" s="252">
        <f>VLOOKUP($E7,'Page 3'!$A$7:$Z$33,4,FALSE)</f>
        <v>0</v>
      </c>
      <c r="I7" s="252">
        <f>VLOOKUP($E7,'Page 3'!$A$7:$Z$33,5,FALSE)</f>
        <v>0</v>
      </c>
      <c r="J7" s="252">
        <f>VLOOKUP($E7,'Page 3'!$A$7:$Z$33,6,FALSE)</f>
        <v>0</v>
      </c>
      <c r="K7" s="252">
        <f>VLOOKUP($E7,'Page 3'!$A$7:$Z$33,7,FALSE)</f>
        <v>0</v>
      </c>
      <c r="L7" s="252">
        <f>VLOOKUP($E7,'Page 3'!$A$7:$Z$33,8,FALSE)</f>
        <v>0</v>
      </c>
      <c r="M7" s="254">
        <f>VLOOKUP($E7,'Page 3'!$A$7:$Z$33,9,FALSE)</f>
        <v>0</v>
      </c>
      <c r="N7" s="253">
        <f t="shared" si="0"/>
        <v>0</v>
      </c>
      <c r="O7" s="253">
        <f t="shared" si="1"/>
        <v>0</v>
      </c>
      <c r="P7" s="253">
        <f t="shared" si="2"/>
        <v>0</v>
      </c>
      <c r="Q7" s="255">
        <f t="shared" si="3"/>
        <v>0</v>
      </c>
      <c r="R7" s="256" t="str">
        <f t="shared" si="4"/>
        <v/>
      </c>
    </row>
    <row r="8" spans="1:18" ht="15" customHeight="1" x14ac:dyDescent="0.25">
      <c r="A8" s="273" t="str">
        <f>RIGHT('Page 1'!$B$5,4)</f>
        <v>2017</v>
      </c>
      <c r="B8" s="273" t="str">
        <f>IF('Page 1'!$B$6="First Quarter","Q1",IF('Page 1'!$B$6="Second Quarter","Q2",IF('Page 1'!$B$6="Third Quarter","Q3",IF('Page 1'!$B$6="Fourth Quarter","Q4",""))))</f>
        <v>Q1</v>
      </c>
      <c r="C8" s="273" t="str">
        <f>IF('Page 1'!$B$8="","",'Page 1'!$B$8)</f>
        <v/>
      </c>
      <c r="D8" s="274" t="s">
        <v>13</v>
      </c>
      <c r="E8" s="275" t="str">
        <f>IF($C$2="Enter LME-MCO on the Page 1 worksheet","",IF(VLOOKUP($C$2,County_Lookup,5,FALSE)=0,"",VLOOKUP($C$2,County_Lookup,5,FALSE)))</f>
        <v/>
      </c>
      <c r="F8" s="252">
        <f>VLOOKUP($E8,'Page 3'!$A$7:$Z$33,2,FALSE)</f>
        <v>0</v>
      </c>
      <c r="G8" s="252">
        <f>VLOOKUP($E8,'Page 3'!$A$7:$Z$33,3,FALSE)</f>
        <v>0</v>
      </c>
      <c r="H8" s="252">
        <f>VLOOKUP($E8,'Page 3'!$A$7:$Z$33,4,FALSE)</f>
        <v>0</v>
      </c>
      <c r="I8" s="252">
        <f>VLOOKUP($E8,'Page 3'!$A$7:$Z$33,5,FALSE)</f>
        <v>0</v>
      </c>
      <c r="J8" s="252">
        <f>VLOOKUP($E8,'Page 3'!$A$7:$Z$33,6,FALSE)</f>
        <v>0</v>
      </c>
      <c r="K8" s="252">
        <f>VLOOKUP($E8,'Page 3'!$A$7:$Z$33,7,FALSE)</f>
        <v>0</v>
      </c>
      <c r="L8" s="252">
        <f>VLOOKUP($E8,'Page 3'!$A$7:$Z$33,8,FALSE)</f>
        <v>0</v>
      </c>
      <c r="M8" s="254">
        <f>VLOOKUP($E8,'Page 3'!$A$7:$Z$33,9,FALSE)</f>
        <v>0</v>
      </c>
      <c r="N8" s="253">
        <f t="shared" si="0"/>
        <v>0</v>
      </c>
      <c r="O8" s="253">
        <f t="shared" si="1"/>
        <v>0</v>
      </c>
      <c r="P8" s="253">
        <f t="shared" si="2"/>
        <v>0</v>
      </c>
      <c r="Q8" s="255">
        <f t="shared" si="3"/>
        <v>0</v>
      </c>
      <c r="R8" s="256" t="str">
        <f t="shared" si="4"/>
        <v/>
      </c>
    </row>
    <row r="9" spans="1:18" ht="15" customHeight="1" x14ac:dyDescent="0.25">
      <c r="A9" s="273" t="str">
        <f>RIGHT('Page 1'!$B$5,4)</f>
        <v>2017</v>
      </c>
      <c r="B9" s="273" t="str">
        <f>IF('Page 1'!$B$6="First Quarter","Q1",IF('Page 1'!$B$6="Second Quarter","Q2",IF('Page 1'!$B$6="Third Quarter","Q3",IF('Page 1'!$B$6="Fourth Quarter","Q4",""))))</f>
        <v>Q1</v>
      </c>
      <c r="C9" s="273" t="str">
        <f>IF('Page 1'!$B$8="","",'Page 1'!$B$8)</f>
        <v/>
      </c>
      <c r="D9" s="274" t="s">
        <v>13</v>
      </c>
      <c r="E9" s="275" t="str">
        <f>IF($C$2="Enter LME-MCO on the Page 1 worksheet","",IF(VLOOKUP($C$2,County_Lookup,6,FALSE)=0,"",VLOOKUP($C$2,County_Lookup,6,FALSE)))</f>
        <v/>
      </c>
      <c r="F9" s="252">
        <f>VLOOKUP($E9,'Page 3'!$A$7:$Z$33,2,FALSE)</f>
        <v>0</v>
      </c>
      <c r="G9" s="252">
        <f>VLOOKUP($E9,'Page 3'!$A$7:$Z$33,3,FALSE)</f>
        <v>0</v>
      </c>
      <c r="H9" s="252">
        <f>VLOOKUP($E9,'Page 3'!$A$7:$Z$33,4,FALSE)</f>
        <v>0</v>
      </c>
      <c r="I9" s="252">
        <f>VLOOKUP($E9,'Page 3'!$A$7:$Z$33,5,FALSE)</f>
        <v>0</v>
      </c>
      <c r="J9" s="252">
        <f>VLOOKUP($E9,'Page 3'!$A$7:$Z$33,6,FALSE)</f>
        <v>0</v>
      </c>
      <c r="K9" s="252">
        <f>VLOOKUP($E9,'Page 3'!$A$7:$Z$33,7,FALSE)</f>
        <v>0</v>
      </c>
      <c r="L9" s="252">
        <f>VLOOKUP($E9,'Page 3'!$A$7:$Z$33,8,FALSE)</f>
        <v>0</v>
      </c>
      <c r="M9" s="254">
        <f>VLOOKUP($E9,'Page 3'!$A$7:$Z$33,9,FALSE)</f>
        <v>0</v>
      </c>
      <c r="N9" s="253">
        <f t="shared" si="0"/>
        <v>0</v>
      </c>
      <c r="O9" s="253">
        <f t="shared" si="1"/>
        <v>0</v>
      </c>
      <c r="P9" s="253">
        <f t="shared" si="2"/>
        <v>0</v>
      </c>
      <c r="Q9" s="255">
        <f t="shared" si="3"/>
        <v>0</v>
      </c>
      <c r="R9" s="256" t="str">
        <f t="shared" si="4"/>
        <v/>
      </c>
    </row>
    <row r="10" spans="1:18" ht="15" customHeight="1" x14ac:dyDescent="0.25">
      <c r="A10" s="273" t="str">
        <f>RIGHT('Page 1'!$B$5,4)</f>
        <v>2017</v>
      </c>
      <c r="B10" s="273" t="str">
        <f>IF('Page 1'!$B$6="First Quarter","Q1",IF('Page 1'!$B$6="Second Quarter","Q2",IF('Page 1'!$B$6="Third Quarter","Q3",IF('Page 1'!$B$6="Fourth Quarter","Q4",""))))</f>
        <v>Q1</v>
      </c>
      <c r="C10" s="273" t="str">
        <f>IF('Page 1'!$B$8="","",'Page 1'!$B$8)</f>
        <v/>
      </c>
      <c r="D10" s="274" t="s">
        <v>13</v>
      </c>
      <c r="E10" s="275" t="str">
        <f>IF($C$2="Enter LME-MCO on the Page 1 worksheet","",IF(VLOOKUP($C$2,County_Lookup,7,FALSE)=0,"",VLOOKUP($C$2,County_Lookup,7,FALSE)))</f>
        <v/>
      </c>
      <c r="F10" s="252">
        <f>VLOOKUP($E10,'Page 3'!$A$7:$Z$33,2,FALSE)</f>
        <v>0</v>
      </c>
      <c r="G10" s="252">
        <f>VLOOKUP($E10,'Page 3'!$A$7:$Z$33,3,FALSE)</f>
        <v>0</v>
      </c>
      <c r="H10" s="252">
        <f>VLOOKUP($E10,'Page 3'!$A$7:$Z$33,4,FALSE)</f>
        <v>0</v>
      </c>
      <c r="I10" s="252">
        <f>VLOOKUP($E10,'Page 3'!$A$7:$Z$33,5,FALSE)</f>
        <v>0</v>
      </c>
      <c r="J10" s="252">
        <f>VLOOKUP($E10,'Page 3'!$A$7:$Z$33,6,FALSE)</f>
        <v>0</v>
      </c>
      <c r="K10" s="252">
        <f>VLOOKUP($E10,'Page 3'!$A$7:$Z$33,7,FALSE)</f>
        <v>0</v>
      </c>
      <c r="L10" s="252">
        <f>VLOOKUP($E10,'Page 3'!$A$7:$Z$33,8,FALSE)</f>
        <v>0</v>
      </c>
      <c r="M10" s="254">
        <f>VLOOKUP($E10,'Page 3'!$A$7:$Z$33,9,FALSE)</f>
        <v>0</v>
      </c>
      <c r="N10" s="253">
        <f t="shared" si="0"/>
        <v>0</v>
      </c>
      <c r="O10" s="253">
        <f t="shared" si="1"/>
        <v>0</v>
      </c>
      <c r="P10" s="253">
        <f t="shared" si="2"/>
        <v>0</v>
      </c>
      <c r="Q10" s="255">
        <f t="shared" si="3"/>
        <v>0</v>
      </c>
      <c r="R10" s="256" t="str">
        <f t="shared" si="4"/>
        <v/>
      </c>
    </row>
    <row r="11" spans="1:18" ht="15" customHeight="1" x14ac:dyDescent="0.25">
      <c r="A11" s="273" t="str">
        <f>RIGHT('Page 1'!$B$5,4)</f>
        <v>2017</v>
      </c>
      <c r="B11" s="273" t="str">
        <f>IF('Page 1'!$B$6="First Quarter","Q1",IF('Page 1'!$B$6="Second Quarter","Q2",IF('Page 1'!$B$6="Third Quarter","Q3",IF('Page 1'!$B$6="Fourth Quarter","Q4",""))))</f>
        <v>Q1</v>
      </c>
      <c r="C11" s="273" t="str">
        <f>IF('Page 1'!$B$8="","",'Page 1'!$B$8)</f>
        <v/>
      </c>
      <c r="D11" s="274" t="s">
        <v>13</v>
      </c>
      <c r="E11" s="275" t="str">
        <f>IF($C$2="Enter LME-MCO on the Page 1 worksheet","",IF(VLOOKUP($C$2,County_Lookup,8,FALSE)=0,"",VLOOKUP($C$2,County_Lookup,8,FALSE)))</f>
        <v/>
      </c>
      <c r="F11" s="252">
        <f>VLOOKUP($E11,'Page 3'!$A$7:$Z$33,2,FALSE)</f>
        <v>0</v>
      </c>
      <c r="G11" s="252">
        <f>VLOOKUP($E11,'Page 3'!$A$7:$Z$33,3,FALSE)</f>
        <v>0</v>
      </c>
      <c r="H11" s="252">
        <f>VLOOKUP($E11,'Page 3'!$A$7:$Z$33,4,FALSE)</f>
        <v>0</v>
      </c>
      <c r="I11" s="252">
        <f>VLOOKUP($E11,'Page 3'!$A$7:$Z$33,5,FALSE)</f>
        <v>0</v>
      </c>
      <c r="J11" s="252">
        <f>VLOOKUP($E11,'Page 3'!$A$7:$Z$33,6,FALSE)</f>
        <v>0</v>
      </c>
      <c r="K11" s="252">
        <f>VLOOKUP($E11,'Page 3'!$A$7:$Z$33,7,FALSE)</f>
        <v>0</v>
      </c>
      <c r="L11" s="252">
        <f>VLOOKUP($E11,'Page 3'!$A$7:$Z$33,8,FALSE)</f>
        <v>0</v>
      </c>
      <c r="M11" s="254">
        <f>VLOOKUP($E11,'Page 3'!$A$7:$Z$33,9,FALSE)</f>
        <v>0</v>
      </c>
      <c r="N11" s="253">
        <f t="shared" si="0"/>
        <v>0</v>
      </c>
      <c r="O11" s="253">
        <f t="shared" si="1"/>
        <v>0</v>
      </c>
      <c r="P11" s="253">
        <f t="shared" si="2"/>
        <v>0</v>
      </c>
      <c r="Q11" s="255">
        <f t="shared" si="3"/>
        <v>0</v>
      </c>
      <c r="R11" s="256" t="str">
        <f t="shared" si="4"/>
        <v/>
      </c>
    </row>
    <row r="12" spans="1:18" ht="15" customHeight="1" x14ac:dyDescent="0.25">
      <c r="A12" s="273" t="str">
        <f>RIGHT('Page 1'!$B$5,4)</f>
        <v>2017</v>
      </c>
      <c r="B12" s="273" t="str">
        <f>IF('Page 1'!$B$6="First Quarter","Q1",IF('Page 1'!$B$6="Second Quarter","Q2",IF('Page 1'!$B$6="Third Quarter","Q3",IF('Page 1'!$B$6="Fourth Quarter","Q4",""))))</f>
        <v>Q1</v>
      </c>
      <c r="C12" s="273" t="str">
        <f>IF('Page 1'!$B$8="","",'Page 1'!$B$8)</f>
        <v/>
      </c>
      <c r="D12" s="274" t="s">
        <v>13</v>
      </c>
      <c r="E12" s="275" t="str">
        <f>IF($C$2="Enter LME-MCO on the Page 1 worksheet","",IF(VLOOKUP($C$2,County_Lookup,9,FALSE)=0,"",VLOOKUP($C$2,County_Lookup,9,FALSE)))</f>
        <v/>
      </c>
      <c r="F12" s="252">
        <f>VLOOKUP($E12,'Page 3'!$A$7:$Z$33,2,FALSE)</f>
        <v>0</v>
      </c>
      <c r="G12" s="252">
        <f>VLOOKUP($E12,'Page 3'!$A$7:$Z$33,3,FALSE)</f>
        <v>0</v>
      </c>
      <c r="H12" s="252">
        <f>VLOOKUP($E12,'Page 3'!$A$7:$Z$33,4,FALSE)</f>
        <v>0</v>
      </c>
      <c r="I12" s="252">
        <f>VLOOKUP($E12,'Page 3'!$A$7:$Z$33,5,FALSE)</f>
        <v>0</v>
      </c>
      <c r="J12" s="252">
        <f>VLOOKUP($E12,'Page 3'!$A$7:$Z$33,6,FALSE)</f>
        <v>0</v>
      </c>
      <c r="K12" s="252">
        <f>VLOOKUP($E12,'Page 3'!$A$7:$Z$33,7,FALSE)</f>
        <v>0</v>
      </c>
      <c r="L12" s="252">
        <f>VLOOKUP($E12,'Page 3'!$A$7:$Z$33,8,FALSE)</f>
        <v>0</v>
      </c>
      <c r="M12" s="254">
        <f>VLOOKUP($E12,'Page 3'!$A$7:$Z$33,9,FALSE)</f>
        <v>0</v>
      </c>
      <c r="N12" s="253">
        <f t="shared" si="0"/>
        <v>0</v>
      </c>
      <c r="O12" s="253">
        <f t="shared" si="1"/>
        <v>0</v>
      </c>
      <c r="P12" s="253">
        <f t="shared" si="2"/>
        <v>0</v>
      </c>
      <c r="Q12" s="255">
        <f t="shared" si="3"/>
        <v>0</v>
      </c>
      <c r="R12" s="256" t="str">
        <f t="shared" si="4"/>
        <v/>
      </c>
    </row>
    <row r="13" spans="1:18" ht="15" customHeight="1" x14ac:dyDescent="0.25">
      <c r="A13" s="273" t="str">
        <f>RIGHT('Page 1'!$B$5,4)</f>
        <v>2017</v>
      </c>
      <c r="B13" s="273" t="str">
        <f>IF('Page 1'!$B$6="First Quarter","Q1",IF('Page 1'!$B$6="Second Quarter","Q2",IF('Page 1'!$B$6="Third Quarter","Q3",IF('Page 1'!$B$6="Fourth Quarter","Q4",""))))</f>
        <v>Q1</v>
      </c>
      <c r="C13" s="273" t="str">
        <f>IF('Page 1'!$B$8="","",'Page 1'!$B$8)</f>
        <v/>
      </c>
      <c r="D13" s="274" t="s">
        <v>13</v>
      </c>
      <c r="E13" s="275" t="str">
        <f>IF($C$2="Enter LME-MCO on the Page 1 worksheet","",IF(VLOOKUP($C$2,County_Lookup,10,FALSE)=0,"",VLOOKUP($C$2,County_Lookup,10,FALSE)))</f>
        <v/>
      </c>
      <c r="F13" s="252">
        <f>VLOOKUP($E13,'Page 3'!$A$7:$Z$33,2,FALSE)</f>
        <v>0</v>
      </c>
      <c r="G13" s="252">
        <f>VLOOKUP($E13,'Page 3'!$A$7:$Z$33,3,FALSE)</f>
        <v>0</v>
      </c>
      <c r="H13" s="252">
        <f>VLOOKUP($E13,'Page 3'!$A$7:$Z$33,4,FALSE)</f>
        <v>0</v>
      </c>
      <c r="I13" s="252">
        <f>VLOOKUP($E13,'Page 3'!$A$7:$Z$33,5,FALSE)</f>
        <v>0</v>
      </c>
      <c r="J13" s="252">
        <f>VLOOKUP($E13,'Page 3'!$A$7:$Z$33,6,FALSE)</f>
        <v>0</v>
      </c>
      <c r="K13" s="252">
        <f>VLOOKUP($E13,'Page 3'!$A$7:$Z$33,7,FALSE)</f>
        <v>0</v>
      </c>
      <c r="L13" s="252">
        <f>VLOOKUP($E13,'Page 3'!$A$7:$Z$33,8,FALSE)</f>
        <v>0</v>
      </c>
      <c r="M13" s="254">
        <f>VLOOKUP($E13,'Page 3'!$A$7:$Z$33,9,FALSE)</f>
        <v>0</v>
      </c>
      <c r="N13" s="253">
        <f t="shared" si="0"/>
        <v>0</v>
      </c>
      <c r="O13" s="253">
        <f t="shared" si="1"/>
        <v>0</v>
      </c>
      <c r="P13" s="253">
        <f t="shared" si="2"/>
        <v>0</v>
      </c>
      <c r="Q13" s="255">
        <f t="shared" si="3"/>
        <v>0</v>
      </c>
      <c r="R13" s="256" t="str">
        <f t="shared" si="4"/>
        <v/>
      </c>
    </row>
    <row r="14" spans="1:18" ht="15" customHeight="1" x14ac:dyDescent="0.25">
      <c r="A14" s="273" t="str">
        <f>RIGHT('Page 1'!$B$5,4)</f>
        <v>2017</v>
      </c>
      <c r="B14" s="273" t="str">
        <f>IF('Page 1'!$B$6="First Quarter","Q1",IF('Page 1'!$B$6="Second Quarter","Q2",IF('Page 1'!$B$6="Third Quarter","Q3",IF('Page 1'!$B$6="Fourth Quarter","Q4",""))))</f>
        <v>Q1</v>
      </c>
      <c r="C14" s="273" t="str">
        <f>IF('Page 1'!$B$8="","",'Page 1'!$B$8)</f>
        <v/>
      </c>
      <c r="D14" s="274" t="s">
        <v>13</v>
      </c>
      <c r="E14" s="275" t="str">
        <f>IF($C$2="Enter LME-MCO on the Page 1 worksheet","",IF(VLOOKUP($C$2,County_Lookup,11,FALSE)=0,"",VLOOKUP($C$2,County_Lookup,11,FALSE)))</f>
        <v/>
      </c>
      <c r="F14" s="252">
        <f>VLOOKUP($E14,'Page 3'!$A$7:$Z$33,2,FALSE)</f>
        <v>0</v>
      </c>
      <c r="G14" s="252">
        <f>VLOOKUP($E14,'Page 3'!$A$7:$Z$33,3,FALSE)</f>
        <v>0</v>
      </c>
      <c r="H14" s="252">
        <f>VLOOKUP($E14,'Page 3'!$A$7:$Z$33,4,FALSE)</f>
        <v>0</v>
      </c>
      <c r="I14" s="252">
        <f>VLOOKUP($E14,'Page 3'!$A$7:$Z$33,5,FALSE)</f>
        <v>0</v>
      </c>
      <c r="J14" s="252">
        <f>VLOOKUP($E14,'Page 3'!$A$7:$Z$33,6,FALSE)</f>
        <v>0</v>
      </c>
      <c r="K14" s="252">
        <f>VLOOKUP($E14,'Page 3'!$A$7:$Z$33,7,FALSE)</f>
        <v>0</v>
      </c>
      <c r="L14" s="252">
        <f>VLOOKUP($E14,'Page 3'!$A$7:$Z$33,8,FALSE)</f>
        <v>0</v>
      </c>
      <c r="M14" s="254">
        <f>VLOOKUP($E14,'Page 3'!$A$7:$Z$33,9,FALSE)</f>
        <v>0</v>
      </c>
      <c r="N14" s="253">
        <f t="shared" si="0"/>
        <v>0</v>
      </c>
      <c r="O14" s="253">
        <f t="shared" si="1"/>
        <v>0</v>
      </c>
      <c r="P14" s="253">
        <f t="shared" si="2"/>
        <v>0</v>
      </c>
      <c r="Q14" s="255">
        <f t="shared" si="3"/>
        <v>0</v>
      </c>
      <c r="R14" s="256" t="str">
        <f t="shared" si="4"/>
        <v/>
      </c>
    </row>
    <row r="15" spans="1:18" ht="15" customHeight="1" x14ac:dyDescent="0.25">
      <c r="A15" s="273" t="str">
        <f>RIGHT('Page 1'!$B$5,4)</f>
        <v>2017</v>
      </c>
      <c r="B15" s="273" t="str">
        <f>IF('Page 1'!$B$6="First Quarter","Q1",IF('Page 1'!$B$6="Second Quarter","Q2",IF('Page 1'!$B$6="Third Quarter","Q3",IF('Page 1'!$B$6="Fourth Quarter","Q4",""))))</f>
        <v>Q1</v>
      </c>
      <c r="C15" s="273" t="str">
        <f>IF('Page 1'!$B$8="","",'Page 1'!$B$8)</f>
        <v/>
      </c>
      <c r="D15" s="274" t="s">
        <v>13</v>
      </c>
      <c r="E15" s="275" t="str">
        <f>IF($C$2="Enter LME-MCO on the Page 1 worksheet","",IF(VLOOKUP($C$2,County_Lookup,12,FALSE)=0,"",VLOOKUP($C$2,County_Lookup,12,FALSE)))</f>
        <v/>
      </c>
      <c r="F15" s="252">
        <f>VLOOKUP($E15,'Page 3'!$A$7:$Z$33,2,FALSE)</f>
        <v>0</v>
      </c>
      <c r="G15" s="252">
        <f>VLOOKUP($E15,'Page 3'!$A$7:$Z$33,3,FALSE)</f>
        <v>0</v>
      </c>
      <c r="H15" s="252">
        <f>VLOOKUP($E15,'Page 3'!$A$7:$Z$33,4,FALSE)</f>
        <v>0</v>
      </c>
      <c r="I15" s="252">
        <f>VLOOKUP($E15,'Page 3'!$A$7:$Z$33,5,FALSE)</f>
        <v>0</v>
      </c>
      <c r="J15" s="252">
        <f>VLOOKUP($E15,'Page 3'!$A$7:$Z$33,6,FALSE)</f>
        <v>0</v>
      </c>
      <c r="K15" s="252">
        <f>VLOOKUP($E15,'Page 3'!$A$7:$Z$33,7,FALSE)</f>
        <v>0</v>
      </c>
      <c r="L15" s="252">
        <f>VLOOKUP($E15,'Page 3'!$A$7:$Z$33,8,FALSE)</f>
        <v>0</v>
      </c>
      <c r="M15" s="254">
        <f>VLOOKUP($E15,'Page 3'!$A$7:$Z$33,9,FALSE)</f>
        <v>0</v>
      </c>
      <c r="N15" s="253">
        <f t="shared" si="0"/>
        <v>0</v>
      </c>
      <c r="O15" s="253">
        <f t="shared" si="1"/>
        <v>0</v>
      </c>
      <c r="P15" s="253">
        <f t="shared" si="2"/>
        <v>0</v>
      </c>
      <c r="Q15" s="255">
        <f t="shared" si="3"/>
        <v>0</v>
      </c>
      <c r="R15" s="256" t="str">
        <f t="shared" si="4"/>
        <v/>
      </c>
    </row>
    <row r="16" spans="1:18" ht="15" customHeight="1" x14ac:dyDescent="0.25">
      <c r="A16" s="273" t="str">
        <f>RIGHT('Page 1'!$B$5,4)</f>
        <v>2017</v>
      </c>
      <c r="B16" s="273" t="str">
        <f>IF('Page 1'!$B$6="First Quarter","Q1",IF('Page 1'!$B$6="Second Quarter","Q2",IF('Page 1'!$B$6="Third Quarter","Q3",IF('Page 1'!$B$6="Fourth Quarter","Q4",""))))</f>
        <v>Q1</v>
      </c>
      <c r="C16" s="273" t="str">
        <f>IF('Page 1'!$B$8="","",'Page 1'!$B$8)</f>
        <v/>
      </c>
      <c r="D16" s="274" t="s">
        <v>13</v>
      </c>
      <c r="E16" s="275" t="str">
        <f>IF($C$2="Enter LME-MCO on the Page 1 worksheet","",IF(VLOOKUP($C$2,County_Lookup,13,FALSE)=0,"",VLOOKUP($C$2,County_Lookup,13,FALSE)))</f>
        <v/>
      </c>
      <c r="F16" s="252">
        <f>VLOOKUP($E16,'Page 3'!$A$7:$Z$33,2,FALSE)</f>
        <v>0</v>
      </c>
      <c r="G16" s="252">
        <f>VLOOKUP($E16,'Page 3'!$A$7:$Z$33,3,FALSE)</f>
        <v>0</v>
      </c>
      <c r="H16" s="252">
        <f>VLOOKUP($E16,'Page 3'!$A$7:$Z$33,4,FALSE)</f>
        <v>0</v>
      </c>
      <c r="I16" s="252">
        <f>VLOOKUP($E16,'Page 3'!$A$7:$Z$33,5,FALSE)</f>
        <v>0</v>
      </c>
      <c r="J16" s="252">
        <f>VLOOKUP($E16,'Page 3'!$A$7:$Z$33,6,FALSE)</f>
        <v>0</v>
      </c>
      <c r="K16" s="252">
        <f>VLOOKUP($E16,'Page 3'!$A$7:$Z$33,7,FALSE)</f>
        <v>0</v>
      </c>
      <c r="L16" s="252">
        <f>VLOOKUP($E16,'Page 3'!$A$7:$Z$33,8,FALSE)</f>
        <v>0</v>
      </c>
      <c r="M16" s="254">
        <f>VLOOKUP($E16,'Page 3'!$A$7:$Z$33,9,FALSE)</f>
        <v>0</v>
      </c>
      <c r="N16" s="253">
        <f t="shared" si="0"/>
        <v>0</v>
      </c>
      <c r="O16" s="253">
        <f t="shared" si="1"/>
        <v>0</v>
      </c>
      <c r="P16" s="253">
        <f t="shared" si="2"/>
        <v>0</v>
      </c>
      <c r="Q16" s="255">
        <f t="shared" si="3"/>
        <v>0</v>
      </c>
      <c r="R16" s="256" t="str">
        <f t="shared" si="4"/>
        <v/>
      </c>
    </row>
    <row r="17" spans="1:18" ht="15" customHeight="1" x14ac:dyDescent="0.25">
      <c r="A17" s="273" t="str">
        <f>RIGHT('Page 1'!$B$5,4)</f>
        <v>2017</v>
      </c>
      <c r="B17" s="273" t="str">
        <f>IF('Page 1'!$B$6="First Quarter","Q1",IF('Page 1'!$B$6="Second Quarter","Q2",IF('Page 1'!$B$6="Third Quarter","Q3",IF('Page 1'!$B$6="Fourth Quarter","Q4",""))))</f>
        <v>Q1</v>
      </c>
      <c r="C17" s="273" t="str">
        <f>IF('Page 1'!$B$8="","",'Page 1'!$B$8)</f>
        <v/>
      </c>
      <c r="D17" s="274" t="s">
        <v>13</v>
      </c>
      <c r="E17" s="275" t="str">
        <f>IF($C$2="Enter LME-MCO on the Page 1 worksheet","",IF(VLOOKUP($C$2,County_Lookup,14,FALSE)=0,"",VLOOKUP($C$2,County_Lookup,14,FALSE)))</f>
        <v/>
      </c>
      <c r="F17" s="252">
        <f>VLOOKUP($E17,'Page 3'!$A$7:$Z$33,2,FALSE)</f>
        <v>0</v>
      </c>
      <c r="G17" s="252">
        <f>VLOOKUP($E17,'Page 3'!$A$7:$Z$33,3,FALSE)</f>
        <v>0</v>
      </c>
      <c r="H17" s="252">
        <f>VLOOKUP($E17,'Page 3'!$A$7:$Z$33,4,FALSE)</f>
        <v>0</v>
      </c>
      <c r="I17" s="252">
        <f>VLOOKUP($E17,'Page 3'!$A$7:$Z$33,5,FALSE)</f>
        <v>0</v>
      </c>
      <c r="J17" s="252">
        <f>VLOOKUP($E17,'Page 3'!$A$7:$Z$33,6,FALSE)</f>
        <v>0</v>
      </c>
      <c r="K17" s="252">
        <f>VLOOKUP($E17,'Page 3'!$A$7:$Z$33,7,FALSE)</f>
        <v>0</v>
      </c>
      <c r="L17" s="252">
        <f>VLOOKUP($E17,'Page 3'!$A$7:$Z$33,8,FALSE)</f>
        <v>0</v>
      </c>
      <c r="M17" s="254">
        <f>VLOOKUP($E17,'Page 3'!$A$7:$Z$33,9,FALSE)</f>
        <v>0</v>
      </c>
      <c r="N17" s="253">
        <f t="shared" si="0"/>
        <v>0</v>
      </c>
      <c r="O17" s="253">
        <f t="shared" si="1"/>
        <v>0</v>
      </c>
      <c r="P17" s="253">
        <f t="shared" si="2"/>
        <v>0</v>
      </c>
      <c r="Q17" s="255">
        <f t="shared" si="3"/>
        <v>0</v>
      </c>
      <c r="R17" s="256" t="str">
        <f t="shared" si="4"/>
        <v/>
      </c>
    </row>
    <row r="18" spans="1:18" ht="15" customHeight="1" x14ac:dyDescent="0.25">
      <c r="A18" s="273" t="str">
        <f>RIGHT('Page 1'!$B$5,4)</f>
        <v>2017</v>
      </c>
      <c r="B18" s="273" t="str">
        <f>IF('Page 1'!$B$6="First Quarter","Q1",IF('Page 1'!$B$6="Second Quarter","Q2",IF('Page 1'!$B$6="Third Quarter","Q3",IF('Page 1'!$B$6="Fourth Quarter","Q4",""))))</f>
        <v>Q1</v>
      </c>
      <c r="C18" s="273" t="str">
        <f>IF('Page 1'!$B$8="","",'Page 1'!$B$8)</f>
        <v/>
      </c>
      <c r="D18" s="274" t="s">
        <v>13</v>
      </c>
      <c r="E18" s="275" t="str">
        <f>IF($C$2="Enter LME-MCO on the Page 1 worksheet","",IF(VLOOKUP($C$2,County_Lookup,15,FALSE)=0,"",VLOOKUP($C$2,County_Lookup,15,FALSE)))</f>
        <v/>
      </c>
      <c r="F18" s="252">
        <f>VLOOKUP($E18,'Page 3'!$A$7:$Z$33,2,FALSE)</f>
        <v>0</v>
      </c>
      <c r="G18" s="252">
        <f>VLOOKUP($E18,'Page 3'!$A$7:$Z$33,3,FALSE)</f>
        <v>0</v>
      </c>
      <c r="H18" s="252">
        <f>VLOOKUP($E18,'Page 3'!$A$7:$Z$33,4,FALSE)</f>
        <v>0</v>
      </c>
      <c r="I18" s="252">
        <f>VLOOKUP($E18,'Page 3'!$A$7:$Z$33,5,FALSE)</f>
        <v>0</v>
      </c>
      <c r="J18" s="252">
        <f>VLOOKUP($E18,'Page 3'!$A$7:$Z$33,6,FALSE)</f>
        <v>0</v>
      </c>
      <c r="K18" s="252">
        <f>VLOOKUP($E18,'Page 3'!$A$7:$Z$33,7,FALSE)</f>
        <v>0</v>
      </c>
      <c r="L18" s="252">
        <f>VLOOKUP($E18,'Page 3'!$A$7:$Z$33,8,FALSE)</f>
        <v>0</v>
      </c>
      <c r="M18" s="254">
        <f>VLOOKUP($E18,'Page 3'!$A$7:$Z$33,9,FALSE)</f>
        <v>0</v>
      </c>
      <c r="N18" s="253">
        <f t="shared" si="0"/>
        <v>0</v>
      </c>
      <c r="O18" s="253">
        <f t="shared" si="1"/>
        <v>0</v>
      </c>
      <c r="P18" s="253">
        <f t="shared" si="2"/>
        <v>0</v>
      </c>
      <c r="Q18" s="255">
        <f t="shared" si="3"/>
        <v>0</v>
      </c>
      <c r="R18" s="256" t="str">
        <f t="shared" si="4"/>
        <v/>
      </c>
    </row>
    <row r="19" spans="1:18" ht="15" customHeight="1" x14ac:dyDescent="0.25">
      <c r="A19" s="273" t="str">
        <f>RIGHT('Page 1'!$B$5,4)</f>
        <v>2017</v>
      </c>
      <c r="B19" s="273" t="str">
        <f>IF('Page 1'!$B$6="First Quarter","Q1",IF('Page 1'!$B$6="Second Quarter","Q2",IF('Page 1'!$B$6="Third Quarter","Q3",IF('Page 1'!$B$6="Fourth Quarter","Q4",""))))</f>
        <v>Q1</v>
      </c>
      <c r="C19" s="273" t="str">
        <f>IF('Page 1'!$B$8="","",'Page 1'!$B$8)</f>
        <v/>
      </c>
      <c r="D19" s="274" t="s">
        <v>13</v>
      </c>
      <c r="E19" s="275" t="str">
        <f>IF($C$2="Enter LME-MCO on the Page 1 worksheet","",IF(VLOOKUP($C$2,County_Lookup,16,FALSE)=0,"",VLOOKUP($C$2,County_Lookup,16,FALSE)))</f>
        <v/>
      </c>
      <c r="F19" s="252">
        <f>VLOOKUP($E19,'Page 3'!$A$7:$Z$33,2,FALSE)</f>
        <v>0</v>
      </c>
      <c r="G19" s="252">
        <f>VLOOKUP($E19,'Page 3'!$A$7:$Z$33,3,FALSE)</f>
        <v>0</v>
      </c>
      <c r="H19" s="252">
        <f>VLOOKUP($E19,'Page 3'!$A$7:$Z$33,4,FALSE)</f>
        <v>0</v>
      </c>
      <c r="I19" s="252">
        <f>VLOOKUP($E19,'Page 3'!$A$7:$Z$33,5,FALSE)</f>
        <v>0</v>
      </c>
      <c r="J19" s="252">
        <f>VLOOKUP($E19,'Page 3'!$A$7:$Z$33,6,FALSE)</f>
        <v>0</v>
      </c>
      <c r="K19" s="252">
        <f>VLOOKUP($E19,'Page 3'!$A$7:$Z$33,7,FALSE)</f>
        <v>0</v>
      </c>
      <c r="L19" s="252">
        <f>VLOOKUP($E19,'Page 3'!$A$7:$Z$33,8,FALSE)</f>
        <v>0</v>
      </c>
      <c r="M19" s="254">
        <f>VLOOKUP($E19,'Page 3'!$A$7:$Z$33,9,FALSE)</f>
        <v>0</v>
      </c>
      <c r="N19" s="253">
        <f t="shared" si="0"/>
        <v>0</v>
      </c>
      <c r="O19" s="253">
        <f t="shared" si="1"/>
        <v>0</v>
      </c>
      <c r="P19" s="253">
        <f t="shared" si="2"/>
        <v>0</v>
      </c>
      <c r="Q19" s="255">
        <f t="shared" si="3"/>
        <v>0</v>
      </c>
      <c r="R19" s="256" t="str">
        <f t="shared" si="4"/>
        <v/>
      </c>
    </row>
    <row r="20" spans="1:18" ht="15" customHeight="1" x14ac:dyDescent="0.25">
      <c r="A20" s="273" t="str">
        <f>RIGHT('Page 1'!$B$5,4)</f>
        <v>2017</v>
      </c>
      <c r="B20" s="273" t="str">
        <f>IF('Page 1'!$B$6="First Quarter","Q1",IF('Page 1'!$B$6="Second Quarter","Q2",IF('Page 1'!$B$6="Third Quarter","Q3",IF('Page 1'!$B$6="Fourth Quarter","Q4",""))))</f>
        <v>Q1</v>
      </c>
      <c r="C20" s="273" t="str">
        <f>IF('Page 1'!$B$8="","",'Page 1'!$B$8)</f>
        <v/>
      </c>
      <c r="D20" s="274" t="s">
        <v>13</v>
      </c>
      <c r="E20" s="275" t="str">
        <f>IF($C$2="Enter LME-MCO on the Page 1 worksheet","",IF(VLOOKUP($C$2,County_Lookup,17,FALSE)=0,"",VLOOKUP($C$2,County_Lookup,17,FALSE)))</f>
        <v/>
      </c>
      <c r="F20" s="252">
        <f>VLOOKUP($E20,'Page 3'!$A$7:$Z$33,2,FALSE)</f>
        <v>0</v>
      </c>
      <c r="G20" s="252">
        <f>VLOOKUP($E20,'Page 3'!$A$7:$Z$33,3,FALSE)</f>
        <v>0</v>
      </c>
      <c r="H20" s="252">
        <f>VLOOKUP($E20,'Page 3'!$A$7:$Z$33,4,FALSE)</f>
        <v>0</v>
      </c>
      <c r="I20" s="252">
        <f>VLOOKUP($E20,'Page 3'!$A$7:$Z$33,5,FALSE)</f>
        <v>0</v>
      </c>
      <c r="J20" s="252">
        <f>VLOOKUP($E20,'Page 3'!$A$7:$Z$33,6,FALSE)</f>
        <v>0</v>
      </c>
      <c r="K20" s="252">
        <f>VLOOKUP($E20,'Page 3'!$A$7:$Z$33,7,FALSE)</f>
        <v>0</v>
      </c>
      <c r="L20" s="252">
        <f>VLOOKUP($E20,'Page 3'!$A$7:$Z$33,8,FALSE)</f>
        <v>0</v>
      </c>
      <c r="M20" s="254">
        <f>VLOOKUP($E20,'Page 3'!$A$7:$Z$33,9,FALSE)</f>
        <v>0</v>
      </c>
      <c r="N20" s="253">
        <f t="shared" si="0"/>
        <v>0</v>
      </c>
      <c r="O20" s="253">
        <f t="shared" si="1"/>
        <v>0</v>
      </c>
      <c r="P20" s="253">
        <f t="shared" si="2"/>
        <v>0</v>
      </c>
      <c r="Q20" s="255">
        <f t="shared" si="3"/>
        <v>0</v>
      </c>
      <c r="R20" s="256" t="str">
        <f t="shared" si="4"/>
        <v/>
      </c>
    </row>
    <row r="21" spans="1:18" ht="15" customHeight="1" x14ac:dyDescent="0.25">
      <c r="A21" s="273" t="str">
        <f>RIGHT('Page 1'!$B$5,4)</f>
        <v>2017</v>
      </c>
      <c r="B21" s="273" t="str">
        <f>IF('Page 1'!$B$6="First Quarter","Q1",IF('Page 1'!$B$6="Second Quarter","Q2",IF('Page 1'!$B$6="Third Quarter","Q3",IF('Page 1'!$B$6="Fourth Quarter","Q4",""))))</f>
        <v>Q1</v>
      </c>
      <c r="C21" s="273" t="str">
        <f>IF('Page 1'!$B$8="","",'Page 1'!$B$8)</f>
        <v/>
      </c>
      <c r="D21" s="274" t="s">
        <v>13</v>
      </c>
      <c r="E21" s="275" t="str">
        <f>IF($C$2="Enter LME-MCO on the Page 1 worksheet","",IF(VLOOKUP($C$2,County_Lookup,18,FALSE)=0,"",VLOOKUP($C$2,County_Lookup,18,FALSE)))</f>
        <v/>
      </c>
      <c r="F21" s="252">
        <f>VLOOKUP($E21,'Page 3'!$A$7:$Z$33,2,FALSE)</f>
        <v>0</v>
      </c>
      <c r="G21" s="252">
        <f>VLOOKUP($E21,'Page 3'!$A$7:$Z$33,3,FALSE)</f>
        <v>0</v>
      </c>
      <c r="H21" s="252">
        <f>VLOOKUP($E21,'Page 3'!$A$7:$Z$33,4,FALSE)</f>
        <v>0</v>
      </c>
      <c r="I21" s="252">
        <f>VLOOKUP($E21,'Page 3'!$A$7:$Z$33,5,FALSE)</f>
        <v>0</v>
      </c>
      <c r="J21" s="252">
        <f>VLOOKUP($E21,'Page 3'!$A$7:$Z$33,6,FALSE)</f>
        <v>0</v>
      </c>
      <c r="K21" s="252">
        <f>VLOOKUP($E21,'Page 3'!$A$7:$Z$33,7,FALSE)</f>
        <v>0</v>
      </c>
      <c r="L21" s="252">
        <f>VLOOKUP($E21,'Page 3'!$A$7:$Z$33,8,FALSE)</f>
        <v>0</v>
      </c>
      <c r="M21" s="254">
        <f>VLOOKUP($E21,'Page 3'!$A$7:$Z$33,9,FALSE)</f>
        <v>0</v>
      </c>
      <c r="N21" s="253">
        <f t="shared" si="0"/>
        <v>0</v>
      </c>
      <c r="O21" s="253">
        <f t="shared" si="1"/>
        <v>0</v>
      </c>
      <c r="P21" s="253">
        <f t="shared" si="2"/>
        <v>0</v>
      </c>
      <c r="Q21" s="255">
        <f t="shared" si="3"/>
        <v>0</v>
      </c>
      <c r="R21" s="256" t="str">
        <f t="shared" si="4"/>
        <v/>
      </c>
    </row>
    <row r="22" spans="1:18" ht="15" customHeight="1" x14ac:dyDescent="0.25">
      <c r="A22" s="273" t="str">
        <f>RIGHT('Page 1'!$B$5,4)</f>
        <v>2017</v>
      </c>
      <c r="B22" s="273" t="str">
        <f>IF('Page 1'!$B$6="First Quarter","Q1",IF('Page 1'!$B$6="Second Quarter","Q2",IF('Page 1'!$B$6="Third Quarter","Q3",IF('Page 1'!$B$6="Fourth Quarter","Q4",""))))</f>
        <v>Q1</v>
      </c>
      <c r="C22" s="273" t="str">
        <f>IF('Page 1'!$B$8="","",'Page 1'!$B$8)</f>
        <v/>
      </c>
      <c r="D22" s="274" t="s">
        <v>13</v>
      </c>
      <c r="E22" s="275" t="str">
        <f>IF($C$2="Enter LME-MCO on the Page 1 worksheet","",IF(VLOOKUP($C$2,County_Lookup,19,FALSE)=0,"",VLOOKUP($C$2,County_Lookup,19,FALSE)))</f>
        <v/>
      </c>
      <c r="F22" s="252">
        <f>VLOOKUP($E22,'Page 3'!$A$7:$Z$33,2,FALSE)</f>
        <v>0</v>
      </c>
      <c r="G22" s="252">
        <f>VLOOKUP($E22,'Page 3'!$A$7:$Z$33,3,FALSE)</f>
        <v>0</v>
      </c>
      <c r="H22" s="252">
        <f>VLOOKUP($E22,'Page 3'!$A$7:$Z$33,4,FALSE)</f>
        <v>0</v>
      </c>
      <c r="I22" s="252">
        <f>VLOOKUP($E22,'Page 3'!$A$7:$Z$33,5,FALSE)</f>
        <v>0</v>
      </c>
      <c r="J22" s="252">
        <f>VLOOKUP($E22,'Page 3'!$A$7:$Z$33,6,FALSE)</f>
        <v>0</v>
      </c>
      <c r="K22" s="252">
        <f>VLOOKUP($E22,'Page 3'!$A$7:$Z$33,7,FALSE)</f>
        <v>0</v>
      </c>
      <c r="L22" s="252">
        <f>VLOOKUP($E22,'Page 3'!$A$7:$Z$33,8,FALSE)</f>
        <v>0</v>
      </c>
      <c r="M22" s="254">
        <f>VLOOKUP($E22,'Page 3'!$A$7:$Z$33,9,FALSE)</f>
        <v>0</v>
      </c>
      <c r="N22" s="253">
        <f t="shared" si="0"/>
        <v>0</v>
      </c>
      <c r="O22" s="253">
        <f t="shared" si="1"/>
        <v>0</v>
      </c>
      <c r="P22" s="253">
        <f t="shared" si="2"/>
        <v>0</v>
      </c>
      <c r="Q22" s="255">
        <f t="shared" si="3"/>
        <v>0</v>
      </c>
      <c r="R22" s="256" t="str">
        <f t="shared" si="4"/>
        <v/>
      </c>
    </row>
    <row r="23" spans="1:18" ht="15" customHeight="1" x14ac:dyDescent="0.25">
      <c r="A23" s="273" t="str">
        <f>RIGHT('Page 1'!$B$5,4)</f>
        <v>2017</v>
      </c>
      <c r="B23" s="273" t="str">
        <f>IF('Page 1'!$B$6="First Quarter","Q1",IF('Page 1'!$B$6="Second Quarter","Q2",IF('Page 1'!$B$6="Third Quarter","Q3",IF('Page 1'!$B$6="Fourth Quarter","Q4",""))))</f>
        <v>Q1</v>
      </c>
      <c r="C23" s="273" t="str">
        <f>IF('Page 1'!$B$8="","",'Page 1'!$B$8)</f>
        <v/>
      </c>
      <c r="D23" s="274" t="s">
        <v>13</v>
      </c>
      <c r="E23" s="275" t="str">
        <f>IF($C$2="Enter LME-MCO on the Page 1 worksheet","",IF(VLOOKUP($C$2,County_Lookup,20,FALSE)=0,"",VLOOKUP($C$2,County_Lookup,20,FALSE)))</f>
        <v/>
      </c>
      <c r="F23" s="252">
        <f>VLOOKUP($E23,'Page 3'!$A$7:$Z$33,2,FALSE)</f>
        <v>0</v>
      </c>
      <c r="G23" s="252">
        <f>VLOOKUP($E23,'Page 3'!$A$7:$Z$33,3,FALSE)</f>
        <v>0</v>
      </c>
      <c r="H23" s="252">
        <f>VLOOKUP($E23,'Page 3'!$A$7:$Z$33,4,FALSE)</f>
        <v>0</v>
      </c>
      <c r="I23" s="252">
        <f>VLOOKUP($E23,'Page 3'!$A$7:$Z$33,5,FALSE)</f>
        <v>0</v>
      </c>
      <c r="J23" s="252">
        <f>VLOOKUP($E23,'Page 3'!$A$7:$Z$33,6,FALSE)</f>
        <v>0</v>
      </c>
      <c r="K23" s="252">
        <f>VLOOKUP($E23,'Page 3'!$A$7:$Z$33,7,FALSE)</f>
        <v>0</v>
      </c>
      <c r="L23" s="252">
        <f>VLOOKUP($E23,'Page 3'!$A$7:$Z$33,8,FALSE)</f>
        <v>0</v>
      </c>
      <c r="M23" s="254">
        <f>VLOOKUP($E23,'Page 3'!$A$7:$Z$33,9,FALSE)</f>
        <v>0</v>
      </c>
      <c r="N23" s="253">
        <f t="shared" si="0"/>
        <v>0</v>
      </c>
      <c r="O23" s="253">
        <f t="shared" si="1"/>
        <v>0</v>
      </c>
      <c r="P23" s="253">
        <f t="shared" si="2"/>
        <v>0</v>
      </c>
      <c r="Q23" s="255">
        <f t="shared" si="3"/>
        <v>0</v>
      </c>
      <c r="R23" s="256" t="str">
        <f t="shared" si="4"/>
        <v/>
      </c>
    </row>
    <row r="24" spans="1:18" ht="15" customHeight="1" x14ac:dyDescent="0.25">
      <c r="A24" s="273" t="str">
        <f>RIGHT('Page 1'!$B$5,4)</f>
        <v>2017</v>
      </c>
      <c r="B24" s="273" t="str">
        <f>IF('Page 1'!$B$6="First Quarter","Q1",IF('Page 1'!$B$6="Second Quarter","Q2",IF('Page 1'!$B$6="Third Quarter","Q3",IF('Page 1'!$B$6="Fourth Quarter","Q4",""))))</f>
        <v>Q1</v>
      </c>
      <c r="C24" s="273" t="str">
        <f>IF('Page 1'!$B$8="","",'Page 1'!$B$8)</f>
        <v/>
      </c>
      <c r="D24" s="274" t="s">
        <v>13</v>
      </c>
      <c r="E24" s="275" t="str">
        <f>IF($C$2="Enter LME-MCO on the Page 1 worksheet","",IF(VLOOKUP($C$2,County_Lookup,21,FALSE)=0,"",VLOOKUP($C$2,County_Lookup,21,FALSE)))</f>
        <v/>
      </c>
      <c r="F24" s="252">
        <f>VLOOKUP($E24,'Page 3'!$A$7:$Z$33,2,FALSE)</f>
        <v>0</v>
      </c>
      <c r="G24" s="252">
        <f>VLOOKUP($E24,'Page 3'!$A$7:$Z$33,3,FALSE)</f>
        <v>0</v>
      </c>
      <c r="H24" s="252">
        <f>VLOOKUP($E24,'Page 3'!$A$7:$Z$33,4,FALSE)</f>
        <v>0</v>
      </c>
      <c r="I24" s="252">
        <f>VLOOKUP($E24,'Page 3'!$A$7:$Z$33,5,FALSE)</f>
        <v>0</v>
      </c>
      <c r="J24" s="252">
        <f>VLOOKUP($E24,'Page 3'!$A$7:$Z$33,6,FALSE)</f>
        <v>0</v>
      </c>
      <c r="K24" s="252">
        <f>VLOOKUP($E24,'Page 3'!$A$7:$Z$33,7,FALSE)</f>
        <v>0</v>
      </c>
      <c r="L24" s="252">
        <f>VLOOKUP($E24,'Page 3'!$A$7:$Z$33,8,FALSE)</f>
        <v>0</v>
      </c>
      <c r="M24" s="254">
        <f>VLOOKUP($E24,'Page 3'!$A$7:$Z$33,9,FALSE)</f>
        <v>0</v>
      </c>
      <c r="N24" s="253">
        <f t="shared" si="0"/>
        <v>0</v>
      </c>
      <c r="O24" s="253">
        <f t="shared" si="1"/>
        <v>0</v>
      </c>
      <c r="P24" s="253">
        <f t="shared" si="2"/>
        <v>0</v>
      </c>
      <c r="Q24" s="255">
        <f t="shared" si="3"/>
        <v>0</v>
      </c>
      <c r="R24" s="256" t="str">
        <f t="shared" si="4"/>
        <v/>
      </c>
    </row>
    <row r="25" spans="1:18" ht="15" customHeight="1" x14ac:dyDescent="0.25">
      <c r="A25" s="273" t="str">
        <f>RIGHT('Page 1'!$B$5,4)</f>
        <v>2017</v>
      </c>
      <c r="B25" s="273" t="str">
        <f>IF('Page 1'!$B$6="First Quarter","Q1",IF('Page 1'!$B$6="Second Quarter","Q2",IF('Page 1'!$B$6="Third Quarter","Q3",IF('Page 1'!$B$6="Fourth Quarter","Q4",""))))</f>
        <v>Q1</v>
      </c>
      <c r="C25" s="273" t="str">
        <f>IF('Page 1'!$B$8="","",'Page 1'!$B$8)</f>
        <v/>
      </c>
      <c r="D25" s="274" t="s">
        <v>13</v>
      </c>
      <c r="E25" s="275" t="str">
        <f>IF($C$2="Enter LME-MCO on the Page 1 worksheet","",IF(VLOOKUP($C$2,County_Lookup,22,FALSE)=0,"",VLOOKUP($C$2,County_Lookup,22,FALSE)))</f>
        <v/>
      </c>
      <c r="F25" s="252">
        <f>VLOOKUP($E25,'Page 3'!$A$7:$Z$33,2,FALSE)</f>
        <v>0</v>
      </c>
      <c r="G25" s="252">
        <f>VLOOKUP($E25,'Page 3'!$A$7:$Z$33,3,FALSE)</f>
        <v>0</v>
      </c>
      <c r="H25" s="252">
        <f>VLOOKUP($E25,'Page 3'!$A$7:$Z$33,4,FALSE)</f>
        <v>0</v>
      </c>
      <c r="I25" s="252">
        <f>VLOOKUP($E25,'Page 3'!$A$7:$Z$33,5,FALSE)</f>
        <v>0</v>
      </c>
      <c r="J25" s="252">
        <f>VLOOKUP($E25,'Page 3'!$A$7:$Z$33,6,FALSE)</f>
        <v>0</v>
      </c>
      <c r="K25" s="252">
        <f>VLOOKUP($E25,'Page 3'!$A$7:$Z$33,7,FALSE)</f>
        <v>0</v>
      </c>
      <c r="L25" s="252">
        <f>VLOOKUP($E25,'Page 3'!$A$7:$Z$33,8,FALSE)</f>
        <v>0</v>
      </c>
      <c r="M25" s="254">
        <f>VLOOKUP($E25,'Page 3'!$A$7:$Z$33,9,FALSE)</f>
        <v>0</v>
      </c>
      <c r="N25" s="253">
        <f t="shared" si="0"/>
        <v>0</v>
      </c>
      <c r="O25" s="253">
        <f t="shared" si="1"/>
        <v>0</v>
      </c>
      <c r="P25" s="253">
        <f t="shared" si="2"/>
        <v>0</v>
      </c>
      <c r="Q25" s="255">
        <f t="shared" si="3"/>
        <v>0</v>
      </c>
      <c r="R25" s="256" t="str">
        <f t="shared" si="4"/>
        <v/>
      </c>
    </row>
    <row r="26" spans="1:18" ht="15" customHeight="1" x14ac:dyDescent="0.25">
      <c r="A26" s="273" t="str">
        <f>RIGHT('Page 1'!$B$5,4)</f>
        <v>2017</v>
      </c>
      <c r="B26" s="273" t="str">
        <f>IF('Page 1'!$B$6="First Quarter","Q1",IF('Page 1'!$B$6="Second Quarter","Q2",IF('Page 1'!$B$6="Third Quarter","Q3",IF('Page 1'!$B$6="Fourth Quarter","Q4",""))))</f>
        <v>Q1</v>
      </c>
      <c r="C26" s="273" t="str">
        <f>IF('Page 1'!$B$8="","",'Page 1'!$B$8)</f>
        <v/>
      </c>
      <c r="D26" s="274" t="s">
        <v>13</v>
      </c>
      <c r="E26" s="275" t="str">
        <f>IF($C$2="Enter LME-MCO on the Page 1 worksheet","",IF(VLOOKUP($C$2,County_Lookup,23,FALSE)=0,"",VLOOKUP($C$2,County_Lookup,23,FALSE)))</f>
        <v/>
      </c>
      <c r="F26" s="252">
        <f>VLOOKUP($E26,'Page 3'!$A$7:$Z$33,2,FALSE)</f>
        <v>0</v>
      </c>
      <c r="G26" s="252">
        <f>VLOOKUP($E26,'Page 3'!$A$7:$Z$33,3,FALSE)</f>
        <v>0</v>
      </c>
      <c r="H26" s="252">
        <f>VLOOKUP($E26,'Page 3'!$A$7:$Z$33,4,FALSE)</f>
        <v>0</v>
      </c>
      <c r="I26" s="252">
        <f>VLOOKUP($E26,'Page 3'!$A$7:$Z$33,5,FALSE)</f>
        <v>0</v>
      </c>
      <c r="J26" s="252">
        <f>VLOOKUP($E26,'Page 3'!$A$7:$Z$33,6,FALSE)</f>
        <v>0</v>
      </c>
      <c r="K26" s="252">
        <f>VLOOKUP($E26,'Page 3'!$A$7:$Z$33,7,FALSE)</f>
        <v>0</v>
      </c>
      <c r="L26" s="252">
        <f>VLOOKUP($E26,'Page 3'!$A$7:$Z$33,8,FALSE)</f>
        <v>0</v>
      </c>
      <c r="M26" s="254">
        <f>VLOOKUP($E26,'Page 3'!$A$7:$Z$33,9,FALSE)</f>
        <v>0</v>
      </c>
      <c r="N26" s="253">
        <f t="shared" si="0"/>
        <v>0</v>
      </c>
      <c r="O26" s="253">
        <f t="shared" si="1"/>
        <v>0</v>
      </c>
      <c r="P26" s="253">
        <f t="shared" si="2"/>
        <v>0</v>
      </c>
      <c r="Q26" s="255">
        <f t="shared" si="3"/>
        <v>0</v>
      </c>
      <c r="R26" s="256" t="str">
        <f t="shared" si="4"/>
        <v/>
      </c>
    </row>
    <row r="27" spans="1:18" ht="15" customHeight="1" x14ac:dyDescent="0.25">
      <c r="A27" s="273" t="str">
        <f>RIGHT('Page 1'!$B$5,4)</f>
        <v>2017</v>
      </c>
      <c r="B27" s="273" t="str">
        <f>IF('Page 1'!$B$6="First Quarter","Q1",IF('Page 1'!$B$6="Second Quarter","Q2",IF('Page 1'!$B$6="Third Quarter","Q3",IF('Page 1'!$B$6="Fourth Quarter","Q4",""))))</f>
        <v>Q1</v>
      </c>
      <c r="C27" s="273" t="str">
        <f>IF('Page 1'!$B$8="","",'Page 1'!$B$8)</f>
        <v/>
      </c>
      <c r="D27" s="274" t="s">
        <v>13</v>
      </c>
      <c r="E27" s="275" t="str">
        <f>IF($C$2="Enter LME-MCO on the Page 1 worksheet","",IF(VLOOKUP($C$2,County_Lookup,24,FALSE)=0,"",VLOOKUP($C$2,County_Lookup,24,FALSE)))</f>
        <v/>
      </c>
      <c r="F27" s="252">
        <f>VLOOKUP($E27,'Page 3'!$A$7:$Z$33,2,FALSE)</f>
        <v>0</v>
      </c>
      <c r="G27" s="252">
        <f>VLOOKUP($E27,'Page 3'!$A$7:$Z$33,3,FALSE)</f>
        <v>0</v>
      </c>
      <c r="H27" s="252">
        <f>VLOOKUP($E27,'Page 3'!$A$7:$Z$33,4,FALSE)</f>
        <v>0</v>
      </c>
      <c r="I27" s="252">
        <f>VLOOKUP($E27,'Page 3'!$A$7:$Z$33,5,FALSE)</f>
        <v>0</v>
      </c>
      <c r="J27" s="252">
        <f>VLOOKUP($E27,'Page 3'!$A$7:$Z$33,6,FALSE)</f>
        <v>0</v>
      </c>
      <c r="K27" s="252">
        <f>VLOOKUP($E27,'Page 3'!$A$7:$Z$33,7,FALSE)</f>
        <v>0</v>
      </c>
      <c r="L27" s="252">
        <f>VLOOKUP($E27,'Page 3'!$A$7:$Z$33,8,FALSE)</f>
        <v>0</v>
      </c>
      <c r="M27" s="254">
        <f>VLOOKUP($E27,'Page 3'!$A$7:$Z$33,9,FALSE)</f>
        <v>0</v>
      </c>
      <c r="N27" s="253">
        <f t="shared" si="0"/>
        <v>0</v>
      </c>
      <c r="O27" s="253">
        <f t="shared" si="1"/>
        <v>0</v>
      </c>
      <c r="P27" s="253">
        <f t="shared" si="2"/>
        <v>0</v>
      </c>
      <c r="Q27" s="255">
        <f t="shared" si="3"/>
        <v>0</v>
      </c>
      <c r="R27" s="256" t="str">
        <f t="shared" si="4"/>
        <v/>
      </c>
    </row>
    <row r="28" spans="1:18" ht="15" customHeight="1" x14ac:dyDescent="0.25">
      <c r="A28" s="273" t="str">
        <f>RIGHT('Page 1'!$B$5,4)</f>
        <v>2017</v>
      </c>
      <c r="B28" s="273" t="str">
        <f>IF('Page 1'!$B$6="First Quarter","Q1",IF('Page 1'!$B$6="Second Quarter","Q2",IF('Page 1'!$B$6="Third Quarter","Q3",IF('Page 1'!$B$6="Fourth Quarter","Q4",""))))</f>
        <v>Q1</v>
      </c>
      <c r="C28" s="273" t="str">
        <f>IF('Page 1'!$B$8="","",'Page 1'!$B$8)</f>
        <v/>
      </c>
      <c r="D28" s="274" t="s">
        <v>13</v>
      </c>
      <c r="E28" s="275" t="str">
        <f>IF($C$2="Enter LME-MCO on the Page 1 worksheet","",IF(VLOOKUP($C$2,County_Lookup,25,FALSE)=0,"",VLOOKUP($C$2,County_Lookup,25,FALSE)))</f>
        <v/>
      </c>
      <c r="F28" s="252">
        <f>VLOOKUP($E28,'Page 3'!$A$7:$Z$33,2,FALSE)</f>
        <v>0</v>
      </c>
      <c r="G28" s="252">
        <f>VLOOKUP($E28,'Page 3'!$A$7:$Z$33,3,FALSE)</f>
        <v>0</v>
      </c>
      <c r="H28" s="252">
        <f>VLOOKUP($E28,'Page 3'!$A$7:$Z$33,4,FALSE)</f>
        <v>0</v>
      </c>
      <c r="I28" s="252">
        <f>VLOOKUP($E28,'Page 3'!$A$7:$Z$33,5,FALSE)</f>
        <v>0</v>
      </c>
      <c r="J28" s="252">
        <f>VLOOKUP($E28,'Page 3'!$A$7:$Z$33,6,FALSE)</f>
        <v>0</v>
      </c>
      <c r="K28" s="252">
        <f>VLOOKUP($E28,'Page 3'!$A$7:$Z$33,7,FALSE)</f>
        <v>0</v>
      </c>
      <c r="L28" s="252">
        <f>VLOOKUP($E28,'Page 3'!$A$7:$Z$33,8,FALSE)</f>
        <v>0</v>
      </c>
      <c r="M28" s="254">
        <f>VLOOKUP($E28,'Page 3'!$A$7:$Z$33,9,FALSE)</f>
        <v>0</v>
      </c>
      <c r="N28" s="253">
        <f t="shared" si="0"/>
        <v>0</v>
      </c>
      <c r="O28" s="253">
        <f t="shared" si="1"/>
        <v>0</v>
      </c>
      <c r="P28" s="253">
        <f t="shared" si="2"/>
        <v>0</v>
      </c>
      <c r="Q28" s="255">
        <f t="shared" si="3"/>
        <v>0</v>
      </c>
      <c r="R28" s="256" t="str">
        <f t="shared" si="4"/>
        <v/>
      </c>
    </row>
    <row r="29" spans="1:18" ht="15" customHeight="1" x14ac:dyDescent="0.25">
      <c r="A29" s="273" t="str">
        <f>RIGHT('Page 1'!$B$5,4)</f>
        <v>2017</v>
      </c>
      <c r="B29" s="273" t="str">
        <f>IF('Page 1'!$B$6="First Quarter","Q1",IF('Page 1'!$B$6="Second Quarter","Q2",IF('Page 1'!$B$6="Third Quarter","Q3",IF('Page 1'!$B$6="Fourth Quarter","Q4",""))))</f>
        <v>Q1</v>
      </c>
      <c r="C29" s="273" t="str">
        <f>IF('Page 1'!$B$8="","",'Page 1'!$B$8)</f>
        <v/>
      </c>
      <c r="D29" s="274" t="s">
        <v>13</v>
      </c>
      <c r="E29" s="275" t="str">
        <f>IF($C$2="Enter LME-MCO on the Page 1 worksheet","",IF(VLOOKUP($C$2,County_Lookup,26,FALSE)=0,"",VLOOKUP($C$2,County_Lookup,26,FALSE)))</f>
        <v/>
      </c>
      <c r="F29" s="252">
        <f>VLOOKUP($E29,'Page 3'!$A$7:$Z$33,2,FALSE)</f>
        <v>0</v>
      </c>
      <c r="G29" s="252">
        <f>VLOOKUP($E29,'Page 3'!$A$7:$Z$33,3,FALSE)</f>
        <v>0</v>
      </c>
      <c r="H29" s="252">
        <f>VLOOKUP($E29,'Page 3'!$A$7:$Z$33,4,FALSE)</f>
        <v>0</v>
      </c>
      <c r="I29" s="252">
        <f>VLOOKUP($E29,'Page 3'!$A$7:$Z$33,5,FALSE)</f>
        <v>0</v>
      </c>
      <c r="J29" s="252">
        <f>VLOOKUP($E29,'Page 3'!$A$7:$Z$33,6,FALSE)</f>
        <v>0</v>
      </c>
      <c r="K29" s="252">
        <f>VLOOKUP($E29,'Page 3'!$A$7:$Z$33,7,FALSE)</f>
        <v>0</v>
      </c>
      <c r="L29" s="252">
        <f>VLOOKUP($E29,'Page 3'!$A$7:$Z$33,8,FALSE)</f>
        <v>0</v>
      </c>
      <c r="M29" s="254">
        <f>VLOOKUP($E29,'Page 3'!$A$7:$Z$33,9,FALSE)</f>
        <v>0</v>
      </c>
      <c r="N29" s="253">
        <f t="shared" si="0"/>
        <v>0</v>
      </c>
      <c r="O29" s="253">
        <f t="shared" si="1"/>
        <v>0</v>
      </c>
      <c r="P29" s="253">
        <f t="shared" si="2"/>
        <v>0</v>
      </c>
      <c r="Q29" s="255">
        <f t="shared" si="3"/>
        <v>0</v>
      </c>
      <c r="R29" s="256" t="str">
        <f t="shared" si="4"/>
        <v/>
      </c>
    </row>
    <row r="30" spans="1:18" ht="15" customHeight="1" thickBot="1" x14ac:dyDescent="0.3">
      <c r="A30" s="273" t="str">
        <f>RIGHT('Page 1'!$B$5,4)</f>
        <v>2017</v>
      </c>
      <c r="B30" s="273" t="str">
        <f>IF('Page 1'!$B$6="First Quarter","Q1",IF('Page 1'!$B$6="Second Quarter","Q2",IF('Page 1'!$B$6="Third Quarter","Q3",IF('Page 1'!$B$6="Fourth Quarter","Q4",""))))</f>
        <v>Q1</v>
      </c>
      <c r="C30" s="273" t="str">
        <f>IF('Page 1'!$B$8="","",'Page 1'!$B$8)</f>
        <v/>
      </c>
      <c r="D30" s="274" t="s">
        <v>13</v>
      </c>
      <c r="E30" s="275" t="str">
        <f>IF($C$2="Enter LME-MCO on the Page 1 worksheet","",IF(VLOOKUP($C$2,County_Lookup,27,FALSE)=0,"",VLOOKUP($C$2,County_Lookup,27,FALSE)))</f>
        <v/>
      </c>
      <c r="F30" s="252">
        <f>VLOOKUP($E30,'Page 3'!$A$7:$Z$33,2,FALSE)</f>
        <v>0</v>
      </c>
      <c r="G30" s="252">
        <f>VLOOKUP($E30,'Page 3'!$A$7:$Z$33,3,FALSE)</f>
        <v>0</v>
      </c>
      <c r="H30" s="252">
        <f>VLOOKUP($E30,'Page 3'!$A$7:$Z$33,4,FALSE)</f>
        <v>0</v>
      </c>
      <c r="I30" s="252">
        <f>VLOOKUP($E30,'Page 3'!$A$7:$Z$33,5,FALSE)</f>
        <v>0</v>
      </c>
      <c r="J30" s="252">
        <f>VLOOKUP($E30,'Page 3'!$A$7:$Z$33,6,FALSE)</f>
        <v>0</v>
      </c>
      <c r="K30" s="252">
        <f>VLOOKUP($E30,'Page 3'!$A$7:$Z$33,7,FALSE)</f>
        <v>0</v>
      </c>
      <c r="L30" s="252">
        <f>VLOOKUP($E30,'Page 3'!$A$7:$Z$33,8,FALSE)</f>
        <v>0</v>
      </c>
      <c r="M30" s="254">
        <f>VLOOKUP($E30,'Page 3'!$A$7:$Z$33,9,FALSE)</f>
        <v>0</v>
      </c>
      <c r="N30" s="253">
        <f t="shared" si="0"/>
        <v>0</v>
      </c>
      <c r="O30" s="253">
        <f t="shared" si="1"/>
        <v>0</v>
      </c>
      <c r="P30" s="253">
        <f t="shared" si="2"/>
        <v>0</v>
      </c>
      <c r="Q30" s="255">
        <f t="shared" si="3"/>
        <v>0</v>
      </c>
      <c r="R30" s="256" t="str">
        <f t="shared" si="4"/>
        <v/>
      </c>
    </row>
    <row r="31" spans="1:18" ht="15" customHeight="1" thickTop="1" thickBot="1" x14ac:dyDescent="0.3">
      <c r="A31" s="241" t="str">
        <f>RIGHT('Page 1'!$B$5,4)</f>
        <v>2017</v>
      </c>
      <c r="B31" s="242" t="str">
        <f>IF('Page 1'!$B$6="First Quarter","Q1",IF('Page 1'!$B$6="Second Quarter","Q2",IF('Page 1'!$B$6="Third Quarter","Q3",IF('Page 1'!$B$6="Fourth Quarter","Q4",""))))</f>
        <v>Q1</v>
      </c>
      <c r="C31" s="242" t="str">
        <f>IF('Page 1'!$B$8="","",'Page 1'!$B$8)</f>
        <v/>
      </c>
      <c r="D31" s="243" t="s">
        <v>13</v>
      </c>
      <c r="E31" s="245" t="s">
        <v>266</v>
      </c>
      <c r="F31" s="261">
        <f t="shared" ref="F31:L31" si="5">SUM(F5:F30)</f>
        <v>0</v>
      </c>
      <c r="G31" s="261">
        <f t="shared" si="5"/>
        <v>0</v>
      </c>
      <c r="H31" s="261">
        <f t="shared" si="5"/>
        <v>0</v>
      </c>
      <c r="I31" s="261">
        <f t="shared" si="5"/>
        <v>0</v>
      </c>
      <c r="J31" s="261">
        <f t="shared" si="5"/>
        <v>0</v>
      </c>
      <c r="K31" s="261">
        <f t="shared" si="5"/>
        <v>0</v>
      </c>
      <c r="L31" s="261">
        <f t="shared" si="5"/>
        <v>0</v>
      </c>
      <c r="M31" s="263">
        <f>VLOOKUP($E31,'Page 3'!$A$7:$Z$33,9,FALSE)</f>
        <v>0</v>
      </c>
      <c r="N31" s="262">
        <f t="shared" ref="N31:N57" si="6">IF(F31=0,0,SUM(G31:H31)/F31)</f>
        <v>0</v>
      </c>
      <c r="O31" s="262">
        <f t="shared" ref="O31:O57" si="7">IF(I31=0,0,J31/I31)</f>
        <v>0</v>
      </c>
      <c r="P31" s="262">
        <f t="shared" ref="P31:P57" si="8">IF(K31=0,0,L31/K31)</f>
        <v>0</v>
      </c>
      <c r="Q31" s="264">
        <f>SUM(Q5:Q30)</f>
        <v>0</v>
      </c>
      <c r="R31" s="256">
        <f t="shared" si="4"/>
        <v>1</v>
      </c>
    </row>
    <row r="32" spans="1:18" ht="15" customHeight="1" thickTop="1" x14ac:dyDescent="0.25">
      <c r="A32" s="270" t="str">
        <f>RIGHT('Page 1'!$B$5,4)</f>
        <v>2017</v>
      </c>
      <c r="B32" s="270" t="str">
        <f>IF('Page 1'!$B$6="First Quarter","Q1",IF('Page 1'!$B$6="Second Quarter","Q2",IF('Page 1'!$B$6="Third Quarter","Q3",IF('Page 1'!$B$6="Fourth Quarter","Q4",""))))</f>
        <v>Q1</v>
      </c>
      <c r="C32" s="270" t="str">
        <f>IF('Page 1'!$B$8="","",'Page 1'!$B$8)</f>
        <v/>
      </c>
      <c r="D32" s="271" t="s">
        <v>15</v>
      </c>
      <c r="E32" s="272" t="str">
        <f>IF($C$2="Enter LME-MCO on the Page 1 worksheet","",IF(VLOOKUP($C$2,County_Lookup,2,FALSE)=0,"",VLOOKUP($C$2,County_Lookup,2,FALSE)))</f>
        <v/>
      </c>
      <c r="F32" s="248">
        <f>VLOOKUP($E32,'Page 3'!$A$7:$Z$33,14,FALSE)</f>
        <v>0</v>
      </c>
      <c r="G32" s="248">
        <f>VLOOKUP($E32,'Page 3'!$A$7:$Z$33,15,FALSE)</f>
        <v>0</v>
      </c>
      <c r="H32" s="248">
        <f>VLOOKUP($E32,'Page 3'!$A$7:$Z$33,16,FALSE)</f>
        <v>0</v>
      </c>
      <c r="I32" s="248">
        <f>VLOOKUP($E32,'Page 3'!$A$7:$Z$33,17,FALSE)</f>
        <v>0</v>
      </c>
      <c r="J32" s="248">
        <f>VLOOKUP($E32,'Page 3'!$A$7:$Z$33,18,FALSE)</f>
        <v>0</v>
      </c>
      <c r="K32" s="248">
        <f>VLOOKUP($E32,'Page 3'!$A$7:$Z$33,19,FALSE)</f>
        <v>0</v>
      </c>
      <c r="L32" s="248">
        <f>VLOOKUP($E32,'Page 3'!$A$7:$Z$33,20,FALSE)</f>
        <v>0</v>
      </c>
      <c r="M32" s="250">
        <f>VLOOKUP($E32,'Page 3'!$A$7:$Z$33,21,FALSE)</f>
        <v>0</v>
      </c>
      <c r="N32" s="249">
        <f t="shared" si="6"/>
        <v>0</v>
      </c>
      <c r="O32" s="249">
        <f t="shared" si="7"/>
        <v>0</v>
      </c>
      <c r="P32" s="249">
        <f t="shared" si="8"/>
        <v>0</v>
      </c>
      <c r="Q32" s="251">
        <f t="shared" ref="Q32:Q57" si="9">SUM(F32,I32,K32)</f>
        <v>0</v>
      </c>
      <c r="R32" s="256" t="str">
        <f t="shared" si="4"/>
        <v/>
      </c>
    </row>
    <row r="33" spans="1:18" ht="15" customHeight="1" x14ac:dyDescent="0.25">
      <c r="A33" s="273" t="str">
        <f>RIGHT('Page 1'!$B$5,4)</f>
        <v>2017</v>
      </c>
      <c r="B33" s="273" t="str">
        <f>IF('Page 1'!$B$6="First Quarter","Q1",IF('Page 1'!$B$6="Second Quarter","Q2",IF('Page 1'!$B$6="Third Quarter","Q3",IF('Page 1'!$B$6="Fourth Quarter","Q4",""))))</f>
        <v>Q1</v>
      </c>
      <c r="C33" s="273" t="str">
        <f>IF('Page 1'!$B$8="","",'Page 1'!$B$8)</f>
        <v/>
      </c>
      <c r="D33" s="274" t="s">
        <v>15</v>
      </c>
      <c r="E33" s="275" t="str">
        <f>IF($C$2="Enter LME-MCO on the Page 1 worksheet","",IF(VLOOKUP($C$2,County_Lookup,3,FALSE)=0,"",VLOOKUP($C$2,County_Lookup,3,FALSE)))</f>
        <v/>
      </c>
      <c r="F33" s="252">
        <f>VLOOKUP($E33,'Page 3'!$A$7:$Z$33,14,FALSE)</f>
        <v>0</v>
      </c>
      <c r="G33" s="252">
        <f>VLOOKUP($E33,'Page 3'!$A$7:$Z$33,15,FALSE)</f>
        <v>0</v>
      </c>
      <c r="H33" s="252">
        <f>VLOOKUP($E33,'Page 3'!$A$7:$Z$33,16,FALSE)</f>
        <v>0</v>
      </c>
      <c r="I33" s="252">
        <f>VLOOKUP($E33,'Page 3'!$A$7:$Z$33,17,FALSE)</f>
        <v>0</v>
      </c>
      <c r="J33" s="252">
        <f>VLOOKUP($E33,'Page 3'!$A$7:$Z$33,18,FALSE)</f>
        <v>0</v>
      </c>
      <c r="K33" s="252">
        <f>VLOOKUP($E33,'Page 3'!$A$7:$Z$33,19,FALSE)</f>
        <v>0</v>
      </c>
      <c r="L33" s="252">
        <f>VLOOKUP($E33,'Page 3'!$A$7:$Z$33,20,FALSE)</f>
        <v>0</v>
      </c>
      <c r="M33" s="254">
        <f>VLOOKUP($E33,'Page 3'!$A$7:$Z$33,21,FALSE)</f>
        <v>0</v>
      </c>
      <c r="N33" s="253">
        <f t="shared" si="6"/>
        <v>0</v>
      </c>
      <c r="O33" s="253">
        <f t="shared" si="7"/>
        <v>0</v>
      </c>
      <c r="P33" s="253">
        <f t="shared" si="8"/>
        <v>0</v>
      </c>
      <c r="Q33" s="255">
        <f t="shared" si="9"/>
        <v>0</v>
      </c>
      <c r="R33" s="256" t="str">
        <f t="shared" si="4"/>
        <v/>
      </c>
    </row>
    <row r="34" spans="1:18" ht="15" customHeight="1" x14ac:dyDescent="0.25">
      <c r="A34" s="273" t="str">
        <f>RIGHT('Page 1'!$B$5,4)</f>
        <v>2017</v>
      </c>
      <c r="B34" s="273" t="str">
        <f>IF('Page 1'!$B$6="First Quarter","Q1",IF('Page 1'!$B$6="Second Quarter","Q2",IF('Page 1'!$B$6="Third Quarter","Q3",IF('Page 1'!$B$6="Fourth Quarter","Q4",""))))</f>
        <v>Q1</v>
      </c>
      <c r="C34" s="273" t="str">
        <f>IF('Page 1'!$B$8="","",'Page 1'!$B$8)</f>
        <v/>
      </c>
      <c r="D34" s="274" t="s">
        <v>15</v>
      </c>
      <c r="E34" s="275" t="str">
        <f>IF($C$2="Enter LME-MCO on the Page 1 worksheet","",IF(VLOOKUP($C$2,County_Lookup,4,FALSE)=0,"",VLOOKUP($C$2,County_Lookup,4,FALSE)))</f>
        <v/>
      </c>
      <c r="F34" s="252">
        <f>VLOOKUP($E34,'Page 3'!$A$7:$Z$33,14,FALSE)</f>
        <v>0</v>
      </c>
      <c r="G34" s="252">
        <f>VLOOKUP($E34,'Page 3'!$A$7:$Z$33,15,FALSE)</f>
        <v>0</v>
      </c>
      <c r="H34" s="252">
        <f>VLOOKUP($E34,'Page 3'!$A$7:$Z$33,16,FALSE)</f>
        <v>0</v>
      </c>
      <c r="I34" s="252">
        <f>VLOOKUP($E34,'Page 3'!$A$7:$Z$33,17,FALSE)</f>
        <v>0</v>
      </c>
      <c r="J34" s="252">
        <f>VLOOKUP($E34,'Page 3'!$A$7:$Z$33,18,FALSE)</f>
        <v>0</v>
      </c>
      <c r="K34" s="252">
        <f>VLOOKUP($E34,'Page 3'!$A$7:$Z$33,19,FALSE)</f>
        <v>0</v>
      </c>
      <c r="L34" s="252">
        <f>VLOOKUP($E34,'Page 3'!$A$7:$Z$33,20,FALSE)</f>
        <v>0</v>
      </c>
      <c r="M34" s="254">
        <f>VLOOKUP($E34,'Page 3'!$A$7:$Z$33,21,FALSE)</f>
        <v>0</v>
      </c>
      <c r="N34" s="253">
        <f t="shared" si="6"/>
        <v>0</v>
      </c>
      <c r="O34" s="253">
        <f t="shared" si="7"/>
        <v>0</v>
      </c>
      <c r="P34" s="253">
        <f t="shared" si="8"/>
        <v>0</v>
      </c>
      <c r="Q34" s="255">
        <f t="shared" si="9"/>
        <v>0</v>
      </c>
      <c r="R34" s="256" t="str">
        <f t="shared" si="4"/>
        <v/>
      </c>
    </row>
    <row r="35" spans="1:18" ht="15" customHeight="1" x14ac:dyDescent="0.25">
      <c r="A35" s="273" t="str">
        <f>RIGHT('Page 1'!$B$5,4)</f>
        <v>2017</v>
      </c>
      <c r="B35" s="273" t="str">
        <f>IF('Page 1'!$B$6="First Quarter","Q1",IF('Page 1'!$B$6="Second Quarter","Q2",IF('Page 1'!$B$6="Third Quarter","Q3",IF('Page 1'!$B$6="Fourth Quarter","Q4",""))))</f>
        <v>Q1</v>
      </c>
      <c r="C35" s="273" t="str">
        <f>IF('Page 1'!$B$8="","",'Page 1'!$B$8)</f>
        <v/>
      </c>
      <c r="D35" s="274" t="s">
        <v>15</v>
      </c>
      <c r="E35" s="275" t="str">
        <f>IF($C$2="Enter LME-MCO on the Page 1 worksheet","",IF(VLOOKUP($C$2,County_Lookup,5,FALSE)=0,"",VLOOKUP($C$2,County_Lookup,5,FALSE)))</f>
        <v/>
      </c>
      <c r="F35" s="252">
        <f>VLOOKUP($E35,'Page 3'!$A$7:$Z$33,14,FALSE)</f>
        <v>0</v>
      </c>
      <c r="G35" s="252">
        <f>VLOOKUP($E35,'Page 3'!$A$7:$Z$33,15,FALSE)</f>
        <v>0</v>
      </c>
      <c r="H35" s="252">
        <f>VLOOKUP($E35,'Page 3'!$A$7:$Z$33,16,FALSE)</f>
        <v>0</v>
      </c>
      <c r="I35" s="252">
        <f>VLOOKUP($E35,'Page 3'!$A$7:$Z$33,17,FALSE)</f>
        <v>0</v>
      </c>
      <c r="J35" s="252">
        <f>VLOOKUP($E35,'Page 3'!$A$7:$Z$33,18,FALSE)</f>
        <v>0</v>
      </c>
      <c r="K35" s="252">
        <f>VLOOKUP($E35,'Page 3'!$A$7:$Z$33,19,FALSE)</f>
        <v>0</v>
      </c>
      <c r="L35" s="252">
        <f>VLOOKUP($E35,'Page 3'!$A$7:$Z$33,20,FALSE)</f>
        <v>0</v>
      </c>
      <c r="M35" s="254">
        <f>VLOOKUP($E35,'Page 3'!$A$7:$Z$33,21,FALSE)</f>
        <v>0</v>
      </c>
      <c r="N35" s="253">
        <f t="shared" si="6"/>
        <v>0</v>
      </c>
      <c r="O35" s="253">
        <f t="shared" si="7"/>
        <v>0</v>
      </c>
      <c r="P35" s="253">
        <f t="shared" si="8"/>
        <v>0</v>
      </c>
      <c r="Q35" s="255">
        <f t="shared" si="9"/>
        <v>0</v>
      </c>
      <c r="R35" s="256" t="str">
        <f t="shared" si="4"/>
        <v/>
      </c>
    </row>
    <row r="36" spans="1:18" ht="15" customHeight="1" x14ac:dyDescent="0.25">
      <c r="A36" s="273" t="str">
        <f>RIGHT('Page 1'!$B$5,4)</f>
        <v>2017</v>
      </c>
      <c r="B36" s="273" t="str">
        <f>IF('Page 1'!$B$6="First Quarter","Q1",IF('Page 1'!$B$6="Second Quarter","Q2",IF('Page 1'!$B$6="Third Quarter","Q3",IF('Page 1'!$B$6="Fourth Quarter","Q4",""))))</f>
        <v>Q1</v>
      </c>
      <c r="C36" s="273" t="str">
        <f>IF('Page 1'!$B$8="","",'Page 1'!$B$8)</f>
        <v/>
      </c>
      <c r="D36" s="274" t="s">
        <v>15</v>
      </c>
      <c r="E36" s="275" t="str">
        <f>IF($C$2="Enter LME-MCO on the Page 1 worksheet","",IF(VLOOKUP($C$2,County_Lookup,6,FALSE)=0,"",VLOOKUP($C$2,County_Lookup,6,FALSE)))</f>
        <v/>
      </c>
      <c r="F36" s="252">
        <f>VLOOKUP($E36,'Page 3'!$A$7:$Z$33,14,FALSE)</f>
        <v>0</v>
      </c>
      <c r="G36" s="252">
        <f>VLOOKUP($E36,'Page 3'!$A$7:$Z$33,15,FALSE)</f>
        <v>0</v>
      </c>
      <c r="H36" s="252">
        <f>VLOOKUP($E36,'Page 3'!$A$7:$Z$33,16,FALSE)</f>
        <v>0</v>
      </c>
      <c r="I36" s="252">
        <f>VLOOKUP($E36,'Page 3'!$A$7:$Z$33,17,FALSE)</f>
        <v>0</v>
      </c>
      <c r="J36" s="252">
        <f>VLOOKUP($E36,'Page 3'!$A$7:$Z$33,18,FALSE)</f>
        <v>0</v>
      </c>
      <c r="K36" s="252">
        <f>VLOOKUP($E36,'Page 3'!$A$7:$Z$33,19,FALSE)</f>
        <v>0</v>
      </c>
      <c r="L36" s="252">
        <f>VLOOKUP($E36,'Page 3'!$A$7:$Z$33,20,FALSE)</f>
        <v>0</v>
      </c>
      <c r="M36" s="254">
        <f>VLOOKUP($E36,'Page 3'!$A$7:$Z$33,21,FALSE)</f>
        <v>0</v>
      </c>
      <c r="N36" s="253">
        <f t="shared" si="6"/>
        <v>0</v>
      </c>
      <c r="O36" s="253">
        <f t="shared" si="7"/>
        <v>0</v>
      </c>
      <c r="P36" s="253">
        <f t="shared" si="8"/>
        <v>0</v>
      </c>
      <c r="Q36" s="255">
        <f t="shared" si="9"/>
        <v>0</v>
      </c>
      <c r="R36" s="256" t="str">
        <f t="shared" si="4"/>
        <v/>
      </c>
    </row>
    <row r="37" spans="1:18" ht="15" customHeight="1" x14ac:dyDescent="0.25">
      <c r="A37" s="273" t="str">
        <f>RIGHT('Page 1'!$B$5,4)</f>
        <v>2017</v>
      </c>
      <c r="B37" s="273" t="str">
        <f>IF('Page 1'!$B$6="First Quarter","Q1",IF('Page 1'!$B$6="Second Quarter","Q2",IF('Page 1'!$B$6="Third Quarter","Q3",IF('Page 1'!$B$6="Fourth Quarter","Q4",""))))</f>
        <v>Q1</v>
      </c>
      <c r="C37" s="273" t="str">
        <f>IF('Page 1'!$B$8="","",'Page 1'!$B$8)</f>
        <v/>
      </c>
      <c r="D37" s="274" t="s">
        <v>15</v>
      </c>
      <c r="E37" s="275" t="str">
        <f>IF($C$2="Enter LME-MCO on the Page 1 worksheet","",IF(VLOOKUP($C$2,County_Lookup,7,FALSE)=0,"",VLOOKUP($C$2,County_Lookup,7,FALSE)))</f>
        <v/>
      </c>
      <c r="F37" s="252">
        <f>VLOOKUP($E37,'Page 3'!$A$7:$Z$33,14,FALSE)</f>
        <v>0</v>
      </c>
      <c r="G37" s="252">
        <f>VLOOKUP($E37,'Page 3'!$A$7:$Z$33,15,FALSE)</f>
        <v>0</v>
      </c>
      <c r="H37" s="252">
        <f>VLOOKUP($E37,'Page 3'!$A$7:$Z$33,16,FALSE)</f>
        <v>0</v>
      </c>
      <c r="I37" s="252">
        <f>VLOOKUP($E37,'Page 3'!$A$7:$Z$33,17,FALSE)</f>
        <v>0</v>
      </c>
      <c r="J37" s="252">
        <f>VLOOKUP($E37,'Page 3'!$A$7:$Z$33,18,FALSE)</f>
        <v>0</v>
      </c>
      <c r="K37" s="252">
        <f>VLOOKUP($E37,'Page 3'!$A$7:$Z$33,19,FALSE)</f>
        <v>0</v>
      </c>
      <c r="L37" s="252">
        <f>VLOOKUP($E37,'Page 3'!$A$7:$Z$33,20,FALSE)</f>
        <v>0</v>
      </c>
      <c r="M37" s="254">
        <f>VLOOKUP($E37,'Page 3'!$A$7:$Z$33,21,FALSE)</f>
        <v>0</v>
      </c>
      <c r="N37" s="253">
        <f t="shared" si="6"/>
        <v>0</v>
      </c>
      <c r="O37" s="253">
        <f t="shared" si="7"/>
        <v>0</v>
      </c>
      <c r="P37" s="253">
        <f t="shared" si="8"/>
        <v>0</v>
      </c>
      <c r="Q37" s="255">
        <f t="shared" si="9"/>
        <v>0</v>
      </c>
      <c r="R37" s="256" t="str">
        <f t="shared" si="4"/>
        <v/>
      </c>
    </row>
    <row r="38" spans="1:18" ht="15" customHeight="1" x14ac:dyDescent="0.25">
      <c r="A38" s="273" t="str">
        <f>RIGHT('Page 1'!$B$5,4)</f>
        <v>2017</v>
      </c>
      <c r="B38" s="273" t="str">
        <f>IF('Page 1'!$B$6="First Quarter","Q1",IF('Page 1'!$B$6="Second Quarter","Q2",IF('Page 1'!$B$6="Third Quarter","Q3",IF('Page 1'!$B$6="Fourth Quarter","Q4",""))))</f>
        <v>Q1</v>
      </c>
      <c r="C38" s="273" t="str">
        <f>IF('Page 1'!$B$8="","",'Page 1'!$B$8)</f>
        <v/>
      </c>
      <c r="D38" s="274" t="s">
        <v>15</v>
      </c>
      <c r="E38" s="275" t="str">
        <f>IF($C$2="Enter LME-MCO on the Page 1 worksheet","",IF(VLOOKUP($C$2,County_Lookup,8,FALSE)=0,"",VLOOKUP($C$2,County_Lookup,8,FALSE)))</f>
        <v/>
      </c>
      <c r="F38" s="252">
        <f>VLOOKUP($E38,'Page 3'!$A$7:$Z$33,14,FALSE)</f>
        <v>0</v>
      </c>
      <c r="G38" s="252">
        <f>VLOOKUP($E38,'Page 3'!$A$7:$Z$33,15,FALSE)</f>
        <v>0</v>
      </c>
      <c r="H38" s="252">
        <f>VLOOKUP($E38,'Page 3'!$A$7:$Z$33,16,FALSE)</f>
        <v>0</v>
      </c>
      <c r="I38" s="252">
        <f>VLOOKUP($E38,'Page 3'!$A$7:$Z$33,17,FALSE)</f>
        <v>0</v>
      </c>
      <c r="J38" s="252">
        <f>VLOOKUP($E38,'Page 3'!$A$7:$Z$33,18,FALSE)</f>
        <v>0</v>
      </c>
      <c r="K38" s="252">
        <f>VLOOKUP($E38,'Page 3'!$A$7:$Z$33,19,FALSE)</f>
        <v>0</v>
      </c>
      <c r="L38" s="252">
        <f>VLOOKUP($E38,'Page 3'!$A$7:$Z$33,20,FALSE)</f>
        <v>0</v>
      </c>
      <c r="M38" s="254">
        <f>VLOOKUP($E38,'Page 3'!$A$7:$Z$33,21,FALSE)</f>
        <v>0</v>
      </c>
      <c r="N38" s="253">
        <f t="shared" si="6"/>
        <v>0</v>
      </c>
      <c r="O38" s="253">
        <f t="shared" si="7"/>
        <v>0</v>
      </c>
      <c r="P38" s="253">
        <f t="shared" si="8"/>
        <v>0</v>
      </c>
      <c r="Q38" s="255">
        <f t="shared" si="9"/>
        <v>0</v>
      </c>
      <c r="R38" s="256" t="str">
        <f t="shared" si="4"/>
        <v/>
      </c>
    </row>
    <row r="39" spans="1:18" ht="15" customHeight="1" x14ac:dyDescent="0.25">
      <c r="A39" s="273" t="str">
        <f>RIGHT('Page 1'!$B$5,4)</f>
        <v>2017</v>
      </c>
      <c r="B39" s="273" t="str">
        <f>IF('Page 1'!$B$6="First Quarter","Q1",IF('Page 1'!$B$6="Second Quarter","Q2",IF('Page 1'!$B$6="Third Quarter","Q3",IF('Page 1'!$B$6="Fourth Quarter","Q4",""))))</f>
        <v>Q1</v>
      </c>
      <c r="C39" s="273" t="str">
        <f>IF('Page 1'!$B$8="","",'Page 1'!$B$8)</f>
        <v/>
      </c>
      <c r="D39" s="274" t="s">
        <v>15</v>
      </c>
      <c r="E39" s="275" t="str">
        <f>IF($C$2="Enter LME-MCO on the Page 1 worksheet","",IF(VLOOKUP($C$2,County_Lookup,9,FALSE)=0,"",VLOOKUP($C$2,County_Lookup,9,FALSE)))</f>
        <v/>
      </c>
      <c r="F39" s="252">
        <f>VLOOKUP($E39,'Page 3'!$A$7:$Z$33,14,FALSE)</f>
        <v>0</v>
      </c>
      <c r="G39" s="252">
        <f>VLOOKUP($E39,'Page 3'!$A$7:$Z$33,15,FALSE)</f>
        <v>0</v>
      </c>
      <c r="H39" s="252">
        <f>VLOOKUP($E39,'Page 3'!$A$7:$Z$33,16,FALSE)</f>
        <v>0</v>
      </c>
      <c r="I39" s="252">
        <f>VLOOKUP($E39,'Page 3'!$A$7:$Z$33,17,FALSE)</f>
        <v>0</v>
      </c>
      <c r="J39" s="252">
        <f>VLOOKUP($E39,'Page 3'!$A$7:$Z$33,18,FALSE)</f>
        <v>0</v>
      </c>
      <c r="K39" s="252">
        <f>VLOOKUP($E39,'Page 3'!$A$7:$Z$33,19,FALSE)</f>
        <v>0</v>
      </c>
      <c r="L39" s="252">
        <f>VLOOKUP($E39,'Page 3'!$A$7:$Z$33,20,FALSE)</f>
        <v>0</v>
      </c>
      <c r="M39" s="254">
        <f>VLOOKUP($E39,'Page 3'!$A$7:$Z$33,21,FALSE)</f>
        <v>0</v>
      </c>
      <c r="N39" s="253">
        <f t="shared" si="6"/>
        <v>0</v>
      </c>
      <c r="O39" s="253">
        <f t="shared" si="7"/>
        <v>0</v>
      </c>
      <c r="P39" s="253">
        <f t="shared" si="8"/>
        <v>0</v>
      </c>
      <c r="Q39" s="255">
        <f t="shared" si="9"/>
        <v>0</v>
      </c>
      <c r="R39" s="256" t="str">
        <f t="shared" si="4"/>
        <v/>
      </c>
    </row>
    <row r="40" spans="1:18" ht="15" customHeight="1" x14ac:dyDescent="0.25">
      <c r="A40" s="273" t="str">
        <f>RIGHT('Page 1'!$B$5,4)</f>
        <v>2017</v>
      </c>
      <c r="B40" s="273" t="str">
        <f>IF('Page 1'!$B$6="First Quarter","Q1",IF('Page 1'!$B$6="Second Quarter","Q2",IF('Page 1'!$B$6="Third Quarter","Q3",IF('Page 1'!$B$6="Fourth Quarter","Q4",""))))</f>
        <v>Q1</v>
      </c>
      <c r="C40" s="273" t="str">
        <f>IF('Page 1'!$B$8="","",'Page 1'!$B$8)</f>
        <v/>
      </c>
      <c r="D40" s="274" t="s">
        <v>15</v>
      </c>
      <c r="E40" s="275" t="str">
        <f>IF($C$2="Enter LME-MCO on the Page 1 worksheet","",IF(VLOOKUP($C$2,County_Lookup,10,FALSE)=0,"",VLOOKUP($C$2,County_Lookup,10,FALSE)))</f>
        <v/>
      </c>
      <c r="F40" s="252">
        <f>VLOOKUP($E40,'Page 3'!$A$7:$Z$33,14,FALSE)</f>
        <v>0</v>
      </c>
      <c r="G40" s="252">
        <f>VLOOKUP($E40,'Page 3'!$A$7:$Z$33,15,FALSE)</f>
        <v>0</v>
      </c>
      <c r="H40" s="252">
        <f>VLOOKUP($E40,'Page 3'!$A$7:$Z$33,16,FALSE)</f>
        <v>0</v>
      </c>
      <c r="I40" s="252">
        <f>VLOOKUP($E40,'Page 3'!$A$7:$Z$33,17,FALSE)</f>
        <v>0</v>
      </c>
      <c r="J40" s="252">
        <f>VLOOKUP($E40,'Page 3'!$A$7:$Z$33,18,FALSE)</f>
        <v>0</v>
      </c>
      <c r="K40" s="252">
        <f>VLOOKUP($E40,'Page 3'!$A$7:$Z$33,19,FALSE)</f>
        <v>0</v>
      </c>
      <c r="L40" s="252">
        <f>VLOOKUP($E40,'Page 3'!$A$7:$Z$33,20,FALSE)</f>
        <v>0</v>
      </c>
      <c r="M40" s="254">
        <f>VLOOKUP($E40,'Page 3'!$A$7:$Z$33,21,FALSE)</f>
        <v>0</v>
      </c>
      <c r="N40" s="253">
        <f t="shared" si="6"/>
        <v>0</v>
      </c>
      <c r="O40" s="253">
        <f t="shared" si="7"/>
        <v>0</v>
      </c>
      <c r="P40" s="253">
        <f t="shared" si="8"/>
        <v>0</v>
      </c>
      <c r="Q40" s="255">
        <f t="shared" si="9"/>
        <v>0</v>
      </c>
      <c r="R40" s="256" t="str">
        <f t="shared" si="4"/>
        <v/>
      </c>
    </row>
    <row r="41" spans="1:18" ht="15" customHeight="1" x14ac:dyDescent="0.25">
      <c r="A41" s="273" t="str">
        <f>RIGHT('Page 1'!$B$5,4)</f>
        <v>2017</v>
      </c>
      <c r="B41" s="273" t="str">
        <f>IF('Page 1'!$B$6="First Quarter","Q1",IF('Page 1'!$B$6="Second Quarter","Q2",IF('Page 1'!$B$6="Third Quarter","Q3",IF('Page 1'!$B$6="Fourth Quarter","Q4",""))))</f>
        <v>Q1</v>
      </c>
      <c r="C41" s="273" t="str">
        <f>IF('Page 1'!$B$8="","",'Page 1'!$B$8)</f>
        <v/>
      </c>
      <c r="D41" s="274" t="s">
        <v>15</v>
      </c>
      <c r="E41" s="275" t="str">
        <f>IF($C$2="Enter LME-MCO on the Page 1 worksheet","",IF(VLOOKUP($C$2,County_Lookup,11,FALSE)=0,"",VLOOKUP($C$2,County_Lookup,11,FALSE)))</f>
        <v/>
      </c>
      <c r="F41" s="252">
        <f>VLOOKUP($E41,'Page 3'!$A$7:$Z$33,14,FALSE)</f>
        <v>0</v>
      </c>
      <c r="G41" s="252">
        <f>VLOOKUP($E41,'Page 3'!$A$7:$Z$33,15,FALSE)</f>
        <v>0</v>
      </c>
      <c r="H41" s="252">
        <f>VLOOKUP($E41,'Page 3'!$A$7:$Z$33,16,FALSE)</f>
        <v>0</v>
      </c>
      <c r="I41" s="252">
        <f>VLOOKUP($E41,'Page 3'!$A$7:$Z$33,17,FALSE)</f>
        <v>0</v>
      </c>
      <c r="J41" s="252">
        <f>VLOOKUP($E41,'Page 3'!$A$7:$Z$33,18,FALSE)</f>
        <v>0</v>
      </c>
      <c r="K41" s="252">
        <f>VLOOKUP($E41,'Page 3'!$A$7:$Z$33,19,FALSE)</f>
        <v>0</v>
      </c>
      <c r="L41" s="252">
        <f>VLOOKUP($E41,'Page 3'!$A$7:$Z$33,20,FALSE)</f>
        <v>0</v>
      </c>
      <c r="M41" s="254">
        <f>VLOOKUP($E41,'Page 3'!$A$7:$Z$33,21,FALSE)</f>
        <v>0</v>
      </c>
      <c r="N41" s="253">
        <f t="shared" si="6"/>
        <v>0</v>
      </c>
      <c r="O41" s="253">
        <f t="shared" si="7"/>
        <v>0</v>
      </c>
      <c r="P41" s="253">
        <f t="shared" si="8"/>
        <v>0</v>
      </c>
      <c r="Q41" s="255">
        <f t="shared" si="9"/>
        <v>0</v>
      </c>
      <c r="R41" s="256" t="str">
        <f t="shared" si="4"/>
        <v/>
      </c>
    </row>
    <row r="42" spans="1:18" ht="15" customHeight="1" x14ac:dyDescent="0.25">
      <c r="A42" s="273" t="str">
        <f>RIGHT('Page 1'!$B$5,4)</f>
        <v>2017</v>
      </c>
      <c r="B42" s="273" t="str">
        <f>IF('Page 1'!$B$6="First Quarter","Q1",IF('Page 1'!$B$6="Second Quarter","Q2",IF('Page 1'!$B$6="Third Quarter","Q3",IF('Page 1'!$B$6="Fourth Quarter","Q4",""))))</f>
        <v>Q1</v>
      </c>
      <c r="C42" s="273" t="str">
        <f>IF('Page 1'!$B$8="","",'Page 1'!$B$8)</f>
        <v/>
      </c>
      <c r="D42" s="274" t="s">
        <v>15</v>
      </c>
      <c r="E42" s="275" t="str">
        <f>IF($C$2="Enter LME-MCO on the Page 1 worksheet","",IF(VLOOKUP($C$2,County_Lookup,12,FALSE)=0,"",VLOOKUP($C$2,County_Lookup,12,FALSE)))</f>
        <v/>
      </c>
      <c r="F42" s="252">
        <f>VLOOKUP($E42,'Page 3'!$A$7:$Z$33,14,FALSE)</f>
        <v>0</v>
      </c>
      <c r="G42" s="252">
        <f>VLOOKUP($E42,'Page 3'!$A$7:$Z$33,15,FALSE)</f>
        <v>0</v>
      </c>
      <c r="H42" s="252">
        <f>VLOOKUP($E42,'Page 3'!$A$7:$Z$33,16,FALSE)</f>
        <v>0</v>
      </c>
      <c r="I42" s="252">
        <f>VLOOKUP($E42,'Page 3'!$A$7:$Z$33,17,FALSE)</f>
        <v>0</v>
      </c>
      <c r="J42" s="252">
        <f>VLOOKUP($E42,'Page 3'!$A$7:$Z$33,18,FALSE)</f>
        <v>0</v>
      </c>
      <c r="K42" s="252">
        <f>VLOOKUP($E42,'Page 3'!$A$7:$Z$33,19,FALSE)</f>
        <v>0</v>
      </c>
      <c r="L42" s="252">
        <f>VLOOKUP($E42,'Page 3'!$A$7:$Z$33,20,FALSE)</f>
        <v>0</v>
      </c>
      <c r="M42" s="254">
        <f>VLOOKUP($E42,'Page 3'!$A$7:$Z$33,21,FALSE)</f>
        <v>0</v>
      </c>
      <c r="N42" s="253">
        <f t="shared" si="6"/>
        <v>0</v>
      </c>
      <c r="O42" s="253">
        <f t="shared" si="7"/>
        <v>0</v>
      </c>
      <c r="P42" s="253">
        <f t="shared" si="8"/>
        <v>0</v>
      </c>
      <c r="Q42" s="255">
        <f t="shared" si="9"/>
        <v>0</v>
      </c>
      <c r="R42" s="256" t="str">
        <f t="shared" si="4"/>
        <v/>
      </c>
    </row>
    <row r="43" spans="1:18" ht="15" customHeight="1" x14ac:dyDescent="0.25">
      <c r="A43" s="273" t="str">
        <f>RIGHT('Page 1'!$B$5,4)</f>
        <v>2017</v>
      </c>
      <c r="B43" s="273" t="str">
        <f>IF('Page 1'!$B$6="First Quarter","Q1",IF('Page 1'!$B$6="Second Quarter","Q2",IF('Page 1'!$B$6="Third Quarter","Q3",IF('Page 1'!$B$6="Fourth Quarter","Q4",""))))</f>
        <v>Q1</v>
      </c>
      <c r="C43" s="273" t="str">
        <f>IF('Page 1'!$B$8="","",'Page 1'!$B$8)</f>
        <v/>
      </c>
      <c r="D43" s="274" t="s">
        <v>15</v>
      </c>
      <c r="E43" s="275" t="str">
        <f>IF($C$2="Enter LME-MCO on the Page 1 worksheet","",IF(VLOOKUP($C$2,County_Lookup,13,FALSE)=0,"",VLOOKUP($C$2,County_Lookup,13,FALSE)))</f>
        <v/>
      </c>
      <c r="F43" s="252">
        <f>VLOOKUP($E43,'Page 3'!$A$7:$Z$33,14,FALSE)</f>
        <v>0</v>
      </c>
      <c r="G43" s="252">
        <f>VLOOKUP($E43,'Page 3'!$A$7:$Z$33,15,FALSE)</f>
        <v>0</v>
      </c>
      <c r="H43" s="252">
        <f>VLOOKUP($E43,'Page 3'!$A$7:$Z$33,16,FALSE)</f>
        <v>0</v>
      </c>
      <c r="I43" s="252">
        <f>VLOOKUP($E43,'Page 3'!$A$7:$Z$33,17,FALSE)</f>
        <v>0</v>
      </c>
      <c r="J43" s="252">
        <f>VLOOKUP($E43,'Page 3'!$A$7:$Z$33,18,FALSE)</f>
        <v>0</v>
      </c>
      <c r="K43" s="252">
        <f>VLOOKUP($E43,'Page 3'!$A$7:$Z$33,19,FALSE)</f>
        <v>0</v>
      </c>
      <c r="L43" s="252">
        <f>VLOOKUP($E43,'Page 3'!$A$7:$Z$33,20,FALSE)</f>
        <v>0</v>
      </c>
      <c r="M43" s="254">
        <f>VLOOKUP($E43,'Page 3'!$A$7:$Z$33,21,FALSE)</f>
        <v>0</v>
      </c>
      <c r="N43" s="253">
        <f t="shared" si="6"/>
        <v>0</v>
      </c>
      <c r="O43" s="253">
        <f t="shared" si="7"/>
        <v>0</v>
      </c>
      <c r="P43" s="253">
        <f t="shared" si="8"/>
        <v>0</v>
      </c>
      <c r="Q43" s="255">
        <f t="shared" si="9"/>
        <v>0</v>
      </c>
      <c r="R43" s="256" t="str">
        <f t="shared" si="4"/>
        <v/>
      </c>
    </row>
    <row r="44" spans="1:18" ht="15" customHeight="1" x14ac:dyDescent="0.25">
      <c r="A44" s="273" t="str">
        <f>RIGHT('Page 1'!$B$5,4)</f>
        <v>2017</v>
      </c>
      <c r="B44" s="273" t="str">
        <f>IF('Page 1'!$B$6="First Quarter","Q1",IF('Page 1'!$B$6="Second Quarter","Q2",IF('Page 1'!$B$6="Third Quarter","Q3",IF('Page 1'!$B$6="Fourth Quarter","Q4",""))))</f>
        <v>Q1</v>
      </c>
      <c r="C44" s="273" t="str">
        <f>IF('Page 1'!$B$8="","",'Page 1'!$B$8)</f>
        <v/>
      </c>
      <c r="D44" s="274" t="s">
        <v>15</v>
      </c>
      <c r="E44" s="275" t="str">
        <f>IF($C$2="Enter LME-MCO on the Page 1 worksheet","",IF(VLOOKUP($C$2,County_Lookup,14,FALSE)=0,"",VLOOKUP($C$2,County_Lookup,14,FALSE)))</f>
        <v/>
      </c>
      <c r="F44" s="252">
        <f>VLOOKUP($E44,'Page 3'!$A$7:$Z$33,14,FALSE)</f>
        <v>0</v>
      </c>
      <c r="G44" s="252">
        <f>VLOOKUP($E44,'Page 3'!$A$7:$Z$33,15,FALSE)</f>
        <v>0</v>
      </c>
      <c r="H44" s="252">
        <f>VLOOKUP($E44,'Page 3'!$A$7:$Z$33,16,FALSE)</f>
        <v>0</v>
      </c>
      <c r="I44" s="252">
        <f>VLOOKUP($E44,'Page 3'!$A$7:$Z$33,17,FALSE)</f>
        <v>0</v>
      </c>
      <c r="J44" s="252">
        <f>VLOOKUP($E44,'Page 3'!$A$7:$Z$33,18,FALSE)</f>
        <v>0</v>
      </c>
      <c r="K44" s="252">
        <f>VLOOKUP($E44,'Page 3'!$A$7:$Z$33,19,FALSE)</f>
        <v>0</v>
      </c>
      <c r="L44" s="252">
        <f>VLOOKUP($E44,'Page 3'!$A$7:$Z$33,20,FALSE)</f>
        <v>0</v>
      </c>
      <c r="M44" s="254">
        <f>VLOOKUP($E44,'Page 3'!$A$7:$Z$33,21,FALSE)</f>
        <v>0</v>
      </c>
      <c r="N44" s="253">
        <f t="shared" si="6"/>
        <v>0</v>
      </c>
      <c r="O44" s="253">
        <f t="shared" si="7"/>
        <v>0</v>
      </c>
      <c r="P44" s="253">
        <f t="shared" si="8"/>
        <v>0</v>
      </c>
      <c r="Q44" s="255">
        <f t="shared" si="9"/>
        <v>0</v>
      </c>
      <c r="R44" s="256" t="str">
        <f t="shared" si="4"/>
        <v/>
      </c>
    </row>
    <row r="45" spans="1:18" ht="15" customHeight="1" x14ac:dyDescent="0.25">
      <c r="A45" s="273" t="str">
        <f>RIGHT('Page 1'!$B$5,4)</f>
        <v>2017</v>
      </c>
      <c r="B45" s="273" t="str">
        <f>IF('Page 1'!$B$6="First Quarter","Q1",IF('Page 1'!$B$6="Second Quarter","Q2",IF('Page 1'!$B$6="Third Quarter","Q3",IF('Page 1'!$B$6="Fourth Quarter","Q4",""))))</f>
        <v>Q1</v>
      </c>
      <c r="C45" s="273" t="str">
        <f>IF('Page 1'!$B$8="","",'Page 1'!$B$8)</f>
        <v/>
      </c>
      <c r="D45" s="274" t="s">
        <v>15</v>
      </c>
      <c r="E45" s="275" t="str">
        <f>IF($C$2="Enter LME-MCO on the Page 1 worksheet","",IF(VLOOKUP($C$2,County_Lookup,15,FALSE)=0,"",VLOOKUP($C$2,County_Lookup,15,FALSE)))</f>
        <v/>
      </c>
      <c r="F45" s="252">
        <f>VLOOKUP($E45,'Page 3'!$A$7:$Z$33,14,FALSE)</f>
        <v>0</v>
      </c>
      <c r="G45" s="252">
        <f>VLOOKUP($E45,'Page 3'!$A$7:$Z$33,15,FALSE)</f>
        <v>0</v>
      </c>
      <c r="H45" s="252">
        <f>VLOOKUP($E45,'Page 3'!$A$7:$Z$33,16,FALSE)</f>
        <v>0</v>
      </c>
      <c r="I45" s="252">
        <f>VLOOKUP($E45,'Page 3'!$A$7:$Z$33,17,FALSE)</f>
        <v>0</v>
      </c>
      <c r="J45" s="252">
        <f>VLOOKUP($E45,'Page 3'!$A$7:$Z$33,18,FALSE)</f>
        <v>0</v>
      </c>
      <c r="K45" s="252">
        <f>VLOOKUP($E45,'Page 3'!$A$7:$Z$33,19,FALSE)</f>
        <v>0</v>
      </c>
      <c r="L45" s="252">
        <f>VLOOKUP($E45,'Page 3'!$A$7:$Z$33,20,FALSE)</f>
        <v>0</v>
      </c>
      <c r="M45" s="254">
        <f>VLOOKUP($E45,'Page 3'!$A$7:$Z$33,21,FALSE)</f>
        <v>0</v>
      </c>
      <c r="N45" s="253">
        <f t="shared" si="6"/>
        <v>0</v>
      </c>
      <c r="O45" s="253">
        <f t="shared" si="7"/>
        <v>0</v>
      </c>
      <c r="P45" s="253">
        <f t="shared" si="8"/>
        <v>0</v>
      </c>
      <c r="Q45" s="255">
        <f t="shared" si="9"/>
        <v>0</v>
      </c>
      <c r="R45" s="256" t="str">
        <f t="shared" si="4"/>
        <v/>
      </c>
    </row>
    <row r="46" spans="1:18" ht="15" customHeight="1" x14ac:dyDescent="0.25">
      <c r="A46" s="273" t="str">
        <f>RIGHT('Page 1'!$B$5,4)</f>
        <v>2017</v>
      </c>
      <c r="B46" s="273" t="str">
        <f>IF('Page 1'!$B$6="First Quarter","Q1",IF('Page 1'!$B$6="Second Quarter","Q2",IF('Page 1'!$B$6="Third Quarter","Q3",IF('Page 1'!$B$6="Fourth Quarter","Q4",""))))</f>
        <v>Q1</v>
      </c>
      <c r="C46" s="273" t="str">
        <f>IF('Page 1'!$B$8="","",'Page 1'!$B$8)</f>
        <v/>
      </c>
      <c r="D46" s="274" t="s">
        <v>15</v>
      </c>
      <c r="E46" s="275" t="str">
        <f>IF($C$2="Enter LME-MCO on the Page 1 worksheet","",IF(VLOOKUP($C$2,County_Lookup,16,FALSE)=0,"",VLOOKUP($C$2,County_Lookup,16,FALSE)))</f>
        <v/>
      </c>
      <c r="F46" s="252">
        <f>VLOOKUP($E46,'Page 3'!$A$7:$Z$33,14,FALSE)</f>
        <v>0</v>
      </c>
      <c r="G46" s="252">
        <f>VLOOKUP($E46,'Page 3'!$A$7:$Z$33,15,FALSE)</f>
        <v>0</v>
      </c>
      <c r="H46" s="252">
        <f>VLOOKUP($E46,'Page 3'!$A$7:$Z$33,16,FALSE)</f>
        <v>0</v>
      </c>
      <c r="I46" s="252">
        <f>VLOOKUP($E46,'Page 3'!$A$7:$Z$33,17,FALSE)</f>
        <v>0</v>
      </c>
      <c r="J46" s="252">
        <f>VLOOKUP($E46,'Page 3'!$A$7:$Z$33,18,FALSE)</f>
        <v>0</v>
      </c>
      <c r="K46" s="252">
        <f>VLOOKUP($E46,'Page 3'!$A$7:$Z$33,19,FALSE)</f>
        <v>0</v>
      </c>
      <c r="L46" s="252">
        <f>VLOOKUP($E46,'Page 3'!$A$7:$Z$33,20,FALSE)</f>
        <v>0</v>
      </c>
      <c r="M46" s="254">
        <f>VLOOKUP($E46,'Page 3'!$A$7:$Z$33,21,FALSE)</f>
        <v>0</v>
      </c>
      <c r="N46" s="253">
        <f t="shared" si="6"/>
        <v>0</v>
      </c>
      <c r="O46" s="253">
        <f t="shared" si="7"/>
        <v>0</v>
      </c>
      <c r="P46" s="253">
        <f t="shared" si="8"/>
        <v>0</v>
      </c>
      <c r="Q46" s="255">
        <f t="shared" si="9"/>
        <v>0</v>
      </c>
      <c r="R46" s="256" t="str">
        <f t="shared" si="4"/>
        <v/>
      </c>
    </row>
    <row r="47" spans="1:18" ht="15" customHeight="1" x14ac:dyDescent="0.25">
      <c r="A47" s="273" t="str">
        <f>RIGHT('Page 1'!$B$5,4)</f>
        <v>2017</v>
      </c>
      <c r="B47" s="273" t="str">
        <f>IF('Page 1'!$B$6="First Quarter","Q1",IF('Page 1'!$B$6="Second Quarter","Q2",IF('Page 1'!$B$6="Third Quarter","Q3",IF('Page 1'!$B$6="Fourth Quarter","Q4",""))))</f>
        <v>Q1</v>
      </c>
      <c r="C47" s="273" t="str">
        <f>IF('Page 1'!$B$8="","",'Page 1'!$B$8)</f>
        <v/>
      </c>
      <c r="D47" s="274" t="s">
        <v>15</v>
      </c>
      <c r="E47" s="275" t="str">
        <f>IF($C$2="Enter LME-MCO on the Page 1 worksheet","",IF(VLOOKUP($C$2,County_Lookup,17,FALSE)=0,"",VLOOKUP($C$2,County_Lookup,17,FALSE)))</f>
        <v/>
      </c>
      <c r="F47" s="252">
        <f>VLOOKUP($E47,'Page 3'!$A$7:$Z$33,14,FALSE)</f>
        <v>0</v>
      </c>
      <c r="G47" s="252">
        <f>VLOOKUP($E47,'Page 3'!$A$7:$Z$33,15,FALSE)</f>
        <v>0</v>
      </c>
      <c r="H47" s="252">
        <f>VLOOKUP($E47,'Page 3'!$A$7:$Z$33,16,FALSE)</f>
        <v>0</v>
      </c>
      <c r="I47" s="252">
        <f>VLOOKUP($E47,'Page 3'!$A$7:$Z$33,17,FALSE)</f>
        <v>0</v>
      </c>
      <c r="J47" s="252">
        <f>VLOOKUP($E47,'Page 3'!$A$7:$Z$33,18,FALSE)</f>
        <v>0</v>
      </c>
      <c r="K47" s="252">
        <f>VLOOKUP($E47,'Page 3'!$A$7:$Z$33,19,FALSE)</f>
        <v>0</v>
      </c>
      <c r="L47" s="252">
        <f>VLOOKUP($E47,'Page 3'!$A$7:$Z$33,20,FALSE)</f>
        <v>0</v>
      </c>
      <c r="M47" s="254">
        <f>VLOOKUP($E47,'Page 3'!$A$7:$Z$33,21,FALSE)</f>
        <v>0</v>
      </c>
      <c r="N47" s="253">
        <f t="shared" si="6"/>
        <v>0</v>
      </c>
      <c r="O47" s="253">
        <f t="shared" si="7"/>
        <v>0</v>
      </c>
      <c r="P47" s="253">
        <f t="shared" si="8"/>
        <v>0</v>
      </c>
      <c r="Q47" s="255">
        <f t="shared" si="9"/>
        <v>0</v>
      </c>
      <c r="R47" s="256" t="str">
        <f t="shared" si="4"/>
        <v/>
      </c>
    </row>
    <row r="48" spans="1:18" ht="15" customHeight="1" x14ac:dyDescent="0.25">
      <c r="A48" s="273" t="str">
        <f>RIGHT('Page 1'!$B$5,4)</f>
        <v>2017</v>
      </c>
      <c r="B48" s="273" t="str">
        <f>IF('Page 1'!$B$6="First Quarter","Q1",IF('Page 1'!$B$6="Second Quarter","Q2",IF('Page 1'!$B$6="Third Quarter","Q3",IF('Page 1'!$B$6="Fourth Quarter","Q4",""))))</f>
        <v>Q1</v>
      </c>
      <c r="C48" s="273" t="str">
        <f>IF('Page 1'!$B$8="","",'Page 1'!$B$8)</f>
        <v/>
      </c>
      <c r="D48" s="274" t="s">
        <v>15</v>
      </c>
      <c r="E48" s="275" t="str">
        <f>IF($C$2="Enter LME-MCO on the Page 1 worksheet","",IF(VLOOKUP($C$2,County_Lookup,18,FALSE)=0,"",VLOOKUP($C$2,County_Lookup,18,FALSE)))</f>
        <v/>
      </c>
      <c r="F48" s="252">
        <f>VLOOKUP($E48,'Page 3'!$A$7:$Z$33,14,FALSE)</f>
        <v>0</v>
      </c>
      <c r="G48" s="252">
        <f>VLOOKUP($E48,'Page 3'!$A$7:$Z$33,15,FALSE)</f>
        <v>0</v>
      </c>
      <c r="H48" s="252">
        <f>VLOOKUP($E48,'Page 3'!$A$7:$Z$33,16,FALSE)</f>
        <v>0</v>
      </c>
      <c r="I48" s="252">
        <f>VLOOKUP($E48,'Page 3'!$A$7:$Z$33,17,FALSE)</f>
        <v>0</v>
      </c>
      <c r="J48" s="252">
        <f>VLOOKUP($E48,'Page 3'!$A$7:$Z$33,18,FALSE)</f>
        <v>0</v>
      </c>
      <c r="K48" s="252">
        <f>VLOOKUP($E48,'Page 3'!$A$7:$Z$33,19,FALSE)</f>
        <v>0</v>
      </c>
      <c r="L48" s="252">
        <f>VLOOKUP($E48,'Page 3'!$A$7:$Z$33,20,FALSE)</f>
        <v>0</v>
      </c>
      <c r="M48" s="254">
        <f>VLOOKUP($E48,'Page 3'!$A$7:$Z$33,21,FALSE)</f>
        <v>0</v>
      </c>
      <c r="N48" s="253">
        <f t="shared" si="6"/>
        <v>0</v>
      </c>
      <c r="O48" s="253">
        <f t="shared" si="7"/>
        <v>0</v>
      </c>
      <c r="P48" s="253">
        <f t="shared" si="8"/>
        <v>0</v>
      </c>
      <c r="Q48" s="255">
        <f t="shared" si="9"/>
        <v>0</v>
      </c>
      <c r="R48" s="256" t="str">
        <f t="shared" si="4"/>
        <v/>
      </c>
    </row>
    <row r="49" spans="1:18" ht="15" customHeight="1" x14ac:dyDescent="0.25">
      <c r="A49" s="273" t="str">
        <f>RIGHT('Page 1'!$B$5,4)</f>
        <v>2017</v>
      </c>
      <c r="B49" s="273" t="str">
        <f>IF('Page 1'!$B$6="First Quarter","Q1",IF('Page 1'!$B$6="Second Quarter","Q2",IF('Page 1'!$B$6="Third Quarter","Q3",IF('Page 1'!$B$6="Fourth Quarter","Q4",""))))</f>
        <v>Q1</v>
      </c>
      <c r="C49" s="273" t="str">
        <f>IF('Page 1'!$B$8="","",'Page 1'!$B$8)</f>
        <v/>
      </c>
      <c r="D49" s="274" t="s">
        <v>15</v>
      </c>
      <c r="E49" s="275" t="str">
        <f>IF($C$2="Enter LME-MCO on the Page 1 worksheet","",IF(VLOOKUP($C$2,County_Lookup,19,FALSE)=0,"",VLOOKUP($C$2,County_Lookup,19,FALSE)))</f>
        <v/>
      </c>
      <c r="F49" s="252">
        <f>VLOOKUP($E49,'Page 3'!$A$7:$Z$33,14,FALSE)</f>
        <v>0</v>
      </c>
      <c r="G49" s="252">
        <f>VLOOKUP($E49,'Page 3'!$A$7:$Z$33,15,FALSE)</f>
        <v>0</v>
      </c>
      <c r="H49" s="252">
        <f>VLOOKUP($E49,'Page 3'!$A$7:$Z$33,16,FALSE)</f>
        <v>0</v>
      </c>
      <c r="I49" s="252">
        <f>VLOOKUP($E49,'Page 3'!$A$7:$Z$33,17,FALSE)</f>
        <v>0</v>
      </c>
      <c r="J49" s="252">
        <f>VLOOKUP($E49,'Page 3'!$A$7:$Z$33,18,FALSE)</f>
        <v>0</v>
      </c>
      <c r="K49" s="252">
        <f>VLOOKUP($E49,'Page 3'!$A$7:$Z$33,19,FALSE)</f>
        <v>0</v>
      </c>
      <c r="L49" s="252">
        <f>VLOOKUP($E49,'Page 3'!$A$7:$Z$33,20,FALSE)</f>
        <v>0</v>
      </c>
      <c r="M49" s="254">
        <f>VLOOKUP($E49,'Page 3'!$A$7:$Z$33,21,FALSE)</f>
        <v>0</v>
      </c>
      <c r="N49" s="253">
        <f t="shared" si="6"/>
        <v>0</v>
      </c>
      <c r="O49" s="253">
        <f t="shared" si="7"/>
        <v>0</v>
      </c>
      <c r="P49" s="253">
        <f t="shared" si="8"/>
        <v>0</v>
      </c>
      <c r="Q49" s="255">
        <f t="shared" si="9"/>
        <v>0</v>
      </c>
      <c r="R49" s="256" t="str">
        <f t="shared" si="4"/>
        <v/>
      </c>
    </row>
    <row r="50" spans="1:18" ht="15" customHeight="1" x14ac:dyDescent="0.25">
      <c r="A50" s="273" t="str">
        <f>RIGHT('Page 1'!$B$5,4)</f>
        <v>2017</v>
      </c>
      <c r="B50" s="273" t="str">
        <f>IF('Page 1'!$B$6="First Quarter","Q1",IF('Page 1'!$B$6="Second Quarter","Q2",IF('Page 1'!$B$6="Third Quarter","Q3",IF('Page 1'!$B$6="Fourth Quarter","Q4",""))))</f>
        <v>Q1</v>
      </c>
      <c r="C50" s="273" t="str">
        <f>IF('Page 1'!$B$8="","",'Page 1'!$B$8)</f>
        <v/>
      </c>
      <c r="D50" s="274" t="s">
        <v>15</v>
      </c>
      <c r="E50" s="275" t="str">
        <f>IF($C$2="Enter LME-MCO on the Page 1 worksheet","",IF(VLOOKUP($C$2,County_Lookup,20,FALSE)=0,"",VLOOKUP($C$2,County_Lookup,20,FALSE)))</f>
        <v/>
      </c>
      <c r="F50" s="252">
        <f>VLOOKUP($E50,'Page 3'!$A$7:$Z$33,14,FALSE)</f>
        <v>0</v>
      </c>
      <c r="G50" s="252">
        <f>VLOOKUP($E50,'Page 3'!$A$7:$Z$33,15,FALSE)</f>
        <v>0</v>
      </c>
      <c r="H50" s="252">
        <f>VLOOKUP($E50,'Page 3'!$A$7:$Z$33,16,FALSE)</f>
        <v>0</v>
      </c>
      <c r="I50" s="252">
        <f>VLOOKUP($E50,'Page 3'!$A$7:$Z$33,17,FALSE)</f>
        <v>0</v>
      </c>
      <c r="J50" s="252">
        <f>VLOOKUP($E50,'Page 3'!$A$7:$Z$33,18,FALSE)</f>
        <v>0</v>
      </c>
      <c r="K50" s="252">
        <f>VLOOKUP($E50,'Page 3'!$A$7:$Z$33,19,FALSE)</f>
        <v>0</v>
      </c>
      <c r="L50" s="252">
        <f>VLOOKUP($E50,'Page 3'!$A$7:$Z$33,20,FALSE)</f>
        <v>0</v>
      </c>
      <c r="M50" s="254">
        <f>VLOOKUP($E50,'Page 3'!$A$7:$Z$33,21,FALSE)</f>
        <v>0</v>
      </c>
      <c r="N50" s="253">
        <f t="shared" si="6"/>
        <v>0</v>
      </c>
      <c r="O50" s="253">
        <f t="shared" si="7"/>
        <v>0</v>
      </c>
      <c r="P50" s="253">
        <f t="shared" si="8"/>
        <v>0</v>
      </c>
      <c r="Q50" s="255">
        <f t="shared" si="9"/>
        <v>0</v>
      </c>
      <c r="R50" s="256" t="str">
        <f t="shared" si="4"/>
        <v/>
      </c>
    </row>
    <row r="51" spans="1:18" ht="15" customHeight="1" x14ac:dyDescent="0.25">
      <c r="A51" s="273" t="str">
        <f>RIGHT('Page 1'!$B$5,4)</f>
        <v>2017</v>
      </c>
      <c r="B51" s="273" t="str">
        <f>IF('Page 1'!$B$6="First Quarter","Q1",IF('Page 1'!$B$6="Second Quarter","Q2",IF('Page 1'!$B$6="Third Quarter","Q3",IF('Page 1'!$B$6="Fourth Quarter","Q4",""))))</f>
        <v>Q1</v>
      </c>
      <c r="C51" s="273" t="str">
        <f>IF('Page 1'!$B$8="","",'Page 1'!$B$8)</f>
        <v/>
      </c>
      <c r="D51" s="274" t="s">
        <v>15</v>
      </c>
      <c r="E51" s="275" t="str">
        <f>IF($C$2="Enter LME-MCO on the Page 1 worksheet","",IF(VLOOKUP($C$2,County_Lookup,21,FALSE)=0,"",VLOOKUP($C$2,County_Lookup,21,FALSE)))</f>
        <v/>
      </c>
      <c r="F51" s="252">
        <f>VLOOKUP($E51,'Page 3'!$A$7:$Z$33,14,FALSE)</f>
        <v>0</v>
      </c>
      <c r="G51" s="252">
        <f>VLOOKUP($E51,'Page 3'!$A$7:$Z$33,15,FALSE)</f>
        <v>0</v>
      </c>
      <c r="H51" s="252">
        <f>VLOOKUP($E51,'Page 3'!$A$7:$Z$33,16,FALSE)</f>
        <v>0</v>
      </c>
      <c r="I51" s="252">
        <f>VLOOKUP($E51,'Page 3'!$A$7:$Z$33,17,FALSE)</f>
        <v>0</v>
      </c>
      <c r="J51" s="252">
        <f>VLOOKUP($E51,'Page 3'!$A$7:$Z$33,18,FALSE)</f>
        <v>0</v>
      </c>
      <c r="K51" s="252">
        <f>VLOOKUP($E51,'Page 3'!$A$7:$Z$33,19,FALSE)</f>
        <v>0</v>
      </c>
      <c r="L51" s="252">
        <f>VLOOKUP($E51,'Page 3'!$A$7:$Z$33,20,FALSE)</f>
        <v>0</v>
      </c>
      <c r="M51" s="254">
        <f>VLOOKUP($E51,'Page 3'!$A$7:$Z$33,21,FALSE)</f>
        <v>0</v>
      </c>
      <c r="N51" s="253">
        <f t="shared" si="6"/>
        <v>0</v>
      </c>
      <c r="O51" s="253">
        <f t="shared" si="7"/>
        <v>0</v>
      </c>
      <c r="P51" s="253">
        <f t="shared" si="8"/>
        <v>0</v>
      </c>
      <c r="Q51" s="255">
        <f t="shared" si="9"/>
        <v>0</v>
      </c>
      <c r="R51" s="256" t="str">
        <f t="shared" si="4"/>
        <v/>
      </c>
    </row>
    <row r="52" spans="1:18" ht="15" customHeight="1" x14ac:dyDescent="0.25">
      <c r="A52" s="273" t="str">
        <f>RIGHT('Page 1'!$B$5,4)</f>
        <v>2017</v>
      </c>
      <c r="B52" s="273" t="str">
        <f>IF('Page 1'!$B$6="First Quarter","Q1",IF('Page 1'!$B$6="Second Quarter","Q2",IF('Page 1'!$B$6="Third Quarter","Q3",IF('Page 1'!$B$6="Fourth Quarter","Q4",""))))</f>
        <v>Q1</v>
      </c>
      <c r="C52" s="273" t="str">
        <f>IF('Page 1'!$B$8="","",'Page 1'!$B$8)</f>
        <v/>
      </c>
      <c r="D52" s="274" t="s">
        <v>15</v>
      </c>
      <c r="E52" s="275" t="str">
        <f>IF($C$2="Enter LME-MCO on the Page 1 worksheet","",IF(VLOOKUP($C$2,County_Lookup,22,FALSE)=0,"",VLOOKUP($C$2,County_Lookup,22,FALSE)))</f>
        <v/>
      </c>
      <c r="F52" s="252">
        <f>VLOOKUP($E52,'Page 3'!$A$7:$Z$33,14,FALSE)</f>
        <v>0</v>
      </c>
      <c r="G52" s="252">
        <f>VLOOKUP($E52,'Page 3'!$A$7:$Z$33,15,FALSE)</f>
        <v>0</v>
      </c>
      <c r="H52" s="252">
        <f>VLOOKUP($E52,'Page 3'!$A$7:$Z$33,16,FALSE)</f>
        <v>0</v>
      </c>
      <c r="I52" s="252">
        <f>VLOOKUP($E52,'Page 3'!$A$7:$Z$33,17,FALSE)</f>
        <v>0</v>
      </c>
      <c r="J52" s="252">
        <f>VLOOKUP($E52,'Page 3'!$A$7:$Z$33,18,FALSE)</f>
        <v>0</v>
      </c>
      <c r="K52" s="252">
        <f>VLOOKUP($E52,'Page 3'!$A$7:$Z$33,19,FALSE)</f>
        <v>0</v>
      </c>
      <c r="L52" s="252">
        <f>VLOOKUP($E52,'Page 3'!$A$7:$Z$33,20,FALSE)</f>
        <v>0</v>
      </c>
      <c r="M52" s="254">
        <f>VLOOKUP($E52,'Page 3'!$A$7:$Z$33,21,FALSE)</f>
        <v>0</v>
      </c>
      <c r="N52" s="253">
        <f t="shared" si="6"/>
        <v>0</v>
      </c>
      <c r="O52" s="253">
        <f t="shared" si="7"/>
        <v>0</v>
      </c>
      <c r="P52" s="253">
        <f t="shared" si="8"/>
        <v>0</v>
      </c>
      <c r="Q52" s="255">
        <f t="shared" si="9"/>
        <v>0</v>
      </c>
      <c r="R52" s="256" t="str">
        <f t="shared" si="4"/>
        <v/>
      </c>
    </row>
    <row r="53" spans="1:18" ht="15" customHeight="1" x14ac:dyDescent="0.25">
      <c r="A53" s="273" t="str">
        <f>RIGHT('Page 1'!$B$5,4)</f>
        <v>2017</v>
      </c>
      <c r="B53" s="273" t="str">
        <f>IF('Page 1'!$B$6="First Quarter","Q1",IF('Page 1'!$B$6="Second Quarter","Q2",IF('Page 1'!$B$6="Third Quarter","Q3",IF('Page 1'!$B$6="Fourth Quarter","Q4",""))))</f>
        <v>Q1</v>
      </c>
      <c r="C53" s="273" t="str">
        <f>IF('Page 1'!$B$8="","",'Page 1'!$B$8)</f>
        <v/>
      </c>
      <c r="D53" s="274" t="s">
        <v>15</v>
      </c>
      <c r="E53" s="275" t="str">
        <f>IF($C$2="Enter LME-MCO on the Page 1 worksheet","",IF(VLOOKUP($C$2,County_Lookup,23,FALSE)=0,"",VLOOKUP($C$2,County_Lookup,23,FALSE)))</f>
        <v/>
      </c>
      <c r="F53" s="252">
        <f>VLOOKUP($E53,'Page 3'!$A$7:$Z$33,14,FALSE)</f>
        <v>0</v>
      </c>
      <c r="G53" s="252">
        <f>VLOOKUP($E53,'Page 3'!$A$7:$Z$33,15,FALSE)</f>
        <v>0</v>
      </c>
      <c r="H53" s="252">
        <f>VLOOKUP($E53,'Page 3'!$A$7:$Z$33,16,FALSE)</f>
        <v>0</v>
      </c>
      <c r="I53" s="252">
        <f>VLOOKUP($E53,'Page 3'!$A$7:$Z$33,17,FALSE)</f>
        <v>0</v>
      </c>
      <c r="J53" s="252">
        <f>VLOOKUP($E53,'Page 3'!$A$7:$Z$33,18,FALSE)</f>
        <v>0</v>
      </c>
      <c r="K53" s="252">
        <f>VLOOKUP($E53,'Page 3'!$A$7:$Z$33,19,FALSE)</f>
        <v>0</v>
      </c>
      <c r="L53" s="252">
        <f>VLOOKUP($E53,'Page 3'!$A$7:$Z$33,20,FALSE)</f>
        <v>0</v>
      </c>
      <c r="M53" s="254">
        <f>VLOOKUP($E53,'Page 3'!$A$7:$Z$33,21,FALSE)</f>
        <v>0</v>
      </c>
      <c r="N53" s="253">
        <f t="shared" si="6"/>
        <v>0</v>
      </c>
      <c r="O53" s="253">
        <f t="shared" si="7"/>
        <v>0</v>
      </c>
      <c r="P53" s="253">
        <f t="shared" si="8"/>
        <v>0</v>
      </c>
      <c r="Q53" s="255">
        <f t="shared" si="9"/>
        <v>0</v>
      </c>
      <c r="R53" s="256" t="str">
        <f t="shared" si="4"/>
        <v/>
      </c>
    </row>
    <row r="54" spans="1:18" ht="15" customHeight="1" x14ac:dyDescent="0.25">
      <c r="A54" s="273" t="str">
        <f>RIGHT('Page 1'!$B$5,4)</f>
        <v>2017</v>
      </c>
      <c r="B54" s="273" t="str">
        <f>IF('Page 1'!$B$6="First Quarter","Q1",IF('Page 1'!$B$6="Second Quarter","Q2",IF('Page 1'!$B$6="Third Quarter","Q3",IF('Page 1'!$B$6="Fourth Quarter","Q4",""))))</f>
        <v>Q1</v>
      </c>
      <c r="C54" s="273" t="str">
        <f>IF('Page 1'!$B$8="","",'Page 1'!$B$8)</f>
        <v/>
      </c>
      <c r="D54" s="274" t="s">
        <v>15</v>
      </c>
      <c r="E54" s="275" t="str">
        <f>IF($C$2="Enter LME-MCO on the Page 1 worksheet","",IF(VLOOKUP($C$2,County_Lookup,24,FALSE)=0,"",VLOOKUP($C$2,County_Lookup,24,FALSE)))</f>
        <v/>
      </c>
      <c r="F54" s="252">
        <f>VLOOKUP($E54,'Page 3'!$A$7:$Z$33,14,FALSE)</f>
        <v>0</v>
      </c>
      <c r="G54" s="252">
        <f>VLOOKUP($E54,'Page 3'!$A$7:$Z$33,15,FALSE)</f>
        <v>0</v>
      </c>
      <c r="H54" s="252">
        <f>VLOOKUP($E54,'Page 3'!$A$7:$Z$33,16,FALSE)</f>
        <v>0</v>
      </c>
      <c r="I54" s="252">
        <f>VLOOKUP($E54,'Page 3'!$A$7:$Z$33,17,FALSE)</f>
        <v>0</v>
      </c>
      <c r="J54" s="252">
        <f>VLOOKUP($E54,'Page 3'!$A$7:$Z$33,18,FALSE)</f>
        <v>0</v>
      </c>
      <c r="K54" s="252">
        <f>VLOOKUP($E54,'Page 3'!$A$7:$Z$33,19,FALSE)</f>
        <v>0</v>
      </c>
      <c r="L54" s="252">
        <f>VLOOKUP($E54,'Page 3'!$A$7:$Z$33,20,FALSE)</f>
        <v>0</v>
      </c>
      <c r="M54" s="254">
        <f>VLOOKUP($E54,'Page 3'!$A$7:$Z$33,21,FALSE)</f>
        <v>0</v>
      </c>
      <c r="N54" s="253">
        <f t="shared" si="6"/>
        <v>0</v>
      </c>
      <c r="O54" s="253">
        <f t="shared" si="7"/>
        <v>0</v>
      </c>
      <c r="P54" s="253">
        <f t="shared" si="8"/>
        <v>0</v>
      </c>
      <c r="Q54" s="255">
        <f t="shared" si="9"/>
        <v>0</v>
      </c>
      <c r="R54" s="256" t="str">
        <f t="shared" si="4"/>
        <v/>
      </c>
    </row>
    <row r="55" spans="1:18" ht="15" customHeight="1" x14ac:dyDescent="0.25">
      <c r="A55" s="273" t="str">
        <f>RIGHT('Page 1'!$B$5,4)</f>
        <v>2017</v>
      </c>
      <c r="B55" s="273" t="str">
        <f>IF('Page 1'!$B$6="First Quarter","Q1",IF('Page 1'!$B$6="Second Quarter","Q2",IF('Page 1'!$B$6="Third Quarter","Q3",IF('Page 1'!$B$6="Fourth Quarter","Q4",""))))</f>
        <v>Q1</v>
      </c>
      <c r="C55" s="273" t="str">
        <f>IF('Page 1'!$B$8="","",'Page 1'!$B$8)</f>
        <v/>
      </c>
      <c r="D55" s="274" t="s">
        <v>15</v>
      </c>
      <c r="E55" s="275" t="str">
        <f>IF($C$2="Enter LME-MCO on the Page 1 worksheet","",IF(VLOOKUP($C$2,County_Lookup,25,FALSE)=0,"",VLOOKUP($C$2,County_Lookup,25,FALSE)))</f>
        <v/>
      </c>
      <c r="F55" s="252">
        <f>VLOOKUP($E55,'Page 3'!$A$7:$Z$33,14,FALSE)</f>
        <v>0</v>
      </c>
      <c r="G55" s="252">
        <f>VLOOKUP($E55,'Page 3'!$A$7:$Z$33,15,FALSE)</f>
        <v>0</v>
      </c>
      <c r="H55" s="252">
        <f>VLOOKUP($E55,'Page 3'!$A$7:$Z$33,16,FALSE)</f>
        <v>0</v>
      </c>
      <c r="I55" s="252">
        <f>VLOOKUP($E55,'Page 3'!$A$7:$Z$33,17,FALSE)</f>
        <v>0</v>
      </c>
      <c r="J55" s="252">
        <f>VLOOKUP($E55,'Page 3'!$A$7:$Z$33,18,FALSE)</f>
        <v>0</v>
      </c>
      <c r="K55" s="252">
        <f>VLOOKUP($E55,'Page 3'!$A$7:$Z$33,19,FALSE)</f>
        <v>0</v>
      </c>
      <c r="L55" s="252">
        <f>VLOOKUP($E55,'Page 3'!$A$7:$Z$33,20,FALSE)</f>
        <v>0</v>
      </c>
      <c r="M55" s="254">
        <f>VLOOKUP($E55,'Page 3'!$A$7:$Z$33,21,FALSE)</f>
        <v>0</v>
      </c>
      <c r="N55" s="253">
        <f t="shared" si="6"/>
        <v>0</v>
      </c>
      <c r="O55" s="253">
        <f t="shared" si="7"/>
        <v>0</v>
      </c>
      <c r="P55" s="253">
        <f t="shared" si="8"/>
        <v>0</v>
      </c>
      <c r="Q55" s="255">
        <f t="shared" si="9"/>
        <v>0</v>
      </c>
      <c r="R55" s="256" t="str">
        <f t="shared" si="4"/>
        <v/>
      </c>
    </row>
    <row r="56" spans="1:18" ht="15" customHeight="1" x14ac:dyDescent="0.25">
      <c r="A56" s="273" t="str">
        <f>RIGHT('Page 1'!$B$5,4)</f>
        <v>2017</v>
      </c>
      <c r="B56" s="273" t="str">
        <f>IF('Page 1'!$B$6="First Quarter","Q1",IF('Page 1'!$B$6="Second Quarter","Q2",IF('Page 1'!$B$6="Third Quarter","Q3",IF('Page 1'!$B$6="Fourth Quarter","Q4",""))))</f>
        <v>Q1</v>
      </c>
      <c r="C56" s="273" t="str">
        <f>IF('Page 1'!$B$8="","",'Page 1'!$B$8)</f>
        <v/>
      </c>
      <c r="D56" s="274" t="s">
        <v>15</v>
      </c>
      <c r="E56" s="275" t="str">
        <f>IF($C$2="Enter LME-MCO on the Page 1 worksheet","",IF(VLOOKUP($C$2,County_Lookup,26,FALSE)=0,"",VLOOKUP($C$2,County_Lookup,26,FALSE)))</f>
        <v/>
      </c>
      <c r="F56" s="252">
        <f>VLOOKUP($E56,'Page 3'!$A$7:$Z$33,14,FALSE)</f>
        <v>0</v>
      </c>
      <c r="G56" s="252">
        <f>VLOOKUP($E56,'Page 3'!$A$7:$Z$33,15,FALSE)</f>
        <v>0</v>
      </c>
      <c r="H56" s="252">
        <f>VLOOKUP($E56,'Page 3'!$A$7:$Z$33,16,FALSE)</f>
        <v>0</v>
      </c>
      <c r="I56" s="252">
        <f>VLOOKUP($E56,'Page 3'!$A$7:$Z$33,17,FALSE)</f>
        <v>0</v>
      </c>
      <c r="J56" s="252">
        <f>VLOOKUP($E56,'Page 3'!$A$7:$Z$33,18,FALSE)</f>
        <v>0</v>
      </c>
      <c r="K56" s="252">
        <f>VLOOKUP($E56,'Page 3'!$A$7:$Z$33,19,FALSE)</f>
        <v>0</v>
      </c>
      <c r="L56" s="252">
        <f>VLOOKUP($E56,'Page 3'!$A$7:$Z$33,20,FALSE)</f>
        <v>0</v>
      </c>
      <c r="M56" s="254">
        <f>VLOOKUP($E56,'Page 3'!$A$7:$Z$33,21,FALSE)</f>
        <v>0</v>
      </c>
      <c r="N56" s="253">
        <f t="shared" si="6"/>
        <v>0</v>
      </c>
      <c r="O56" s="253">
        <f t="shared" si="7"/>
        <v>0</v>
      </c>
      <c r="P56" s="253">
        <f t="shared" si="8"/>
        <v>0</v>
      </c>
      <c r="Q56" s="255">
        <f t="shared" si="9"/>
        <v>0</v>
      </c>
      <c r="R56" s="256" t="str">
        <f t="shared" si="4"/>
        <v/>
      </c>
    </row>
    <row r="57" spans="1:18" ht="15" customHeight="1" thickBot="1" x14ac:dyDescent="0.3">
      <c r="A57" s="273" t="str">
        <f>RIGHT('Page 1'!$B$5,4)</f>
        <v>2017</v>
      </c>
      <c r="B57" s="273" t="str">
        <f>IF('Page 1'!$B$6="First Quarter","Q1",IF('Page 1'!$B$6="Second Quarter","Q2",IF('Page 1'!$B$6="Third Quarter","Q3",IF('Page 1'!$B$6="Fourth Quarter","Q4",""))))</f>
        <v>Q1</v>
      </c>
      <c r="C57" s="273" t="str">
        <f>IF('Page 1'!$B$8="","",'Page 1'!$B$8)</f>
        <v/>
      </c>
      <c r="D57" s="274" t="s">
        <v>15</v>
      </c>
      <c r="E57" s="275" t="str">
        <f>IF($C$2="Enter LME-MCO on the Page 1 worksheet","",IF(VLOOKUP($C$2,County_Lookup,27,FALSE)=0,"",VLOOKUP($C$2,County_Lookup,27,FALSE)))</f>
        <v/>
      </c>
      <c r="F57" s="252">
        <f>VLOOKUP($E57,'Page 3'!$A$7:$Z$33,14,FALSE)</f>
        <v>0</v>
      </c>
      <c r="G57" s="252">
        <f>VLOOKUP($E57,'Page 3'!$A$7:$Z$33,15,FALSE)</f>
        <v>0</v>
      </c>
      <c r="H57" s="252">
        <f>VLOOKUP($E57,'Page 3'!$A$7:$Z$33,16,FALSE)</f>
        <v>0</v>
      </c>
      <c r="I57" s="252">
        <f>VLOOKUP($E57,'Page 3'!$A$7:$Z$33,17,FALSE)</f>
        <v>0</v>
      </c>
      <c r="J57" s="252">
        <f>VLOOKUP($E57,'Page 3'!$A$7:$Z$33,18,FALSE)</f>
        <v>0</v>
      </c>
      <c r="K57" s="252">
        <f>VLOOKUP($E57,'Page 3'!$A$7:$Z$33,19,FALSE)</f>
        <v>0</v>
      </c>
      <c r="L57" s="252">
        <f>VLOOKUP($E57,'Page 3'!$A$7:$Z$33,20,FALSE)</f>
        <v>0</v>
      </c>
      <c r="M57" s="254">
        <f>VLOOKUP($E57,'Page 3'!$A$7:$Z$33,21,FALSE)</f>
        <v>0</v>
      </c>
      <c r="N57" s="253">
        <f t="shared" si="6"/>
        <v>0</v>
      </c>
      <c r="O57" s="253">
        <f t="shared" si="7"/>
        <v>0</v>
      </c>
      <c r="P57" s="253">
        <f t="shared" si="8"/>
        <v>0</v>
      </c>
      <c r="Q57" s="255">
        <f t="shared" si="9"/>
        <v>0</v>
      </c>
      <c r="R57" s="256" t="str">
        <f t="shared" si="4"/>
        <v/>
      </c>
    </row>
    <row r="58" spans="1:18" ht="15" customHeight="1" thickTop="1" thickBot="1" x14ac:dyDescent="0.3">
      <c r="A58" s="241" t="str">
        <f>RIGHT('Page 1'!$B$5,4)</f>
        <v>2017</v>
      </c>
      <c r="B58" s="242" t="str">
        <f>IF('Page 1'!$B$6="First Quarter","Q1",IF('Page 1'!$B$6="Second Quarter","Q2",IF('Page 1'!$B$6="Third Quarter","Q3",IF('Page 1'!$B$6="Fourth Quarter","Q4",""))))</f>
        <v>Q1</v>
      </c>
      <c r="C58" s="242" t="str">
        <f>IF('Page 1'!$B$8="","",'Page 1'!$B$8)</f>
        <v/>
      </c>
      <c r="D58" s="243" t="s">
        <v>15</v>
      </c>
      <c r="E58" s="244" t="s">
        <v>266</v>
      </c>
      <c r="F58" s="261">
        <f t="shared" ref="F58:L58" si="10">SUM(F32:F57)</f>
        <v>0</v>
      </c>
      <c r="G58" s="261">
        <f t="shared" si="10"/>
        <v>0</v>
      </c>
      <c r="H58" s="261">
        <f t="shared" si="10"/>
        <v>0</v>
      </c>
      <c r="I58" s="261">
        <f t="shared" si="10"/>
        <v>0</v>
      </c>
      <c r="J58" s="261">
        <f t="shared" si="10"/>
        <v>0</v>
      </c>
      <c r="K58" s="261">
        <f t="shared" si="10"/>
        <v>0</v>
      </c>
      <c r="L58" s="261">
        <f t="shared" si="10"/>
        <v>0</v>
      </c>
      <c r="M58" s="263">
        <f>VLOOKUP($E58,'Page 3'!$A$7:$Z$33,21,FALSE)</f>
        <v>0</v>
      </c>
      <c r="N58" s="262">
        <f t="shared" ref="N58:N84" si="11">IF(F58=0,0,SUM(G58:H58)/F58)</f>
        <v>0</v>
      </c>
      <c r="O58" s="262">
        <f t="shared" ref="O58:O84" si="12">IF(I58=0,0,J58/I58)</f>
        <v>0</v>
      </c>
      <c r="P58" s="262">
        <f t="shared" ref="P58:P84" si="13">IF(K58=0,0,L58/K58)</f>
        <v>0</v>
      </c>
      <c r="Q58" s="264">
        <f>SUM(Q32:Q57)</f>
        <v>0</v>
      </c>
      <c r="R58" s="256">
        <f t="shared" si="4"/>
        <v>1</v>
      </c>
    </row>
    <row r="59" spans="1:18" ht="15" customHeight="1" thickTop="1" x14ac:dyDescent="0.25">
      <c r="A59" s="270" t="str">
        <f>RIGHT('Page 1'!$B$5,4)</f>
        <v>2017</v>
      </c>
      <c r="B59" s="270" t="str">
        <f>IF('Page 1'!$B$6="First Quarter","Q1",IF('Page 1'!$B$6="Second Quarter","Q2",IF('Page 1'!$B$6="Third Quarter","Q3",IF('Page 1'!$B$6="Fourth Quarter","Q4",""))))</f>
        <v>Q1</v>
      </c>
      <c r="C59" s="270" t="str">
        <f>IF('Page 1'!$B$8="","",'Page 1'!$B$8)</f>
        <v/>
      </c>
      <c r="D59" s="271" t="s">
        <v>14</v>
      </c>
      <c r="E59" s="272" t="str">
        <f>IF($C$2="Enter LME-MCO on the Page 1 worksheet","",IF(VLOOKUP($C$2,County_Lookup,2,FALSE)=0,"",VLOOKUP($C$2,County_Lookup,2,FALSE)))</f>
        <v/>
      </c>
      <c r="F59" s="248">
        <f t="shared" ref="F59:L68" si="14">SUM(F5,F32)</f>
        <v>0</v>
      </c>
      <c r="G59" s="248">
        <f t="shared" si="14"/>
        <v>0</v>
      </c>
      <c r="H59" s="248">
        <f t="shared" si="14"/>
        <v>0</v>
      </c>
      <c r="I59" s="248">
        <f t="shared" si="14"/>
        <v>0</v>
      </c>
      <c r="J59" s="248">
        <f t="shared" si="14"/>
        <v>0</v>
      </c>
      <c r="K59" s="248">
        <f t="shared" si="14"/>
        <v>0</v>
      </c>
      <c r="L59" s="248">
        <f t="shared" si="14"/>
        <v>0</v>
      </c>
      <c r="M59" s="250">
        <f>VLOOKUP($E59,'Page 3'!$A$7:$Z$33,26,FALSE)</f>
        <v>0</v>
      </c>
      <c r="N59" s="249">
        <f t="shared" si="11"/>
        <v>0</v>
      </c>
      <c r="O59" s="249">
        <f t="shared" si="12"/>
        <v>0</v>
      </c>
      <c r="P59" s="249">
        <f t="shared" si="13"/>
        <v>0</v>
      </c>
      <c r="Q59" s="251">
        <f t="shared" ref="Q59:Q84" si="15">SUM(F59,I59,K59)</f>
        <v>0</v>
      </c>
      <c r="R59" s="256" t="str">
        <f t="shared" si="4"/>
        <v/>
      </c>
    </row>
    <row r="60" spans="1:18" ht="15" customHeight="1" x14ac:dyDescent="0.25">
      <c r="A60" s="273" t="str">
        <f>RIGHT('Page 1'!$B$5,4)</f>
        <v>2017</v>
      </c>
      <c r="B60" s="273" t="str">
        <f>IF('Page 1'!$B$6="First Quarter","Q1",IF('Page 1'!$B$6="Second Quarter","Q2",IF('Page 1'!$B$6="Third Quarter","Q3",IF('Page 1'!$B$6="Fourth Quarter","Q4",""))))</f>
        <v>Q1</v>
      </c>
      <c r="C60" s="273" t="str">
        <f>IF('Page 1'!$B$8="","",'Page 1'!$B$8)</f>
        <v/>
      </c>
      <c r="D60" s="274" t="s">
        <v>14</v>
      </c>
      <c r="E60" s="275" t="str">
        <f>IF($C$2="Enter LME-MCO on the Page 1 worksheet","",IF(VLOOKUP($C$2,County_Lookup,3,FALSE)=0,"",VLOOKUP($C$2,County_Lookup,3,FALSE)))</f>
        <v/>
      </c>
      <c r="F60" s="252">
        <f t="shared" si="14"/>
        <v>0</v>
      </c>
      <c r="G60" s="252">
        <f t="shared" si="14"/>
        <v>0</v>
      </c>
      <c r="H60" s="252">
        <f t="shared" si="14"/>
        <v>0</v>
      </c>
      <c r="I60" s="252">
        <f t="shared" si="14"/>
        <v>0</v>
      </c>
      <c r="J60" s="252">
        <f t="shared" si="14"/>
        <v>0</v>
      </c>
      <c r="K60" s="252">
        <f t="shared" si="14"/>
        <v>0</v>
      </c>
      <c r="L60" s="252">
        <f t="shared" si="14"/>
        <v>0</v>
      </c>
      <c r="M60" s="254">
        <f>VLOOKUP($E60,'Page 3'!$A$7:$Z$33,26,FALSE)</f>
        <v>0</v>
      </c>
      <c r="N60" s="253">
        <f t="shared" si="11"/>
        <v>0</v>
      </c>
      <c r="O60" s="253">
        <f t="shared" si="12"/>
        <v>0</v>
      </c>
      <c r="P60" s="253">
        <f t="shared" si="13"/>
        <v>0</v>
      </c>
      <c r="Q60" s="255">
        <f t="shared" si="15"/>
        <v>0</v>
      </c>
      <c r="R60" s="256" t="str">
        <f t="shared" si="4"/>
        <v/>
      </c>
    </row>
    <row r="61" spans="1:18" ht="15" customHeight="1" x14ac:dyDescent="0.25">
      <c r="A61" s="273" t="str">
        <f>RIGHT('Page 1'!$B$5,4)</f>
        <v>2017</v>
      </c>
      <c r="B61" s="273" t="str">
        <f>IF('Page 1'!$B$6="First Quarter","Q1",IF('Page 1'!$B$6="Second Quarter","Q2",IF('Page 1'!$B$6="Third Quarter","Q3",IF('Page 1'!$B$6="Fourth Quarter","Q4",""))))</f>
        <v>Q1</v>
      </c>
      <c r="C61" s="273" t="str">
        <f>IF('Page 1'!$B$8="","",'Page 1'!$B$8)</f>
        <v/>
      </c>
      <c r="D61" s="274" t="s">
        <v>14</v>
      </c>
      <c r="E61" s="275" t="str">
        <f>IF($C$2="Enter LME-MCO on the Page 1 worksheet","",IF(VLOOKUP($C$2,County_Lookup,4,FALSE)=0,"",VLOOKUP($C$2,County_Lookup,4,FALSE)))</f>
        <v/>
      </c>
      <c r="F61" s="252">
        <f t="shared" si="14"/>
        <v>0</v>
      </c>
      <c r="G61" s="252">
        <f t="shared" si="14"/>
        <v>0</v>
      </c>
      <c r="H61" s="252">
        <f t="shared" si="14"/>
        <v>0</v>
      </c>
      <c r="I61" s="252">
        <f t="shared" si="14"/>
        <v>0</v>
      </c>
      <c r="J61" s="252">
        <f t="shared" si="14"/>
        <v>0</v>
      </c>
      <c r="K61" s="252">
        <f t="shared" si="14"/>
        <v>0</v>
      </c>
      <c r="L61" s="252">
        <f t="shared" si="14"/>
        <v>0</v>
      </c>
      <c r="M61" s="254">
        <f>VLOOKUP($E61,'Page 3'!$A$7:$Z$33,26,FALSE)</f>
        <v>0</v>
      </c>
      <c r="N61" s="253">
        <f t="shared" si="11"/>
        <v>0</v>
      </c>
      <c r="O61" s="253">
        <f t="shared" si="12"/>
        <v>0</v>
      </c>
      <c r="P61" s="253">
        <f t="shared" si="13"/>
        <v>0</v>
      </c>
      <c r="Q61" s="255">
        <f t="shared" si="15"/>
        <v>0</v>
      </c>
      <c r="R61" s="256" t="str">
        <f t="shared" si="4"/>
        <v/>
      </c>
    </row>
    <row r="62" spans="1:18" ht="15" customHeight="1" x14ac:dyDescent="0.25">
      <c r="A62" s="273" t="str">
        <f>RIGHT('Page 1'!$B$5,4)</f>
        <v>2017</v>
      </c>
      <c r="B62" s="273" t="str">
        <f>IF('Page 1'!$B$6="First Quarter","Q1",IF('Page 1'!$B$6="Second Quarter","Q2",IF('Page 1'!$B$6="Third Quarter","Q3",IF('Page 1'!$B$6="Fourth Quarter","Q4",""))))</f>
        <v>Q1</v>
      </c>
      <c r="C62" s="273" t="str">
        <f>IF('Page 1'!$B$8="","",'Page 1'!$B$8)</f>
        <v/>
      </c>
      <c r="D62" s="274" t="s">
        <v>14</v>
      </c>
      <c r="E62" s="275" t="str">
        <f>IF($C$2="Enter LME-MCO on the Page 1 worksheet","",IF(VLOOKUP($C$2,County_Lookup,5,FALSE)=0,"",VLOOKUP($C$2,County_Lookup,5,FALSE)))</f>
        <v/>
      </c>
      <c r="F62" s="252">
        <f t="shared" si="14"/>
        <v>0</v>
      </c>
      <c r="G62" s="252">
        <f t="shared" si="14"/>
        <v>0</v>
      </c>
      <c r="H62" s="252">
        <f t="shared" si="14"/>
        <v>0</v>
      </c>
      <c r="I62" s="252">
        <f t="shared" si="14"/>
        <v>0</v>
      </c>
      <c r="J62" s="252">
        <f t="shared" si="14"/>
        <v>0</v>
      </c>
      <c r="K62" s="252">
        <f t="shared" si="14"/>
        <v>0</v>
      </c>
      <c r="L62" s="252">
        <f t="shared" si="14"/>
        <v>0</v>
      </c>
      <c r="M62" s="254">
        <f>VLOOKUP($E62,'Page 3'!$A$7:$Z$33,26,FALSE)</f>
        <v>0</v>
      </c>
      <c r="N62" s="253">
        <f t="shared" si="11"/>
        <v>0</v>
      </c>
      <c r="O62" s="253">
        <f t="shared" si="12"/>
        <v>0</v>
      </c>
      <c r="P62" s="253">
        <f t="shared" si="13"/>
        <v>0</v>
      </c>
      <c r="Q62" s="255">
        <f t="shared" si="15"/>
        <v>0</v>
      </c>
      <c r="R62" s="256" t="str">
        <f t="shared" si="4"/>
        <v/>
      </c>
    </row>
    <row r="63" spans="1:18" ht="15" customHeight="1" x14ac:dyDescent="0.25">
      <c r="A63" s="273" t="str">
        <f>RIGHT('Page 1'!$B$5,4)</f>
        <v>2017</v>
      </c>
      <c r="B63" s="273" t="str">
        <f>IF('Page 1'!$B$6="First Quarter","Q1",IF('Page 1'!$B$6="Second Quarter","Q2",IF('Page 1'!$B$6="Third Quarter","Q3",IF('Page 1'!$B$6="Fourth Quarter","Q4",""))))</f>
        <v>Q1</v>
      </c>
      <c r="C63" s="273" t="str">
        <f>IF('Page 1'!$B$8="","",'Page 1'!$B$8)</f>
        <v/>
      </c>
      <c r="D63" s="274" t="s">
        <v>14</v>
      </c>
      <c r="E63" s="275" t="str">
        <f>IF($C$2="Enter LME-MCO on the Page 1 worksheet","",IF(VLOOKUP($C$2,County_Lookup,6,FALSE)=0,"",VLOOKUP($C$2,County_Lookup,6,FALSE)))</f>
        <v/>
      </c>
      <c r="F63" s="252">
        <f t="shared" si="14"/>
        <v>0</v>
      </c>
      <c r="G63" s="252">
        <f t="shared" si="14"/>
        <v>0</v>
      </c>
      <c r="H63" s="252">
        <f t="shared" si="14"/>
        <v>0</v>
      </c>
      <c r="I63" s="252">
        <f t="shared" si="14"/>
        <v>0</v>
      </c>
      <c r="J63" s="252">
        <f t="shared" si="14"/>
        <v>0</v>
      </c>
      <c r="K63" s="252">
        <f t="shared" si="14"/>
        <v>0</v>
      </c>
      <c r="L63" s="252">
        <f t="shared" si="14"/>
        <v>0</v>
      </c>
      <c r="M63" s="254">
        <f>VLOOKUP($E63,'Page 3'!$A$7:$Z$33,26,FALSE)</f>
        <v>0</v>
      </c>
      <c r="N63" s="253">
        <f t="shared" si="11"/>
        <v>0</v>
      </c>
      <c r="O63" s="253">
        <f t="shared" si="12"/>
        <v>0</v>
      </c>
      <c r="P63" s="253">
        <f t="shared" si="13"/>
        <v>0</v>
      </c>
      <c r="Q63" s="255">
        <f t="shared" si="15"/>
        <v>0</v>
      </c>
      <c r="R63" s="256" t="str">
        <f t="shared" si="4"/>
        <v/>
      </c>
    </row>
    <row r="64" spans="1:18" ht="15" customHeight="1" x14ac:dyDescent="0.25">
      <c r="A64" s="273" t="str">
        <f>RIGHT('Page 1'!$B$5,4)</f>
        <v>2017</v>
      </c>
      <c r="B64" s="273" t="str">
        <f>IF('Page 1'!$B$6="First Quarter","Q1",IF('Page 1'!$B$6="Second Quarter","Q2",IF('Page 1'!$B$6="Third Quarter","Q3",IF('Page 1'!$B$6="Fourth Quarter","Q4",""))))</f>
        <v>Q1</v>
      </c>
      <c r="C64" s="273" t="str">
        <f>IF('Page 1'!$B$8="","",'Page 1'!$B$8)</f>
        <v/>
      </c>
      <c r="D64" s="274" t="s">
        <v>14</v>
      </c>
      <c r="E64" s="275" t="str">
        <f>IF($C$2="Enter LME-MCO on the Page 1 worksheet","",IF(VLOOKUP($C$2,County_Lookup,7,FALSE)=0,"",VLOOKUP($C$2,County_Lookup,7,FALSE)))</f>
        <v/>
      </c>
      <c r="F64" s="252">
        <f t="shared" si="14"/>
        <v>0</v>
      </c>
      <c r="G64" s="252">
        <f t="shared" si="14"/>
        <v>0</v>
      </c>
      <c r="H64" s="252">
        <f t="shared" si="14"/>
        <v>0</v>
      </c>
      <c r="I64" s="252">
        <f t="shared" si="14"/>
        <v>0</v>
      </c>
      <c r="J64" s="252">
        <f t="shared" si="14"/>
        <v>0</v>
      </c>
      <c r="K64" s="252">
        <f t="shared" si="14"/>
        <v>0</v>
      </c>
      <c r="L64" s="252">
        <f t="shared" si="14"/>
        <v>0</v>
      </c>
      <c r="M64" s="254">
        <f>VLOOKUP($E64,'Page 3'!$A$7:$Z$33,26,FALSE)</f>
        <v>0</v>
      </c>
      <c r="N64" s="253">
        <f t="shared" si="11"/>
        <v>0</v>
      </c>
      <c r="O64" s="253">
        <f t="shared" si="12"/>
        <v>0</v>
      </c>
      <c r="P64" s="253">
        <f t="shared" si="13"/>
        <v>0</v>
      </c>
      <c r="Q64" s="255">
        <f t="shared" si="15"/>
        <v>0</v>
      </c>
      <c r="R64" s="256" t="str">
        <f t="shared" si="4"/>
        <v/>
      </c>
    </row>
    <row r="65" spans="1:18" ht="15" customHeight="1" x14ac:dyDescent="0.25">
      <c r="A65" s="273" t="str">
        <f>RIGHT('Page 1'!$B$5,4)</f>
        <v>2017</v>
      </c>
      <c r="B65" s="273" t="str">
        <f>IF('Page 1'!$B$6="First Quarter","Q1",IF('Page 1'!$B$6="Second Quarter","Q2",IF('Page 1'!$B$6="Third Quarter","Q3",IF('Page 1'!$B$6="Fourth Quarter","Q4",""))))</f>
        <v>Q1</v>
      </c>
      <c r="C65" s="273" t="str">
        <f>IF('Page 1'!$B$8="","",'Page 1'!$B$8)</f>
        <v/>
      </c>
      <c r="D65" s="274" t="s">
        <v>14</v>
      </c>
      <c r="E65" s="275" t="str">
        <f>IF($C$2="Enter LME-MCO on the Page 1 worksheet","",IF(VLOOKUP($C$2,County_Lookup,8,FALSE)=0,"",VLOOKUP($C$2,County_Lookup,8,FALSE)))</f>
        <v/>
      </c>
      <c r="F65" s="252">
        <f t="shared" si="14"/>
        <v>0</v>
      </c>
      <c r="G65" s="252">
        <f t="shared" si="14"/>
        <v>0</v>
      </c>
      <c r="H65" s="252">
        <f t="shared" si="14"/>
        <v>0</v>
      </c>
      <c r="I65" s="252">
        <f t="shared" si="14"/>
        <v>0</v>
      </c>
      <c r="J65" s="252">
        <f t="shared" si="14"/>
        <v>0</v>
      </c>
      <c r="K65" s="252">
        <f t="shared" si="14"/>
        <v>0</v>
      </c>
      <c r="L65" s="252">
        <f t="shared" si="14"/>
        <v>0</v>
      </c>
      <c r="M65" s="254">
        <f>VLOOKUP($E65,'Page 3'!$A$7:$Z$33,26,FALSE)</f>
        <v>0</v>
      </c>
      <c r="N65" s="253">
        <f t="shared" si="11"/>
        <v>0</v>
      </c>
      <c r="O65" s="253">
        <f t="shared" si="12"/>
        <v>0</v>
      </c>
      <c r="P65" s="253">
        <f t="shared" si="13"/>
        <v>0</v>
      </c>
      <c r="Q65" s="255">
        <f t="shared" si="15"/>
        <v>0</v>
      </c>
      <c r="R65" s="256" t="str">
        <f t="shared" si="4"/>
        <v/>
      </c>
    </row>
    <row r="66" spans="1:18" ht="15" customHeight="1" x14ac:dyDescent="0.25">
      <c r="A66" s="273" t="str">
        <f>RIGHT('Page 1'!$B$5,4)</f>
        <v>2017</v>
      </c>
      <c r="B66" s="273" t="str">
        <f>IF('Page 1'!$B$6="First Quarter","Q1",IF('Page 1'!$B$6="Second Quarter","Q2",IF('Page 1'!$B$6="Third Quarter","Q3",IF('Page 1'!$B$6="Fourth Quarter","Q4",""))))</f>
        <v>Q1</v>
      </c>
      <c r="C66" s="273" t="str">
        <f>IF('Page 1'!$B$8="","",'Page 1'!$B$8)</f>
        <v/>
      </c>
      <c r="D66" s="274" t="s">
        <v>14</v>
      </c>
      <c r="E66" s="275" t="str">
        <f>IF($C$2="Enter LME-MCO on the Page 1 worksheet","",IF(VLOOKUP($C$2,County_Lookup,9,FALSE)=0,"",VLOOKUP($C$2,County_Lookup,9,FALSE)))</f>
        <v/>
      </c>
      <c r="F66" s="252">
        <f t="shared" si="14"/>
        <v>0</v>
      </c>
      <c r="G66" s="252">
        <f t="shared" si="14"/>
        <v>0</v>
      </c>
      <c r="H66" s="252">
        <f t="shared" si="14"/>
        <v>0</v>
      </c>
      <c r="I66" s="252">
        <f t="shared" si="14"/>
        <v>0</v>
      </c>
      <c r="J66" s="252">
        <f t="shared" si="14"/>
        <v>0</v>
      </c>
      <c r="K66" s="252">
        <f t="shared" si="14"/>
        <v>0</v>
      </c>
      <c r="L66" s="252">
        <f t="shared" si="14"/>
        <v>0</v>
      </c>
      <c r="M66" s="254">
        <f>VLOOKUP($E66,'Page 3'!$A$7:$Z$33,26,FALSE)</f>
        <v>0</v>
      </c>
      <c r="N66" s="253">
        <f t="shared" si="11"/>
        <v>0</v>
      </c>
      <c r="O66" s="253">
        <f t="shared" si="12"/>
        <v>0</v>
      </c>
      <c r="P66" s="253">
        <f t="shared" si="13"/>
        <v>0</v>
      </c>
      <c r="Q66" s="255">
        <f t="shared" si="15"/>
        <v>0</v>
      </c>
      <c r="R66" s="256" t="str">
        <f t="shared" si="4"/>
        <v/>
      </c>
    </row>
    <row r="67" spans="1:18" ht="15" customHeight="1" x14ac:dyDescent="0.25">
      <c r="A67" s="273" t="str">
        <f>RIGHT('Page 1'!$B$5,4)</f>
        <v>2017</v>
      </c>
      <c r="B67" s="273" t="str">
        <f>IF('Page 1'!$B$6="First Quarter","Q1",IF('Page 1'!$B$6="Second Quarter","Q2",IF('Page 1'!$B$6="Third Quarter","Q3",IF('Page 1'!$B$6="Fourth Quarter","Q4",""))))</f>
        <v>Q1</v>
      </c>
      <c r="C67" s="273" t="str">
        <f>IF('Page 1'!$B$8="","",'Page 1'!$B$8)</f>
        <v/>
      </c>
      <c r="D67" s="274" t="s">
        <v>14</v>
      </c>
      <c r="E67" s="275" t="str">
        <f>IF($C$2="Enter LME-MCO on the Page 1 worksheet","",IF(VLOOKUP($C$2,County_Lookup,10,FALSE)=0,"",VLOOKUP($C$2,County_Lookup,10,FALSE)))</f>
        <v/>
      </c>
      <c r="F67" s="252">
        <f t="shared" si="14"/>
        <v>0</v>
      </c>
      <c r="G67" s="252">
        <f t="shared" si="14"/>
        <v>0</v>
      </c>
      <c r="H67" s="252">
        <f t="shared" si="14"/>
        <v>0</v>
      </c>
      <c r="I67" s="252">
        <f t="shared" si="14"/>
        <v>0</v>
      </c>
      <c r="J67" s="252">
        <f t="shared" si="14"/>
        <v>0</v>
      </c>
      <c r="K67" s="252">
        <f t="shared" si="14"/>
        <v>0</v>
      </c>
      <c r="L67" s="252">
        <f t="shared" si="14"/>
        <v>0</v>
      </c>
      <c r="M67" s="254">
        <f>VLOOKUP($E67,'Page 3'!$A$7:$Z$33,26,FALSE)</f>
        <v>0</v>
      </c>
      <c r="N67" s="253">
        <f t="shared" si="11"/>
        <v>0</v>
      </c>
      <c r="O67" s="253">
        <f t="shared" si="12"/>
        <v>0</v>
      </c>
      <c r="P67" s="253">
        <f t="shared" si="13"/>
        <v>0</v>
      </c>
      <c r="Q67" s="255">
        <f t="shared" si="15"/>
        <v>0</v>
      </c>
      <c r="R67" s="256" t="str">
        <f t="shared" si="4"/>
        <v/>
      </c>
    </row>
    <row r="68" spans="1:18" ht="15" customHeight="1" x14ac:dyDescent="0.25">
      <c r="A68" s="273" t="str">
        <f>RIGHT('Page 1'!$B$5,4)</f>
        <v>2017</v>
      </c>
      <c r="B68" s="273" t="str">
        <f>IF('Page 1'!$B$6="First Quarter","Q1",IF('Page 1'!$B$6="Second Quarter","Q2",IF('Page 1'!$B$6="Third Quarter","Q3",IF('Page 1'!$B$6="Fourth Quarter","Q4",""))))</f>
        <v>Q1</v>
      </c>
      <c r="C68" s="273" t="str">
        <f>IF('Page 1'!$B$8="","",'Page 1'!$B$8)</f>
        <v/>
      </c>
      <c r="D68" s="274" t="s">
        <v>14</v>
      </c>
      <c r="E68" s="275" t="str">
        <f>IF($C$2="Enter LME-MCO on the Page 1 worksheet","",IF(VLOOKUP($C$2,County_Lookup,11,FALSE)=0,"",VLOOKUP($C$2,County_Lookup,11,FALSE)))</f>
        <v/>
      </c>
      <c r="F68" s="252">
        <f t="shared" si="14"/>
        <v>0</v>
      </c>
      <c r="G68" s="252">
        <f t="shared" si="14"/>
        <v>0</v>
      </c>
      <c r="H68" s="252">
        <f t="shared" si="14"/>
        <v>0</v>
      </c>
      <c r="I68" s="252">
        <f t="shared" si="14"/>
        <v>0</v>
      </c>
      <c r="J68" s="252">
        <f t="shared" si="14"/>
        <v>0</v>
      </c>
      <c r="K68" s="252">
        <f t="shared" si="14"/>
        <v>0</v>
      </c>
      <c r="L68" s="252">
        <f t="shared" si="14"/>
        <v>0</v>
      </c>
      <c r="M68" s="254">
        <f>VLOOKUP($E68,'Page 3'!$A$7:$Z$33,26,FALSE)</f>
        <v>0</v>
      </c>
      <c r="N68" s="253">
        <f t="shared" si="11"/>
        <v>0</v>
      </c>
      <c r="O68" s="253">
        <f t="shared" si="12"/>
        <v>0</v>
      </c>
      <c r="P68" s="253">
        <f t="shared" si="13"/>
        <v>0</v>
      </c>
      <c r="Q68" s="255">
        <f t="shared" si="15"/>
        <v>0</v>
      </c>
      <c r="R68" s="256" t="str">
        <f t="shared" si="4"/>
        <v/>
      </c>
    </row>
    <row r="69" spans="1:18" ht="15" customHeight="1" x14ac:dyDescent="0.25">
      <c r="A69" s="273" t="str">
        <f>RIGHT('Page 1'!$B$5,4)</f>
        <v>2017</v>
      </c>
      <c r="B69" s="273" t="str">
        <f>IF('Page 1'!$B$6="First Quarter","Q1",IF('Page 1'!$B$6="Second Quarter","Q2",IF('Page 1'!$B$6="Third Quarter","Q3",IF('Page 1'!$B$6="Fourth Quarter","Q4",""))))</f>
        <v>Q1</v>
      </c>
      <c r="C69" s="273" t="str">
        <f>IF('Page 1'!$B$8="","",'Page 1'!$B$8)</f>
        <v/>
      </c>
      <c r="D69" s="274" t="s">
        <v>14</v>
      </c>
      <c r="E69" s="275" t="str">
        <f>IF($C$2="Enter LME-MCO on the Page 1 worksheet","",IF(VLOOKUP($C$2,County_Lookup,12,FALSE)=0,"",VLOOKUP($C$2,County_Lookup,12,FALSE)))</f>
        <v/>
      </c>
      <c r="F69" s="252">
        <f t="shared" ref="F69:L78" si="16">SUM(F15,F42)</f>
        <v>0</v>
      </c>
      <c r="G69" s="252">
        <f t="shared" si="16"/>
        <v>0</v>
      </c>
      <c r="H69" s="252">
        <f t="shared" si="16"/>
        <v>0</v>
      </c>
      <c r="I69" s="252">
        <f t="shared" si="16"/>
        <v>0</v>
      </c>
      <c r="J69" s="252">
        <f t="shared" si="16"/>
        <v>0</v>
      </c>
      <c r="K69" s="252">
        <f t="shared" si="16"/>
        <v>0</v>
      </c>
      <c r="L69" s="252">
        <f t="shared" si="16"/>
        <v>0</v>
      </c>
      <c r="M69" s="254">
        <f>VLOOKUP($E69,'Page 3'!$A$7:$Z$33,26,FALSE)</f>
        <v>0</v>
      </c>
      <c r="N69" s="253">
        <f t="shared" si="11"/>
        <v>0</v>
      </c>
      <c r="O69" s="253">
        <f t="shared" si="12"/>
        <v>0</v>
      </c>
      <c r="P69" s="253">
        <f t="shared" si="13"/>
        <v>0</v>
      </c>
      <c r="Q69" s="255">
        <f t="shared" si="15"/>
        <v>0</v>
      </c>
      <c r="R69" s="256" t="str">
        <f t="shared" si="4"/>
        <v/>
      </c>
    </row>
    <row r="70" spans="1:18" ht="15" customHeight="1" x14ac:dyDescent="0.25">
      <c r="A70" s="273" t="str">
        <f>RIGHT('Page 1'!$B$5,4)</f>
        <v>2017</v>
      </c>
      <c r="B70" s="273" t="str">
        <f>IF('Page 1'!$B$6="First Quarter","Q1",IF('Page 1'!$B$6="Second Quarter","Q2",IF('Page 1'!$B$6="Third Quarter","Q3",IF('Page 1'!$B$6="Fourth Quarter","Q4",""))))</f>
        <v>Q1</v>
      </c>
      <c r="C70" s="273" t="str">
        <f>IF('Page 1'!$B$8="","",'Page 1'!$B$8)</f>
        <v/>
      </c>
      <c r="D70" s="274" t="s">
        <v>14</v>
      </c>
      <c r="E70" s="275" t="str">
        <f>IF($C$2="Enter LME-MCO on the Page 1 worksheet","",IF(VLOOKUP($C$2,County_Lookup,13,FALSE)=0,"",VLOOKUP($C$2,County_Lookup,13,FALSE)))</f>
        <v/>
      </c>
      <c r="F70" s="252">
        <f t="shared" si="16"/>
        <v>0</v>
      </c>
      <c r="G70" s="252">
        <f t="shared" si="16"/>
        <v>0</v>
      </c>
      <c r="H70" s="252">
        <f t="shared" si="16"/>
        <v>0</v>
      </c>
      <c r="I70" s="252">
        <f t="shared" si="16"/>
        <v>0</v>
      </c>
      <c r="J70" s="252">
        <f t="shared" si="16"/>
        <v>0</v>
      </c>
      <c r="K70" s="252">
        <f t="shared" si="16"/>
        <v>0</v>
      </c>
      <c r="L70" s="252">
        <f t="shared" si="16"/>
        <v>0</v>
      </c>
      <c r="M70" s="254">
        <f>VLOOKUP($E70,'Page 3'!$A$7:$Z$33,26,FALSE)</f>
        <v>0</v>
      </c>
      <c r="N70" s="253">
        <f t="shared" si="11"/>
        <v>0</v>
      </c>
      <c r="O70" s="253">
        <f t="shared" si="12"/>
        <v>0</v>
      </c>
      <c r="P70" s="253">
        <f t="shared" si="13"/>
        <v>0</v>
      </c>
      <c r="Q70" s="255">
        <f t="shared" si="15"/>
        <v>0</v>
      </c>
      <c r="R70" s="256" t="str">
        <f t="shared" ref="R70:R85" si="17">IF(OR($E70="LME-MCO Total",Q70&gt;0),1,"")</f>
        <v/>
      </c>
    </row>
    <row r="71" spans="1:18" ht="15" customHeight="1" x14ac:dyDescent="0.25">
      <c r="A71" s="273" t="str">
        <f>RIGHT('Page 1'!$B$5,4)</f>
        <v>2017</v>
      </c>
      <c r="B71" s="273" t="str">
        <f>IF('Page 1'!$B$6="First Quarter","Q1",IF('Page 1'!$B$6="Second Quarter","Q2",IF('Page 1'!$B$6="Third Quarter","Q3",IF('Page 1'!$B$6="Fourth Quarter","Q4",""))))</f>
        <v>Q1</v>
      </c>
      <c r="C71" s="273" t="str">
        <f>IF('Page 1'!$B$8="","",'Page 1'!$B$8)</f>
        <v/>
      </c>
      <c r="D71" s="274" t="s">
        <v>14</v>
      </c>
      <c r="E71" s="275" t="str">
        <f>IF($C$2="Enter LME-MCO on the Page 1 worksheet","",IF(VLOOKUP($C$2,County_Lookup,14,FALSE)=0,"",VLOOKUP($C$2,County_Lookup,14,FALSE)))</f>
        <v/>
      </c>
      <c r="F71" s="252">
        <f t="shared" si="16"/>
        <v>0</v>
      </c>
      <c r="G71" s="252">
        <f t="shared" si="16"/>
        <v>0</v>
      </c>
      <c r="H71" s="252">
        <f t="shared" si="16"/>
        <v>0</v>
      </c>
      <c r="I71" s="252">
        <f t="shared" si="16"/>
        <v>0</v>
      </c>
      <c r="J71" s="252">
        <f t="shared" si="16"/>
        <v>0</v>
      </c>
      <c r="K71" s="252">
        <f t="shared" si="16"/>
        <v>0</v>
      </c>
      <c r="L71" s="252">
        <f t="shared" si="16"/>
        <v>0</v>
      </c>
      <c r="M71" s="254">
        <f>VLOOKUP($E71,'Page 3'!$A$7:$Z$33,26,FALSE)</f>
        <v>0</v>
      </c>
      <c r="N71" s="253">
        <f t="shared" si="11"/>
        <v>0</v>
      </c>
      <c r="O71" s="253">
        <f t="shared" si="12"/>
        <v>0</v>
      </c>
      <c r="P71" s="253">
        <f t="shared" si="13"/>
        <v>0</v>
      </c>
      <c r="Q71" s="255">
        <f t="shared" si="15"/>
        <v>0</v>
      </c>
      <c r="R71" s="256" t="str">
        <f t="shared" si="17"/>
        <v/>
      </c>
    </row>
    <row r="72" spans="1:18" ht="15" customHeight="1" x14ac:dyDescent="0.25">
      <c r="A72" s="273" t="str">
        <f>RIGHT('Page 1'!$B$5,4)</f>
        <v>2017</v>
      </c>
      <c r="B72" s="273" t="str">
        <f>IF('Page 1'!$B$6="First Quarter","Q1",IF('Page 1'!$B$6="Second Quarter","Q2",IF('Page 1'!$B$6="Third Quarter","Q3",IF('Page 1'!$B$6="Fourth Quarter","Q4",""))))</f>
        <v>Q1</v>
      </c>
      <c r="C72" s="273" t="str">
        <f>IF('Page 1'!$B$8="","",'Page 1'!$B$8)</f>
        <v/>
      </c>
      <c r="D72" s="274" t="s">
        <v>14</v>
      </c>
      <c r="E72" s="275" t="str">
        <f>IF($C$2="Enter LME-MCO on the Page 1 worksheet","",IF(VLOOKUP($C$2,County_Lookup,15,FALSE)=0,"",VLOOKUP($C$2,County_Lookup,15,FALSE)))</f>
        <v/>
      </c>
      <c r="F72" s="252">
        <f t="shared" si="16"/>
        <v>0</v>
      </c>
      <c r="G72" s="252">
        <f t="shared" si="16"/>
        <v>0</v>
      </c>
      <c r="H72" s="252">
        <f t="shared" si="16"/>
        <v>0</v>
      </c>
      <c r="I72" s="252">
        <f t="shared" si="16"/>
        <v>0</v>
      </c>
      <c r="J72" s="252">
        <f t="shared" si="16"/>
        <v>0</v>
      </c>
      <c r="K72" s="252">
        <f t="shared" si="16"/>
        <v>0</v>
      </c>
      <c r="L72" s="252">
        <f t="shared" si="16"/>
        <v>0</v>
      </c>
      <c r="M72" s="254">
        <f>VLOOKUP($E72,'Page 3'!$A$7:$Z$33,26,FALSE)</f>
        <v>0</v>
      </c>
      <c r="N72" s="253">
        <f t="shared" si="11"/>
        <v>0</v>
      </c>
      <c r="O72" s="253">
        <f t="shared" si="12"/>
        <v>0</v>
      </c>
      <c r="P72" s="253">
        <f t="shared" si="13"/>
        <v>0</v>
      </c>
      <c r="Q72" s="255">
        <f t="shared" si="15"/>
        <v>0</v>
      </c>
      <c r="R72" s="256" t="str">
        <f t="shared" si="17"/>
        <v/>
      </c>
    </row>
    <row r="73" spans="1:18" ht="15" customHeight="1" x14ac:dyDescent="0.25">
      <c r="A73" s="273" t="str">
        <f>RIGHT('Page 1'!$B$5,4)</f>
        <v>2017</v>
      </c>
      <c r="B73" s="273" t="str">
        <f>IF('Page 1'!$B$6="First Quarter","Q1",IF('Page 1'!$B$6="Second Quarter","Q2",IF('Page 1'!$B$6="Third Quarter","Q3",IF('Page 1'!$B$6="Fourth Quarter","Q4",""))))</f>
        <v>Q1</v>
      </c>
      <c r="C73" s="273" t="str">
        <f>IF('Page 1'!$B$8="","",'Page 1'!$B$8)</f>
        <v/>
      </c>
      <c r="D73" s="274" t="s">
        <v>14</v>
      </c>
      <c r="E73" s="275" t="str">
        <f>IF($C$2="Enter LME-MCO on the Page 1 worksheet","",IF(VLOOKUP($C$2,County_Lookup,16,FALSE)=0,"",VLOOKUP($C$2,County_Lookup,16,FALSE)))</f>
        <v/>
      </c>
      <c r="F73" s="252">
        <f t="shared" si="16"/>
        <v>0</v>
      </c>
      <c r="G73" s="252">
        <f t="shared" si="16"/>
        <v>0</v>
      </c>
      <c r="H73" s="252">
        <f t="shared" si="16"/>
        <v>0</v>
      </c>
      <c r="I73" s="252">
        <f t="shared" si="16"/>
        <v>0</v>
      </c>
      <c r="J73" s="252">
        <f t="shared" si="16"/>
        <v>0</v>
      </c>
      <c r="K73" s="252">
        <f t="shared" si="16"/>
        <v>0</v>
      </c>
      <c r="L73" s="252">
        <f t="shared" si="16"/>
        <v>0</v>
      </c>
      <c r="M73" s="254">
        <f>VLOOKUP($E73,'Page 3'!$A$7:$Z$33,26,FALSE)</f>
        <v>0</v>
      </c>
      <c r="N73" s="253">
        <f t="shared" si="11"/>
        <v>0</v>
      </c>
      <c r="O73" s="253">
        <f t="shared" si="12"/>
        <v>0</v>
      </c>
      <c r="P73" s="253">
        <f t="shared" si="13"/>
        <v>0</v>
      </c>
      <c r="Q73" s="255">
        <f t="shared" si="15"/>
        <v>0</v>
      </c>
      <c r="R73" s="256" t="str">
        <f t="shared" si="17"/>
        <v/>
      </c>
    </row>
    <row r="74" spans="1:18" ht="15" customHeight="1" x14ac:dyDescent="0.25">
      <c r="A74" s="273" t="str">
        <f>RIGHT('Page 1'!$B$5,4)</f>
        <v>2017</v>
      </c>
      <c r="B74" s="273" t="str">
        <f>IF('Page 1'!$B$6="First Quarter","Q1",IF('Page 1'!$B$6="Second Quarter","Q2",IF('Page 1'!$B$6="Third Quarter","Q3",IF('Page 1'!$B$6="Fourth Quarter","Q4",""))))</f>
        <v>Q1</v>
      </c>
      <c r="C74" s="273" t="str">
        <f>IF('Page 1'!$B$8="","",'Page 1'!$B$8)</f>
        <v/>
      </c>
      <c r="D74" s="274" t="s">
        <v>14</v>
      </c>
      <c r="E74" s="275" t="str">
        <f>IF($C$2="Enter LME-MCO on the Page 1 worksheet","",IF(VLOOKUP($C$2,County_Lookup,17,FALSE)=0,"",VLOOKUP($C$2,County_Lookup,17,FALSE)))</f>
        <v/>
      </c>
      <c r="F74" s="252">
        <f t="shared" si="16"/>
        <v>0</v>
      </c>
      <c r="G74" s="252">
        <f t="shared" si="16"/>
        <v>0</v>
      </c>
      <c r="H74" s="252">
        <f t="shared" si="16"/>
        <v>0</v>
      </c>
      <c r="I74" s="252">
        <f t="shared" si="16"/>
        <v>0</v>
      </c>
      <c r="J74" s="252">
        <f t="shared" si="16"/>
        <v>0</v>
      </c>
      <c r="K74" s="252">
        <f t="shared" si="16"/>
        <v>0</v>
      </c>
      <c r="L74" s="252">
        <f t="shared" si="16"/>
        <v>0</v>
      </c>
      <c r="M74" s="254">
        <f>VLOOKUP($E74,'Page 3'!$A$7:$Z$33,26,FALSE)</f>
        <v>0</v>
      </c>
      <c r="N74" s="253">
        <f t="shared" si="11"/>
        <v>0</v>
      </c>
      <c r="O74" s="253">
        <f t="shared" si="12"/>
        <v>0</v>
      </c>
      <c r="P74" s="253">
        <f t="shared" si="13"/>
        <v>0</v>
      </c>
      <c r="Q74" s="255">
        <f t="shared" si="15"/>
        <v>0</v>
      </c>
      <c r="R74" s="256" t="str">
        <f t="shared" si="17"/>
        <v/>
      </c>
    </row>
    <row r="75" spans="1:18" ht="15" customHeight="1" x14ac:dyDescent="0.25">
      <c r="A75" s="273" t="str">
        <f>RIGHT('Page 1'!$B$5,4)</f>
        <v>2017</v>
      </c>
      <c r="B75" s="273" t="str">
        <f>IF('Page 1'!$B$6="First Quarter","Q1",IF('Page 1'!$B$6="Second Quarter","Q2",IF('Page 1'!$B$6="Third Quarter","Q3",IF('Page 1'!$B$6="Fourth Quarter","Q4",""))))</f>
        <v>Q1</v>
      </c>
      <c r="C75" s="273" t="str">
        <f>IF('Page 1'!$B$8="","",'Page 1'!$B$8)</f>
        <v/>
      </c>
      <c r="D75" s="274" t="s">
        <v>14</v>
      </c>
      <c r="E75" s="275" t="str">
        <f>IF($C$2="Enter LME-MCO on the Page 1 worksheet","",IF(VLOOKUP($C$2,County_Lookup,18,FALSE)=0,"",VLOOKUP($C$2,County_Lookup,18,FALSE)))</f>
        <v/>
      </c>
      <c r="F75" s="252">
        <f t="shared" si="16"/>
        <v>0</v>
      </c>
      <c r="G75" s="252">
        <f t="shared" si="16"/>
        <v>0</v>
      </c>
      <c r="H75" s="252">
        <f t="shared" si="16"/>
        <v>0</v>
      </c>
      <c r="I75" s="252">
        <f t="shared" si="16"/>
        <v>0</v>
      </c>
      <c r="J75" s="252">
        <f t="shared" si="16"/>
        <v>0</v>
      </c>
      <c r="K75" s="252">
        <f t="shared" si="16"/>
        <v>0</v>
      </c>
      <c r="L75" s="252">
        <f t="shared" si="16"/>
        <v>0</v>
      </c>
      <c r="M75" s="254">
        <f>VLOOKUP($E75,'Page 3'!$A$7:$Z$33,26,FALSE)</f>
        <v>0</v>
      </c>
      <c r="N75" s="253">
        <f t="shared" si="11"/>
        <v>0</v>
      </c>
      <c r="O75" s="253">
        <f t="shared" si="12"/>
        <v>0</v>
      </c>
      <c r="P75" s="253">
        <f t="shared" si="13"/>
        <v>0</v>
      </c>
      <c r="Q75" s="255">
        <f t="shared" si="15"/>
        <v>0</v>
      </c>
      <c r="R75" s="256" t="str">
        <f t="shared" si="17"/>
        <v/>
      </c>
    </row>
    <row r="76" spans="1:18" ht="15" customHeight="1" x14ac:dyDescent="0.25">
      <c r="A76" s="273" t="str">
        <f>RIGHT('Page 1'!$B$5,4)</f>
        <v>2017</v>
      </c>
      <c r="B76" s="273" t="str">
        <f>IF('Page 1'!$B$6="First Quarter","Q1",IF('Page 1'!$B$6="Second Quarter","Q2",IF('Page 1'!$B$6="Third Quarter","Q3",IF('Page 1'!$B$6="Fourth Quarter","Q4",""))))</f>
        <v>Q1</v>
      </c>
      <c r="C76" s="273" t="str">
        <f>IF('Page 1'!$B$8="","",'Page 1'!$B$8)</f>
        <v/>
      </c>
      <c r="D76" s="274" t="s">
        <v>14</v>
      </c>
      <c r="E76" s="275" t="str">
        <f>IF($C$2="Enter LME-MCO on the Page 1 worksheet","",IF(VLOOKUP($C$2,County_Lookup,19,FALSE)=0,"",VLOOKUP($C$2,County_Lookup,19,FALSE)))</f>
        <v/>
      </c>
      <c r="F76" s="252">
        <f t="shared" si="16"/>
        <v>0</v>
      </c>
      <c r="G76" s="252">
        <f t="shared" si="16"/>
        <v>0</v>
      </c>
      <c r="H76" s="252">
        <f t="shared" si="16"/>
        <v>0</v>
      </c>
      <c r="I76" s="252">
        <f t="shared" si="16"/>
        <v>0</v>
      </c>
      <c r="J76" s="252">
        <f t="shared" si="16"/>
        <v>0</v>
      </c>
      <c r="K76" s="252">
        <f t="shared" si="16"/>
        <v>0</v>
      </c>
      <c r="L76" s="252">
        <f t="shared" si="16"/>
        <v>0</v>
      </c>
      <c r="M76" s="254">
        <f>VLOOKUP($E76,'Page 3'!$A$7:$Z$33,26,FALSE)</f>
        <v>0</v>
      </c>
      <c r="N76" s="253">
        <f t="shared" si="11"/>
        <v>0</v>
      </c>
      <c r="O76" s="253">
        <f t="shared" si="12"/>
        <v>0</v>
      </c>
      <c r="P76" s="253">
        <f t="shared" si="13"/>
        <v>0</v>
      </c>
      <c r="Q76" s="255">
        <f t="shared" si="15"/>
        <v>0</v>
      </c>
      <c r="R76" s="256" t="str">
        <f t="shared" si="17"/>
        <v/>
      </c>
    </row>
    <row r="77" spans="1:18" ht="15" customHeight="1" x14ac:dyDescent="0.25">
      <c r="A77" s="273" t="str">
        <f>RIGHT('Page 1'!$B$5,4)</f>
        <v>2017</v>
      </c>
      <c r="B77" s="273" t="str">
        <f>IF('Page 1'!$B$6="First Quarter","Q1",IF('Page 1'!$B$6="Second Quarter","Q2",IF('Page 1'!$B$6="Third Quarter","Q3",IF('Page 1'!$B$6="Fourth Quarter","Q4",""))))</f>
        <v>Q1</v>
      </c>
      <c r="C77" s="273" t="str">
        <f>IF('Page 1'!$B$8="","",'Page 1'!$B$8)</f>
        <v/>
      </c>
      <c r="D77" s="274" t="s">
        <v>14</v>
      </c>
      <c r="E77" s="275" t="str">
        <f>IF($C$2="Enter LME-MCO on the Page 1 worksheet","",IF(VLOOKUP($C$2,County_Lookup,20,FALSE)=0,"",VLOOKUP($C$2,County_Lookup,20,FALSE)))</f>
        <v/>
      </c>
      <c r="F77" s="252">
        <f t="shared" si="16"/>
        <v>0</v>
      </c>
      <c r="G77" s="252">
        <f t="shared" si="16"/>
        <v>0</v>
      </c>
      <c r="H77" s="252">
        <f t="shared" si="16"/>
        <v>0</v>
      </c>
      <c r="I77" s="252">
        <f t="shared" si="16"/>
        <v>0</v>
      </c>
      <c r="J77" s="252">
        <f t="shared" si="16"/>
        <v>0</v>
      </c>
      <c r="K77" s="252">
        <f t="shared" si="16"/>
        <v>0</v>
      </c>
      <c r="L77" s="252">
        <f t="shared" si="16"/>
        <v>0</v>
      </c>
      <c r="M77" s="254">
        <f>VLOOKUP($E77,'Page 3'!$A$7:$Z$33,26,FALSE)</f>
        <v>0</v>
      </c>
      <c r="N77" s="253">
        <f t="shared" si="11"/>
        <v>0</v>
      </c>
      <c r="O77" s="253">
        <f t="shared" si="12"/>
        <v>0</v>
      </c>
      <c r="P77" s="253">
        <f t="shared" si="13"/>
        <v>0</v>
      </c>
      <c r="Q77" s="255">
        <f t="shared" si="15"/>
        <v>0</v>
      </c>
      <c r="R77" s="256" t="str">
        <f t="shared" si="17"/>
        <v/>
      </c>
    </row>
    <row r="78" spans="1:18" ht="15" customHeight="1" x14ac:dyDescent="0.25">
      <c r="A78" s="273" t="str">
        <f>RIGHT('Page 1'!$B$5,4)</f>
        <v>2017</v>
      </c>
      <c r="B78" s="273" t="str">
        <f>IF('Page 1'!$B$6="First Quarter","Q1",IF('Page 1'!$B$6="Second Quarter","Q2",IF('Page 1'!$B$6="Third Quarter","Q3",IF('Page 1'!$B$6="Fourth Quarter","Q4",""))))</f>
        <v>Q1</v>
      </c>
      <c r="C78" s="273" t="str">
        <f>IF('Page 1'!$B$8="","",'Page 1'!$B$8)</f>
        <v/>
      </c>
      <c r="D78" s="274" t="s">
        <v>14</v>
      </c>
      <c r="E78" s="275" t="str">
        <f>IF($C$2="Enter LME-MCO on the Page 1 worksheet","",IF(VLOOKUP($C$2,County_Lookup,21,FALSE)=0,"",VLOOKUP($C$2,County_Lookup,21,FALSE)))</f>
        <v/>
      </c>
      <c r="F78" s="252">
        <f t="shared" si="16"/>
        <v>0</v>
      </c>
      <c r="G78" s="252">
        <f t="shared" si="16"/>
        <v>0</v>
      </c>
      <c r="H78" s="252">
        <f t="shared" si="16"/>
        <v>0</v>
      </c>
      <c r="I78" s="252">
        <f t="shared" si="16"/>
        <v>0</v>
      </c>
      <c r="J78" s="252">
        <f t="shared" si="16"/>
        <v>0</v>
      </c>
      <c r="K78" s="252">
        <f t="shared" si="16"/>
        <v>0</v>
      </c>
      <c r="L78" s="252">
        <f t="shared" si="16"/>
        <v>0</v>
      </c>
      <c r="M78" s="254">
        <f>VLOOKUP($E78,'Page 3'!$A$7:$Z$33,26,FALSE)</f>
        <v>0</v>
      </c>
      <c r="N78" s="253">
        <f t="shared" si="11"/>
        <v>0</v>
      </c>
      <c r="O78" s="253">
        <f t="shared" si="12"/>
        <v>0</v>
      </c>
      <c r="P78" s="253">
        <f t="shared" si="13"/>
        <v>0</v>
      </c>
      <c r="Q78" s="255">
        <f t="shared" si="15"/>
        <v>0</v>
      </c>
      <c r="R78" s="256" t="str">
        <f t="shared" si="17"/>
        <v/>
      </c>
    </row>
    <row r="79" spans="1:18" ht="15" customHeight="1" x14ac:dyDescent="0.25">
      <c r="A79" s="273" t="str">
        <f>RIGHT('Page 1'!$B$5,4)</f>
        <v>2017</v>
      </c>
      <c r="B79" s="273" t="str">
        <f>IF('Page 1'!$B$6="First Quarter","Q1",IF('Page 1'!$B$6="Second Quarter","Q2",IF('Page 1'!$B$6="Third Quarter","Q3",IF('Page 1'!$B$6="Fourth Quarter","Q4",""))))</f>
        <v>Q1</v>
      </c>
      <c r="C79" s="273" t="str">
        <f>IF('Page 1'!$B$8="","",'Page 1'!$B$8)</f>
        <v/>
      </c>
      <c r="D79" s="274" t="s">
        <v>14</v>
      </c>
      <c r="E79" s="275" t="str">
        <f>IF($C$2="Enter LME-MCO on the Page 1 worksheet","",IF(VLOOKUP($C$2,County_Lookup,22,FALSE)=0,"",VLOOKUP($C$2,County_Lookup,22,FALSE)))</f>
        <v/>
      </c>
      <c r="F79" s="252">
        <f t="shared" ref="F79:L84" si="18">SUM(F25,F52)</f>
        <v>0</v>
      </c>
      <c r="G79" s="252">
        <f t="shared" si="18"/>
        <v>0</v>
      </c>
      <c r="H79" s="252">
        <f t="shared" si="18"/>
        <v>0</v>
      </c>
      <c r="I79" s="252">
        <f t="shared" si="18"/>
        <v>0</v>
      </c>
      <c r="J79" s="252">
        <f t="shared" si="18"/>
        <v>0</v>
      </c>
      <c r="K79" s="252">
        <f t="shared" si="18"/>
        <v>0</v>
      </c>
      <c r="L79" s="252">
        <f t="shared" si="18"/>
        <v>0</v>
      </c>
      <c r="M79" s="254">
        <f>VLOOKUP($E79,'Page 3'!$A$7:$Z$33,26,FALSE)</f>
        <v>0</v>
      </c>
      <c r="N79" s="253">
        <f t="shared" si="11"/>
        <v>0</v>
      </c>
      <c r="O79" s="253">
        <f t="shared" si="12"/>
        <v>0</v>
      </c>
      <c r="P79" s="253">
        <f t="shared" si="13"/>
        <v>0</v>
      </c>
      <c r="Q79" s="255">
        <f t="shared" si="15"/>
        <v>0</v>
      </c>
      <c r="R79" s="256" t="str">
        <f t="shared" si="17"/>
        <v/>
      </c>
    </row>
    <row r="80" spans="1:18" ht="15" customHeight="1" x14ac:dyDescent="0.25">
      <c r="A80" s="273" t="str">
        <f>RIGHT('Page 1'!$B$5,4)</f>
        <v>2017</v>
      </c>
      <c r="B80" s="273" t="str">
        <f>IF('Page 1'!$B$6="First Quarter","Q1",IF('Page 1'!$B$6="Second Quarter","Q2",IF('Page 1'!$B$6="Third Quarter","Q3",IF('Page 1'!$B$6="Fourth Quarter","Q4",""))))</f>
        <v>Q1</v>
      </c>
      <c r="C80" s="273" t="str">
        <f>IF('Page 1'!$B$8="","",'Page 1'!$B$8)</f>
        <v/>
      </c>
      <c r="D80" s="274" t="s">
        <v>14</v>
      </c>
      <c r="E80" s="275" t="str">
        <f>IF($C$2="Enter LME-MCO on the Page 1 worksheet","",IF(VLOOKUP($C$2,County_Lookup,23,FALSE)=0,"",VLOOKUP($C$2,County_Lookup,23,FALSE)))</f>
        <v/>
      </c>
      <c r="F80" s="252">
        <f t="shared" si="18"/>
        <v>0</v>
      </c>
      <c r="G80" s="252">
        <f t="shared" si="18"/>
        <v>0</v>
      </c>
      <c r="H80" s="252">
        <f t="shared" si="18"/>
        <v>0</v>
      </c>
      <c r="I80" s="252">
        <f t="shared" si="18"/>
        <v>0</v>
      </c>
      <c r="J80" s="252">
        <f t="shared" si="18"/>
        <v>0</v>
      </c>
      <c r="K80" s="252">
        <f t="shared" si="18"/>
        <v>0</v>
      </c>
      <c r="L80" s="252">
        <f t="shared" si="18"/>
        <v>0</v>
      </c>
      <c r="M80" s="254">
        <f>VLOOKUP($E80,'Page 3'!$A$7:$Z$33,26,FALSE)</f>
        <v>0</v>
      </c>
      <c r="N80" s="253">
        <f t="shared" si="11"/>
        <v>0</v>
      </c>
      <c r="O80" s="253">
        <f t="shared" si="12"/>
        <v>0</v>
      </c>
      <c r="P80" s="253">
        <f t="shared" si="13"/>
        <v>0</v>
      </c>
      <c r="Q80" s="255">
        <f t="shared" si="15"/>
        <v>0</v>
      </c>
      <c r="R80" s="256" t="str">
        <f t="shared" si="17"/>
        <v/>
      </c>
    </row>
    <row r="81" spans="1:18" ht="15" customHeight="1" x14ac:dyDescent="0.25">
      <c r="A81" s="273" t="str">
        <f>RIGHT('Page 1'!$B$5,4)</f>
        <v>2017</v>
      </c>
      <c r="B81" s="273" t="str">
        <f>IF('Page 1'!$B$6="First Quarter","Q1",IF('Page 1'!$B$6="Second Quarter","Q2",IF('Page 1'!$B$6="Third Quarter","Q3",IF('Page 1'!$B$6="Fourth Quarter","Q4",""))))</f>
        <v>Q1</v>
      </c>
      <c r="C81" s="273" t="str">
        <f>IF('Page 1'!$B$8="","",'Page 1'!$B$8)</f>
        <v/>
      </c>
      <c r="D81" s="274" t="s">
        <v>14</v>
      </c>
      <c r="E81" s="275" t="str">
        <f>IF($C$2="Enter LME-MCO on the Page 1 worksheet","",IF(VLOOKUP($C$2,County_Lookup,24,FALSE)=0,"",VLOOKUP($C$2,County_Lookup,24,FALSE)))</f>
        <v/>
      </c>
      <c r="F81" s="252">
        <f t="shared" si="18"/>
        <v>0</v>
      </c>
      <c r="G81" s="252">
        <f t="shared" si="18"/>
        <v>0</v>
      </c>
      <c r="H81" s="252">
        <f t="shared" si="18"/>
        <v>0</v>
      </c>
      <c r="I81" s="252">
        <f t="shared" si="18"/>
        <v>0</v>
      </c>
      <c r="J81" s="252">
        <f t="shared" si="18"/>
        <v>0</v>
      </c>
      <c r="K81" s="252">
        <f t="shared" si="18"/>
        <v>0</v>
      </c>
      <c r="L81" s="252">
        <f t="shared" si="18"/>
        <v>0</v>
      </c>
      <c r="M81" s="254">
        <f>VLOOKUP($E81,'Page 3'!$A$7:$Z$33,26,FALSE)</f>
        <v>0</v>
      </c>
      <c r="N81" s="253">
        <f t="shared" si="11"/>
        <v>0</v>
      </c>
      <c r="O81" s="253">
        <f t="shared" si="12"/>
        <v>0</v>
      </c>
      <c r="P81" s="253">
        <f t="shared" si="13"/>
        <v>0</v>
      </c>
      <c r="Q81" s="255">
        <f t="shared" si="15"/>
        <v>0</v>
      </c>
      <c r="R81" s="256" t="str">
        <f t="shared" si="17"/>
        <v/>
      </c>
    </row>
    <row r="82" spans="1:18" ht="15" customHeight="1" x14ac:dyDescent="0.25">
      <c r="A82" s="273" t="str">
        <f>RIGHT('Page 1'!$B$5,4)</f>
        <v>2017</v>
      </c>
      <c r="B82" s="273" t="str">
        <f>IF('Page 1'!$B$6="First Quarter","Q1",IF('Page 1'!$B$6="Second Quarter","Q2",IF('Page 1'!$B$6="Third Quarter","Q3",IF('Page 1'!$B$6="Fourth Quarter","Q4",""))))</f>
        <v>Q1</v>
      </c>
      <c r="C82" s="273" t="str">
        <f>IF('Page 1'!$B$8="","",'Page 1'!$B$8)</f>
        <v/>
      </c>
      <c r="D82" s="274" t="s">
        <v>14</v>
      </c>
      <c r="E82" s="275" t="str">
        <f>IF($C$2="Enter LME-MCO on the Page 1 worksheet","",IF(VLOOKUP($C$2,County_Lookup,25,FALSE)=0,"",VLOOKUP($C$2,County_Lookup,25,FALSE)))</f>
        <v/>
      </c>
      <c r="F82" s="252">
        <f t="shared" si="18"/>
        <v>0</v>
      </c>
      <c r="G82" s="252">
        <f t="shared" si="18"/>
        <v>0</v>
      </c>
      <c r="H82" s="252">
        <f t="shared" si="18"/>
        <v>0</v>
      </c>
      <c r="I82" s="252">
        <f t="shared" si="18"/>
        <v>0</v>
      </c>
      <c r="J82" s="252">
        <f t="shared" si="18"/>
        <v>0</v>
      </c>
      <c r="K82" s="252">
        <f t="shared" si="18"/>
        <v>0</v>
      </c>
      <c r="L82" s="252">
        <f t="shared" si="18"/>
        <v>0</v>
      </c>
      <c r="M82" s="254">
        <f>VLOOKUP($E82,'Page 3'!$A$7:$Z$33,26,FALSE)</f>
        <v>0</v>
      </c>
      <c r="N82" s="253">
        <f t="shared" si="11"/>
        <v>0</v>
      </c>
      <c r="O82" s="253">
        <f t="shared" si="12"/>
        <v>0</v>
      </c>
      <c r="P82" s="253">
        <f t="shared" si="13"/>
        <v>0</v>
      </c>
      <c r="Q82" s="255">
        <f t="shared" si="15"/>
        <v>0</v>
      </c>
      <c r="R82" s="256" t="str">
        <f t="shared" si="17"/>
        <v/>
      </c>
    </row>
    <row r="83" spans="1:18" ht="15" customHeight="1" x14ac:dyDescent="0.25">
      <c r="A83" s="273" t="str">
        <f>RIGHT('Page 1'!$B$5,4)</f>
        <v>2017</v>
      </c>
      <c r="B83" s="273" t="str">
        <f>IF('Page 1'!$B$6="First Quarter","Q1",IF('Page 1'!$B$6="Second Quarter","Q2",IF('Page 1'!$B$6="Third Quarter","Q3",IF('Page 1'!$B$6="Fourth Quarter","Q4",""))))</f>
        <v>Q1</v>
      </c>
      <c r="C83" s="273" t="str">
        <f>IF('Page 1'!$B$8="","",'Page 1'!$B$8)</f>
        <v/>
      </c>
      <c r="D83" s="274" t="s">
        <v>14</v>
      </c>
      <c r="E83" s="275" t="str">
        <f>IF($C$2="Enter LME-MCO on the Page 1 worksheet","",IF(VLOOKUP($C$2,County_Lookup,26,FALSE)=0,"",VLOOKUP($C$2,County_Lookup,26,FALSE)))</f>
        <v/>
      </c>
      <c r="F83" s="252">
        <f t="shared" si="18"/>
        <v>0</v>
      </c>
      <c r="G83" s="252">
        <f t="shared" si="18"/>
        <v>0</v>
      </c>
      <c r="H83" s="252">
        <f t="shared" si="18"/>
        <v>0</v>
      </c>
      <c r="I83" s="252">
        <f t="shared" si="18"/>
        <v>0</v>
      </c>
      <c r="J83" s="252">
        <f t="shared" si="18"/>
        <v>0</v>
      </c>
      <c r="K83" s="252">
        <f t="shared" si="18"/>
        <v>0</v>
      </c>
      <c r="L83" s="252">
        <f t="shared" si="18"/>
        <v>0</v>
      </c>
      <c r="M83" s="254">
        <f>VLOOKUP($E83,'Page 3'!$A$7:$Z$33,26,FALSE)</f>
        <v>0</v>
      </c>
      <c r="N83" s="253">
        <f t="shared" si="11"/>
        <v>0</v>
      </c>
      <c r="O83" s="253">
        <f t="shared" si="12"/>
        <v>0</v>
      </c>
      <c r="P83" s="253">
        <f t="shared" si="13"/>
        <v>0</v>
      </c>
      <c r="Q83" s="255">
        <f t="shared" si="15"/>
        <v>0</v>
      </c>
      <c r="R83" s="256" t="str">
        <f t="shared" si="17"/>
        <v/>
      </c>
    </row>
    <row r="84" spans="1:18" ht="15" customHeight="1" thickBot="1" x14ac:dyDescent="0.3">
      <c r="A84" s="273" t="str">
        <f>RIGHT('Page 1'!$B$5,4)</f>
        <v>2017</v>
      </c>
      <c r="B84" s="273" t="str">
        <f>IF('Page 1'!$B$6="First Quarter","Q1",IF('Page 1'!$B$6="Second Quarter","Q2",IF('Page 1'!$B$6="Third Quarter","Q3",IF('Page 1'!$B$6="Fourth Quarter","Q4",""))))</f>
        <v>Q1</v>
      </c>
      <c r="C84" s="273" t="str">
        <f>IF('Page 1'!$B$8="","",'Page 1'!$B$8)</f>
        <v/>
      </c>
      <c r="D84" s="274" t="s">
        <v>14</v>
      </c>
      <c r="E84" s="275" t="str">
        <f>IF($C$2="Enter LME-MCO on the Page 1 worksheet","",IF(VLOOKUP($C$2,County_Lookup,27,FALSE)=0,"",VLOOKUP($C$2,County_Lookup,27,FALSE)))</f>
        <v/>
      </c>
      <c r="F84" s="252">
        <f t="shared" si="18"/>
        <v>0</v>
      </c>
      <c r="G84" s="252">
        <f t="shared" si="18"/>
        <v>0</v>
      </c>
      <c r="H84" s="252">
        <f t="shared" si="18"/>
        <v>0</v>
      </c>
      <c r="I84" s="252">
        <f t="shared" si="18"/>
        <v>0</v>
      </c>
      <c r="J84" s="252">
        <f t="shared" si="18"/>
        <v>0</v>
      </c>
      <c r="K84" s="252">
        <f t="shared" si="18"/>
        <v>0</v>
      </c>
      <c r="L84" s="252">
        <f t="shared" si="18"/>
        <v>0</v>
      </c>
      <c r="M84" s="254">
        <f>VLOOKUP($E84,'Page 3'!$A$7:$Z$33,26,FALSE)</f>
        <v>0</v>
      </c>
      <c r="N84" s="253">
        <f t="shared" si="11"/>
        <v>0</v>
      </c>
      <c r="O84" s="253">
        <f t="shared" si="12"/>
        <v>0</v>
      </c>
      <c r="P84" s="253">
        <f t="shared" si="13"/>
        <v>0</v>
      </c>
      <c r="Q84" s="255">
        <f t="shared" si="15"/>
        <v>0</v>
      </c>
      <c r="R84" s="256" t="str">
        <f t="shared" si="17"/>
        <v/>
      </c>
    </row>
    <row r="85" spans="1:18" ht="15" customHeight="1" thickTop="1" thickBot="1" x14ac:dyDescent="0.3">
      <c r="A85" s="241" t="str">
        <f>RIGHT('Page 1'!$B$5,4)</f>
        <v>2017</v>
      </c>
      <c r="B85" s="242" t="str">
        <f>IF('Page 1'!$B$6="First Quarter","Q1",IF('Page 1'!$B$6="Second Quarter","Q2",IF('Page 1'!$B$6="Third Quarter","Q3",IF('Page 1'!$B$6="Fourth Quarter","Q4",""))))</f>
        <v>Q1</v>
      </c>
      <c r="C85" s="242" t="str">
        <f>IF('Page 1'!$B$8="","",'Page 1'!$B$8)</f>
        <v/>
      </c>
      <c r="D85" s="243" t="s">
        <v>14</v>
      </c>
      <c r="E85" s="244" t="s">
        <v>266</v>
      </c>
      <c r="F85" s="261">
        <f t="shared" ref="F85:L85" si="19">SUM(F59:F84)</f>
        <v>0</v>
      </c>
      <c r="G85" s="261">
        <f t="shared" si="19"/>
        <v>0</v>
      </c>
      <c r="H85" s="261">
        <f t="shared" si="19"/>
        <v>0</v>
      </c>
      <c r="I85" s="261">
        <f t="shared" si="19"/>
        <v>0</v>
      </c>
      <c r="J85" s="261">
        <f t="shared" si="19"/>
        <v>0</v>
      </c>
      <c r="K85" s="261">
        <f t="shared" si="19"/>
        <v>0</v>
      </c>
      <c r="L85" s="261">
        <f t="shared" si="19"/>
        <v>0</v>
      </c>
      <c r="M85" s="263">
        <f>VLOOKUP($E85,'Page 3'!$A$7:$Z$33,26,FALSE)</f>
        <v>0</v>
      </c>
      <c r="N85" s="262">
        <f t="shared" ref="N85" si="20">IF(F85=0,0,SUM(G85:H85)/F85)</f>
        <v>0</v>
      </c>
      <c r="O85" s="262">
        <f t="shared" ref="O85" si="21">IF(I85=0,0,J85/I85)</f>
        <v>0</v>
      </c>
      <c r="P85" s="262">
        <f t="shared" ref="P85" si="22">IF(K85=0,0,L85/K85)</f>
        <v>0</v>
      </c>
      <c r="Q85" s="264">
        <f>SUM(Q59:Q84)</f>
        <v>0</v>
      </c>
      <c r="R85" s="256">
        <f t="shared" si="17"/>
        <v>1</v>
      </c>
    </row>
    <row r="86" spans="1:18" ht="13.8" thickTop="1" x14ac:dyDescent="0.25"/>
  </sheetData>
  <sheetProtection sheet="1" objects="1" scenarios="1" autoFilter="0"/>
  <autoFilter ref="A4:R85"/>
  <conditionalFormatting sqref="R5:R85">
    <cfRule type="cellIs" dxfId="2" priority="3" operator="equal">
      <formula>1</formula>
    </cfRule>
  </conditionalFormatting>
  <conditionalFormatting sqref="A5:Q30 A32:Q57 A59:Q84">
    <cfRule type="expression" dxfId="1" priority="2">
      <formula>$E5=""</formula>
    </cfRule>
  </conditionalFormatting>
  <conditionalFormatting sqref="C2">
    <cfRule type="cellIs" dxfId="0" priority="1" operator="equal">
      <formula>"Enter LME-MCO on the Page 1 worksheet"</formula>
    </cfRule>
  </conditionalFormatting>
  <printOptions horizontalCentered="1"/>
  <pageMargins left="0.3" right="0.3" top="0.5" bottom="0.5" header="0.3" footer="0.3"/>
  <pageSetup scale="64" fitToHeight="0" orientation="landscape" r:id="rId1"/>
  <headerFooter>
    <oddFooter>&amp;C&amp;P</oddFooter>
  </headerFooter>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11</vt:i4>
      </vt:variant>
    </vt:vector>
  </HeadingPairs>
  <TitlesOfParts>
    <vt:vector size="17" baseType="lpstr">
      <vt:lpstr>Instructions</vt:lpstr>
      <vt:lpstr>Page 1</vt:lpstr>
      <vt:lpstr>Page 2</vt:lpstr>
      <vt:lpstr>Page 3</vt:lpstr>
      <vt:lpstr>Data Validation and Lookup</vt:lpstr>
      <vt:lpstr>Data Extraction</vt:lpstr>
      <vt:lpstr>Counties</vt:lpstr>
      <vt:lpstr>County_Lookup</vt:lpstr>
      <vt:lpstr>LME_MCO</vt:lpstr>
      <vt:lpstr>Population</vt:lpstr>
      <vt:lpstr>Instructions!Print_Area</vt:lpstr>
      <vt:lpstr>'Page 1'!Print_Area</vt:lpstr>
      <vt:lpstr>'Page 2'!Print_Area</vt:lpstr>
      <vt:lpstr>'Page 3'!Print_Area</vt:lpstr>
      <vt:lpstr>'Data Extraction'!Print_Titles</vt:lpstr>
      <vt:lpstr>'Page 3'!Print_Titles</vt:lpstr>
      <vt:lpstr>SFY</vt:lpstr>
    </vt:vector>
  </TitlesOfParts>
  <Company>NC DMH/DD/SAS Quality Management Team</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Michael Schwartz</dc:creator>
  <cp:lastModifiedBy>Lisa Jackson</cp:lastModifiedBy>
  <cp:lastPrinted>2016-08-22T19:28:03Z</cp:lastPrinted>
  <dcterms:created xsi:type="dcterms:W3CDTF">2004-12-20T15:45:11Z</dcterms:created>
  <dcterms:modified xsi:type="dcterms:W3CDTF">2016-11-03T14:11:06Z</dcterms:modified>
</cp:coreProperties>
</file>