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drawings/drawing2.xml" ContentType="application/vnd.openxmlformats-officedocument.drawing+xml"/>
  <Override PartName="/xl/comments20.xml" ContentType="application/vnd.openxmlformats-officedocument.spreadsheetml.comments+xml"/>
  <Override PartName="/xl/drawings/drawing3.xml" ContentType="application/vnd.openxmlformats-officedocument.drawing+xml"/>
  <Override PartName="/xl/comments21.xml" ContentType="application/vnd.openxmlformats-officedocument.spreadsheetml.comments+xml"/>
  <Override PartName="/xl/drawings/drawing4.xml" ContentType="application/vnd.openxmlformats-officedocument.drawing+xml"/>
  <Override PartName="/xl/comments22.xml" ContentType="application/vnd.openxmlformats-officedocument.spreadsheetml.comments+xml"/>
  <Override PartName="/xl/pivotTables/pivotTable1.xml" ContentType="application/vnd.openxmlformats-officedocument.spreadsheetml.pivotTable+xml"/>
  <Override PartName="/xl/drawings/drawing5.xml" ContentType="application/vnd.openxmlformats-officedocument.drawing+xml"/>
  <Override PartName="/xl/comments23.xml" ContentType="application/vnd.openxmlformats-officedocument.spreadsheetml.comments+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hidePivotFieldList="1"/>
  <mc:AlternateContent xmlns:mc="http://schemas.openxmlformats.org/markup-compatibility/2006">
    <mc:Choice Requires="x15">
      <x15ac:absPath xmlns:x15ac="http://schemas.microsoft.com/office/spreadsheetml/2010/11/ac" url="C:\Users\ljackson\Documents\"/>
    </mc:Choice>
  </mc:AlternateContent>
  <bookViews>
    <workbookView xWindow="-15" yWindow="-15" windowWidth="11955" windowHeight="4500" tabRatio="708"/>
  </bookViews>
  <sheets>
    <sheet name="Set-Up Worksheet" sheetId="29" r:id="rId1"/>
    <sheet name="Prevention 1.1" sheetId="85" r:id="rId2"/>
    <sheet name="Access 2.1" sheetId="87" r:id="rId3"/>
    <sheet name="Access 2.2 " sheetId="130" r:id="rId4"/>
    <sheet name="Access 2.3" sheetId="88" r:id="rId5"/>
    <sheet name="Access 2.4" sheetId="89" r:id="rId6"/>
    <sheet name="Penetration 3.1" sheetId="78" r:id="rId7"/>
    <sheet name="Penetration 3.2" sheetId="90" r:id="rId8"/>
    <sheet name="Initiation-Engagement 4.1.a" sheetId="33" r:id="rId9"/>
    <sheet name="Initiation-Engagement 4.1.b" sheetId="94" r:id="rId10"/>
    <sheet name="Initiation-Engagement 4.2.a" sheetId="119" r:id="rId11"/>
    <sheet name="Initiation-Engagement 4.2.b" sheetId="96" r:id="rId12"/>
    <sheet name="Crisis &amp; Inpatient 5.1" sheetId="97" r:id="rId13"/>
    <sheet name="Crisis &amp; Inpatient 5.2" sheetId="98" r:id="rId14"/>
    <sheet name="Crisis &amp; Inpatient 5.3" sheetId="99" r:id="rId15"/>
    <sheet name="Crisis &amp; Inpatient 5.4" sheetId="101" r:id="rId16"/>
    <sheet name="Crisis &amp; Inpatient 5.5" sheetId="102" r:id="rId17"/>
    <sheet name="Crisis &amp; Inpatient 5.6" sheetId="106" r:id="rId18"/>
    <sheet name="Crisis &amp; Inpatient 5.7.a" sheetId="107" r:id="rId19"/>
    <sheet name="Crisis &amp; Inpatient 5.7.b" sheetId="108" r:id="rId20"/>
    <sheet name="Crisis &amp; Inpatient 5.7.c" sheetId="109" r:id="rId21"/>
    <sheet name="Crisis &amp; Inpatient 5.7.d" sheetId="110" r:id="rId22"/>
    <sheet name="Crisis &amp; Inpatient 5.8" sheetId="111" r:id="rId23"/>
    <sheet name="Crisis &amp; Inpatient 5.9.a" sheetId="112" r:id="rId24"/>
    <sheet name="Crisis &amp; Inpatient 5.9.b" sheetId="113" r:id="rId25"/>
    <sheet name="Crisis &amp; Inpatient 5.9.c" sheetId="114" r:id="rId26"/>
    <sheet name="Continuity Of Care 6.1" sheetId="115" r:id="rId27"/>
    <sheet name="Continuity Of Care 6.2" sheetId="72" r:id="rId28"/>
    <sheet name="Continuity Of Care 6.3" sheetId="116" r:id="rId29"/>
    <sheet name="Continuity Of Care 6.4" sheetId="117" r:id="rId30"/>
    <sheet name="Continuity Of Care 6.5" sheetId="118" r:id="rId31"/>
    <sheet name="Continuity of Care 6.6" sheetId="79" r:id="rId32"/>
    <sheet name="Report Schedule" sheetId="105" r:id="rId33"/>
    <sheet name="Report Schedule (2)" sheetId="104" r:id="rId34"/>
    <sheet name="Uninsured By County SFY2014" sheetId="91" r:id="rId35"/>
    <sheet name="Pivot Table-Uninsured SFY2014" sheetId="92" r:id="rId36"/>
    <sheet name="Uninsured By County SFY2015" sheetId="120" r:id="rId37"/>
    <sheet name="Pivot Table-Uninsured SFY2015" sheetId="121" r:id="rId38"/>
    <sheet name="Uninsured By County SFY2016" sheetId="124" r:id="rId39"/>
    <sheet name="Pivot Table-Uninsured SFY2016" sheetId="125" r:id="rId40"/>
    <sheet name="Uninsured By County SFY2017" sheetId="126" r:id="rId41"/>
    <sheet name="Pivot Table-Uninsured SFY2017" sheetId="127" r:id="rId42"/>
    <sheet name="Uninsured By County SFY2018" sheetId="128" r:id="rId43"/>
    <sheet name="Pivot Table-Uninsured SFY2018" sheetId="129" r:id="rId44"/>
    <sheet name="Data Validation" sheetId="71" r:id="rId45"/>
  </sheets>
  <externalReferences>
    <externalReference r:id="rId46"/>
  </externalReferences>
  <definedNames>
    <definedName name="_xlnm._FilterDatabase" localSheetId="32" hidden="1">'Report Schedule'!$H$9:$H$58</definedName>
    <definedName name="_xlnm._FilterDatabase" localSheetId="33" hidden="1">'Report Schedule (2)'!$L$10:$M$60</definedName>
    <definedName name="_xlnm._FilterDatabase" localSheetId="34" hidden="1">'Uninsured By County SFY2014'!$A$5:$V$111</definedName>
    <definedName name="_xlnm._FilterDatabase" localSheetId="36" hidden="1">'Uninsured By County SFY2015'!$A$5:$V$111</definedName>
    <definedName name="_xlnm._FilterDatabase" localSheetId="38" hidden="1">'Uninsured By County SFY2016'!$A$5:$S$107</definedName>
    <definedName name="_xlnm._FilterDatabase" localSheetId="40" hidden="1">'Uninsured By County SFY2017'!$A$5:$S$107</definedName>
    <definedName name="_xlnm._FilterDatabase" localSheetId="42" hidden="1">'Uninsured By County SFY2018'!$A$5:$S$107</definedName>
    <definedName name="County_Lookup">'Data Validation'!$A$18:$AA$26</definedName>
    <definedName name="County_Lookup_MC">'Data Validation'!$A$31:$Z$39</definedName>
    <definedName name="LME" localSheetId="34">'Uninsured By County SFY2014'!$A$5:$V$105</definedName>
    <definedName name="LME" localSheetId="36">'Uninsured By County SFY2015'!$A$5:$V$105</definedName>
    <definedName name="LME" localSheetId="38">'Uninsured By County SFY2016'!$A$5:$S$105</definedName>
    <definedName name="LME" localSheetId="40">'Uninsured By County SFY2017'!$A$5:$S$105</definedName>
    <definedName name="LME" localSheetId="42">'Uninsured By County SFY2018'!$A$5:$S$105</definedName>
    <definedName name="LME_MCO">'Data Validation'!$A$4:$A$12</definedName>
    <definedName name="_xlnm.Print_Area" localSheetId="8">'Initiation-Engagement 4.1.a'!$A$1:$V$21</definedName>
    <definedName name="_xlnm.Print_Area" localSheetId="10">'Initiation-Engagement 4.2.a'!$A$1:$V$21</definedName>
    <definedName name="_xlnm.Print_Area" localSheetId="39">'Pivot Table-Uninsured SFY2016'!$A$1:$E$125</definedName>
    <definedName name="_xlnm.Print_Area" localSheetId="41">'Pivot Table-Uninsured SFY2017'!$A$1:$E$123</definedName>
    <definedName name="_xlnm.Print_Area" localSheetId="43">'Pivot Table-Uninsured SFY2018'!$A$1:$F$123</definedName>
    <definedName name="_xlnm.Print_Area" localSheetId="32">'Report Schedule'!$A$1:$G$59</definedName>
    <definedName name="_xlnm.Print_Area" localSheetId="33">'Report Schedule (2)'!$A$1:$K$60</definedName>
    <definedName name="_xlnm.Print_Area" localSheetId="0">'Set-Up Worksheet'!$A$1:$N$17</definedName>
    <definedName name="_xlnm.Print_Area" localSheetId="34">'Uninsured By County SFY2014'!$A$2:$V$111</definedName>
    <definedName name="_xlnm.Print_Area" localSheetId="36">'Uninsured By County SFY2015'!$A$2:$V$111</definedName>
    <definedName name="_xlnm.Print_Area" localSheetId="38">'Uninsured By County SFY2016'!$A$2:$S$111</definedName>
    <definedName name="_xlnm.Print_Area" localSheetId="40">'Uninsured By County SFY2017'!$A$2:$S$111</definedName>
    <definedName name="_xlnm.Print_Area" localSheetId="42">'Uninsured By County SFY2018'!$A$2:$S$111</definedName>
    <definedName name="_xlnm.Print_Titles" localSheetId="5">'Access 2.4'!$1:$11</definedName>
    <definedName name="_xlnm.Print_Titles" localSheetId="27">'Continuity Of Care 6.2'!$A:$A</definedName>
    <definedName name="_xlnm.Print_Titles" localSheetId="29">'Continuity Of Care 6.4'!$A:$A,'Continuity Of Care 6.4'!$1:$12</definedName>
    <definedName name="_xlnm.Print_Titles" localSheetId="30">'Continuity Of Care 6.5'!$A:$A</definedName>
    <definedName name="_xlnm.Print_Titles" localSheetId="31">'Continuity of Care 6.6'!$A:$A</definedName>
    <definedName name="_xlnm.Print_Titles" localSheetId="14">'Crisis &amp; Inpatient 5.3'!$A:$A,'Crisis &amp; Inpatient 5.3'!$1:$12</definedName>
    <definedName name="_xlnm.Print_Titles" localSheetId="15">'Crisis &amp; Inpatient 5.4'!$A:$A,'Crisis &amp; Inpatient 5.4'!$1:$12</definedName>
    <definedName name="_xlnm.Print_Titles" localSheetId="16">'Crisis &amp; Inpatient 5.5'!$A:$A,'Crisis &amp; Inpatient 5.5'!$1:$12</definedName>
    <definedName name="_xlnm.Print_Titles" localSheetId="18">'Crisis &amp; Inpatient 5.7.a'!$1:$12</definedName>
    <definedName name="_xlnm.Print_Titles" localSheetId="19">'Crisis &amp; Inpatient 5.7.b'!$1:$12</definedName>
    <definedName name="_xlnm.Print_Titles" localSheetId="20">'Crisis &amp; Inpatient 5.7.c'!$1:$12</definedName>
    <definedName name="_xlnm.Print_Titles" localSheetId="21">'Crisis &amp; Inpatient 5.7.d'!$1:$12</definedName>
    <definedName name="_xlnm.Print_Titles" localSheetId="23">'Crisis &amp; Inpatient 5.9.a'!$1:$12</definedName>
    <definedName name="_xlnm.Print_Titles" localSheetId="24">'Crisis &amp; Inpatient 5.9.b'!$1:$12</definedName>
    <definedName name="_xlnm.Print_Titles" localSheetId="25">'Crisis &amp; Inpatient 5.9.c'!$1:$12</definedName>
    <definedName name="_xlnm.Print_Titles" localSheetId="8">'Initiation-Engagement 4.1.a'!$A:$A</definedName>
    <definedName name="_xlnm.Print_Titles" localSheetId="9">'Initiation-Engagement 4.1.b'!$A:$A,'Initiation-Engagement 4.1.b'!$1:$12</definedName>
    <definedName name="_xlnm.Print_Titles" localSheetId="10">'Initiation-Engagement 4.2.a'!$A:$A</definedName>
    <definedName name="_xlnm.Print_Titles" localSheetId="11">'Initiation-Engagement 4.2.b'!$A:$A,'Initiation-Engagement 4.2.b'!$1:$12</definedName>
    <definedName name="_xlnm.Print_Titles" localSheetId="6">'Penetration 3.1'!$A:$A,'Penetration 3.1'!$1:$12</definedName>
    <definedName name="_xlnm.Print_Titles" localSheetId="7">'Penetration 3.2'!$A:$A,'Penetration 3.2'!$1:$12</definedName>
    <definedName name="_xlnm.Print_Titles" localSheetId="35">'Pivot Table-Uninsured SFY2014'!$1:$5</definedName>
    <definedName name="_xlnm.Print_Titles" localSheetId="37">'Pivot Table-Uninsured SFY2015'!$1:$5</definedName>
    <definedName name="_xlnm.Print_Titles" localSheetId="39">'Pivot Table-Uninsured SFY2016'!$1:$4</definedName>
    <definedName name="_xlnm.Print_Titles" localSheetId="41">'Pivot Table-Uninsured SFY2017'!$1:$4</definedName>
    <definedName name="_xlnm.Print_Titles" localSheetId="43">'Pivot Table-Uninsured SFY2018'!$1:$4</definedName>
    <definedName name="_xlnm.Print_Titles" localSheetId="34">'Uninsured By County SFY2014'!$A:$A,'Uninsured By County SFY2014'!$2:$5</definedName>
    <definedName name="_xlnm.Print_Titles" localSheetId="36">'Uninsured By County SFY2015'!$A:$A,'Uninsured By County SFY2015'!$2:$5</definedName>
    <definedName name="_xlnm.Print_Titles" localSheetId="38">'Uninsured By County SFY2016'!$A:$A,'Uninsured By County SFY2016'!$2:$5</definedName>
    <definedName name="_xlnm.Print_Titles" localSheetId="40">'Uninsured By County SFY2017'!$A:$A,'Uninsured By County SFY2017'!$2:$5</definedName>
    <definedName name="_xlnm.Print_Titles" localSheetId="42">'Uninsured By County SFY2018'!$A:$A,'Uninsured By County SFY2018'!$2:$5</definedName>
    <definedName name="SA_EBP">'Data Validation'!$A$44:$A$69</definedName>
    <definedName name="SA_EBP_Lookup">'Data Validation'!$A$44:$B$69</definedName>
    <definedName name="SA_Prevention_Pop">'[1]Data Validation'!$A$68:$G$79</definedName>
    <definedName name="SA_Prevention_Pop_2014">'Data Validation'!$A$75:$G$84</definedName>
    <definedName name="SA_Prevention_Pop_2015">'Data Validation'!$A$91:$G$99</definedName>
    <definedName name="SA_Prevention_Pop_2016">'Data Validation'!$A$106:$G$113</definedName>
    <definedName name="SA_Prevention_Pop_2017">'Data Validation'!$A$120:$G$126</definedName>
    <definedName name="SA_Prevention_Pop_2018">'Data Validation'!$A$134:$G$140</definedName>
    <definedName name="Uninsured">'[1]Uninsured By County'!$A$5:$V$104</definedName>
    <definedName name="Uninsured_SFY2014">'Uninsured By County SFY2014'!$A$6:$V$105</definedName>
    <definedName name="Uninsured_SFY2015">'Uninsured By County SFY2015'!$A$6:$V$105</definedName>
    <definedName name="Uninsured_SFY2016">'Uninsured By County SFY2016'!$A$6:$S$105</definedName>
    <definedName name="Uninsured_SFY2017">'Uninsured By County SFY2017'!$A$6:$S$105</definedName>
    <definedName name="Uninsured_SFY2018">'Uninsured By County SFY2018'!$A$6:$S$105</definedName>
  </definedNames>
  <calcPr calcId="171027"/>
  <pivotCaches>
    <pivotCache cacheId="0" r:id="rId47"/>
    <pivotCache cacheId="1" r:id="rId48"/>
    <pivotCache cacheId="2" r:id="rId49"/>
    <pivotCache cacheId="3" r:id="rId50"/>
    <pivotCache cacheId="4" r:id="rId51"/>
  </pivotCaches>
</workbook>
</file>

<file path=xl/calcChain.xml><?xml version="1.0" encoding="utf-8"?>
<calcChain xmlns="http://schemas.openxmlformats.org/spreadsheetml/2006/main">
  <c r="C9" i="130" l="1"/>
  <c r="C4" i="130"/>
  <c r="C3" i="130"/>
  <c r="H119" i="129" l="1"/>
  <c r="I119" i="129" s="1"/>
  <c r="H117" i="129"/>
  <c r="I117" i="129" s="1"/>
  <c r="H116" i="129"/>
  <c r="I116" i="129" s="1"/>
  <c r="H115" i="129"/>
  <c r="I115" i="129" s="1"/>
  <c r="I114" i="129"/>
  <c r="H114" i="129"/>
  <c r="H113" i="129"/>
  <c r="I113" i="129" s="1"/>
  <c r="H112" i="129"/>
  <c r="I112" i="129" s="1"/>
  <c r="H111" i="129"/>
  <c r="I111" i="129" s="1"/>
  <c r="I110" i="129"/>
  <c r="H110" i="129"/>
  <c r="H109" i="129"/>
  <c r="I109" i="129" s="1"/>
  <c r="H108" i="129"/>
  <c r="I108" i="129" s="1"/>
  <c r="H107" i="129"/>
  <c r="I107" i="129" s="1"/>
  <c r="I106" i="129"/>
  <c r="H106" i="129"/>
  <c r="H105" i="129"/>
  <c r="I105" i="129" s="1"/>
  <c r="H104" i="129"/>
  <c r="I104" i="129" s="1"/>
  <c r="H103" i="129"/>
  <c r="I103" i="129" s="1"/>
  <c r="I102" i="129"/>
  <c r="H102" i="129"/>
  <c r="H101" i="129"/>
  <c r="I101" i="129" s="1"/>
  <c r="H100" i="129"/>
  <c r="I100" i="129" s="1"/>
  <c r="H99" i="129"/>
  <c r="I99" i="129" s="1"/>
  <c r="I98" i="129"/>
  <c r="H98" i="129"/>
  <c r="H97" i="129"/>
  <c r="I97" i="129" s="1"/>
  <c r="H96" i="129"/>
  <c r="I96" i="129" s="1"/>
  <c r="H95" i="129"/>
  <c r="I95" i="129" s="1"/>
  <c r="I94" i="129"/>
  <c r="H94" i="129"/>
  <c r="H92" i="129"/>
  <c r="I92" i="129" s="1"/>
  <c r="H91" i="129"/>
  <c r="I91" i="129" s="1"/>
  <c r="H90" i="129"/>
  <c r="I90" i="129" s="1"/>
  <c r="I89" i="129"/>
  <c r="H89" i="129"/>
  <c r="H88" i="129"/>
  <c r="I88" i="129" s="1"/>
  <c r="H87" i="129"/>
  <c r="I87" i="129" s="1"/>
  <c r="H86" i="129"/>
  <c r="I86" i="129" s="1"/>
  <c r="I85" i="129"/>
  <c r="H85" i="129"/>
  <c r="H84" i="129"/>
  <c r="I84" i="129" s="1"/>
  <c r="H83" i="129"/>
  <c r="I83" i="129" s="1"/>
  <c r="H82" i="129"/>
  <c r="I82" i="129" s="1"/>
  <c r="I81" i="129"/>
  <c r="H81" i="129"/>
  <c r="H80" i="129"/>
  <c r="I80" i="129" s="1"/>
  <c r="H79" i="129"/>
  <c r="I79" i="129" s="1"/>
  <c r="H78" i="129"/>
  <c r="I78" i="129" s="1"/>
  <c r="I77" i="129"/>
  <c r="H77" i="129"/>
  <c r="H76" i="129"/>
  <c r="I76" i="129" s="1"/>
  <c r="H75" i="129"/>
  <c r="I75" i="129" s="1"/>
  <c r="H74" i="129"/>
  <c r="I74" i="129" s="1"/>
  <c r="I73" i="129"/>
  <c r="H73" i="129"/>
  <c r="H72" i="129"/>
  <c r="I72" i="129" s="1"/>
  <c r="H71" i="129"/>
  <c r="I71" i="129" s="1"/>
  <c r="H70" i="129"/>
  <c r="I70" i="129" s="1"/>
  <c r="I69" i="129"/>
  <c r="H69" i="129"/>
  <c r="H68" i="129"/>
  <c r="I68" i="129" s="1"/>
  <c r="H67" i="129"/>
  <c r="I67" i="129" s="1"/>
  <c r="H65" i="129"/>
  <c r="I65" i="129" s="1"/>
  <c r="H64" i="129"/>
  <c r="I64" i="129" s="1"/>
  <c r="H63" i="129"/>
  <c r="I63" i="129" s="1"/>
  <c r="H62" i="129"/>
  <c r="I62" i="129" s="1"/>
  <c r="H61" i="129"/>
  <c r="I61" i="129" s="1"/>
  <c r="H60" i="129"/>
  <c r="I60" i="129" s="1"/>
  <c r="H59" i="129"/>
  <c r="I59" i="129" s="1"/>
  <c r="H58" i="129"/>
  <c r="I58" i="129" s="1"/>
  <c r="H57" i="129"/>
  <c r="I57" i="129" s="1"/>
  <c r="H56" i="129"/>
  <c r="I56" i="129" s="1"/>
  <c r="H54" i="129"/>
  <c r="I54" i="129" s="1"/>
  <c r="H53" i="129"/>
  <c r="I53" i="129" s="1"/>
  <c r="H52" i="129"/>
  <c r="I52" i="129" s="1"/>
  <c r="H51" i="129"/>
  <c r="I51" i="129" s="1"/>
  <c r="H50" i="129"/>
  <c r="I50" i="129" s="1"/>
  <c r="H49" i="129"/>
  <c r="I49" i="129" s="1"/>
  <c r="H48" i="129"/>
  <c r="I48" i="129" s="1"/>
  <c r="H47" i="129"/>
  <c r="I47" i="129" s="1"/>
  <c r="H46" i="129"/>
  <c r="I46" i="129" s="1"/>
  <c r="H44" i="129"/>
  <c r="I44" i="129" s="1"/>
  <c r="H43" i="129"/>
  <c r="I43" i="129" s="1"/>
  <c r="H42" i="129"/>
  <c r="I42" i="129" s="1"/>
  <c r="H41" i="129"/>
  <c r="I41" i="129" s="1"/>
  <c r="H40" i="129"/>
  <c r="I40" i="129" s="1"/>
  <c r="H39" i="129"/>
  <c r="I39" i="129" s="1"/>
  <c r="H38" i="129"/>
  <c r="I38" i="129" s="1"/>
  <c r="H37" i="129"/>
  <c r="I37" i="129" s="1"/>
  <c r="H36" i="129"/>
  <c r="I36" i="129" s="1"/>
  <c r="H35" i="129"/>
  <c r="I35" i="129" s="1"/>
  <c r="H34" i="129"/>
  <c r="I34" i="129" s="1"/>
  <c r="H33" i="129"/>
  <c r="I33" i="129" s="1"/>
  <c r="H31" i="129"/>
  <c r="I31" i="129" s="1"/>
  <c r="H30" i="129"/>
  <c r="I30" i="129" s="1"/>
  <c r="H29" i="129"/>
  <c r="I29" i="129" s="1"/>
  <c r="H28" i="129"/>
  <c r="I28" i="129" s="1"/>
  <c r="H27" i="129"/>
  <c r="I27" i="129" s="1"/>
  <c r="H26" i="129"/>
  <c r="I26" i="129" s="1"/>
  <c r="H25" i="129"/>
  <c r="I25" i="129" s="1"/>
  <c r="H24" i="129"/>
  <c r="I24" i="129" s="1"/>
  <c r="H23" i="129"/>
  <c r="I23" i="129" s="1"/>
  <c r="H22" i="129"/>
  <c r="I22" i="129" s="1"/>
  <c r="H21" i="129"/>
  <c r="I21" i="129" s="1"/>
  <c r="H20" i="129"/>
  <c r="I20" i="129" s="1"/>
  <c r="H19" i="129"/>
  <c r="I19" i="129" s="1"/>
  <c r="H18" i="129"/>
  <c r="I18" i="129" s="1"/>
  <c r="H17" i="129"/>
  <c r="I17" i="129" s="1"/>
  <c r="H16" i="129"/>
  <c r="I16" i="129" s="1"/>
  <c r="H15" i="129"/>
  <c r="I15" i="129" s="1"/>
  <c r="H14" i="129"/>
  <c r="I14" i="129" s="1"/>
  <c r="H13" i="129"/>
  <c r="I13" i="129" s="1"/>
  <c r="H12" i="129"/>
  <c r="I12" i="129" s="1"/>
  <c r="H11" i="129"/>
  <c r="I11" i="129" s="1"/>
  <c r="H9" i="129"/>
  <c r="I9" i="129" s="1"/>
  <c r="H8" i="129"/>
  <c r="I8" i="129" s="1"/>
  <c r="H7" i="129"/>
  <c r="I7" i="129" s="1"/>
  <c r="H6" i="129"/>
  <c r="I6" i="129" s="1"/>
  <c r="H5" i="129"/>
  <c r="I5" i="129" s="1"/>
  <c r="H107" i="128"/>
  <c r="G107" i="128"/>
  <c r="N105" i="128"/>
  <c r="Q105" i="128"/>
  <c r="J105" i="128"/>
  <c r="S105" i="128" s="1"/>
  <c r="O105" i="128"/>
  <c r="Q104" i="128"/>
  <c r="P104" i="128"/>
  <c r="J104" i="128"/>
  <c r="S104" i="128" s="1"/>
  <c r="N104" i="128"/>
  <c r="N103" i="128"/>
  <c r="O102" i="128"/>
  <c r="P102" i="128"/>
  <c r="J102" i="128"/>
  <c r="S102" i="128" s="1"/>
  <c r="N101" i="128"/>
  <c r="Q101" i="128"/>
  <c r="J101" i="128"/>
  <c r="S101" i="128" s="1"/>
  <c r="O101" i="128"/>
  <c r="Q100" i="128"/>
  <c r="P100" i="128"/>
  <c r="O100" i="128"/>
  <c r="J100" i="128"/>
  <c r="N100" i="128"/>
  <c r="N99" i="128"/>
  <c r="Q99" i="128"/>
  <c r="P98" i="128"/>
  <c r="O98" i="128"/>
  <c r="J98" i="128"/>
  <c r="S98" i="128" s="1"/>
  <c r="N97" i="128"/>
  <c r="Q97" i="128"/>
  <c r="J97" i="128"/>
  <c r="S97" i="128" s="1"/>
  <c r="O97" i="128"/>
  <c r="Q96" i="128"/>
  <c r="S96" i="128"/>
  <c r="P96" i="128"/>
  <c r="O96" i="128"/>
  <c r="J96" i="128"/>
  <c r="N96" i="128"/>
  <c r="P95" i="128"/>
  <c r="N95" i="128"/>
  <c r="Q95" i="128"/>
  <c r="O94" i="128"/>
  <c r="P94" i="128"/>
  <c r="J94" i="128"/>
  <c r="S94" i="128" s="1"/>
  <c r="N94" i="128"/>
  <c r="N93" i="128"/>
  <c r="Q93" i="128"/>
  <c r="J93" i="128"/>
  <c r="S93" i="128" s="1"/>
  <c r="O93" i="128"/>
  <c r="Q92" i="128"/>
  <c r="P92" i="128"/>
  <c r="O92" i="128"/>
  <c r="J92" i="128"/>
  <c r="N92" i="128"/>
  <c r="P91" i="128"/>
  <c r="N91" i="128"/>
  <c r="Q91" i="128"/>
  <c r="O90" i="128"/>
  <c r="P90" i="128"/>
  <c r="J90" i="128"/>
  <c r="S90" i="128" s="1"/>
  <c r="N89" i="128"/>
  <c r="S88" i="128"/>
  <c r="Q88" i="128"/>
  <c r="N88" i="128"/>
  <c r="P88" i="128"/>
  <c r="O88" i="128"/>
  <c r="J88" i="128"/>
  <c r="P87" i="128"/>
  <c r="N87" i="128"/>
  <c r="Q87" i="128"/>
  <c r="O87" i="128"/>
  <c r="Q86" i="128"/>
  <c r="N86" i="128"/>
  <c r="P86" i="128"/>
  <c r="O86" i="128"/>
  <c r="J86" i="128"/>
  <c r="N85" i="128"/>
  <c r="Q85" i="128"/>
  <c r="O84" i="128"/>
  <c r="Q84" i="128"/>
  <c r="J84" i="128"/>
  <c r="S84" i="128" s="1"/>
  <c r="N83" i="128"/>
  <c r="P83" i="128"/>
  <c r="O83" i="128"/>
  <c r="J83" i="128"/>
  <c r="S83" i="128" s="1"/>
  <c r="Q82" i="128"/>
  <c r="N82" i="128"/>
  <c r="P82" i="128"/>
  <c r="O82" i="128"/>
  <c r="J82" i="128"/>
  <c r="P81" i="128"/>
  <c r="N81" i="128"/>
  <c r="Q81" i="128"/>
  <c r="O80" i="128"/>
  <c r="Q80" i="128"/>
  <c r="J80" i="128"/>
  <c r="S80" i="128" s="1"/>
  <c r="N80" i="128"/>
  <c r="N79" i="128"/>
  <c r="P79" i="128"/>
  <c r="O79" i="128"/>
  <c r="J79" i="128"/>
  <c r="S79" i="128" s="1"/>
  <c r="Q78" i="128"/>
  <c r="N78" i="128"/>
  <c r="P78" i="128"/>
  <c r="O78" i="128"/>
  <c r="J78" i="128"/>
  <c r="N77" i="128"/>
  <c r="Q77" i="128"/>
  <c r="O76" i="128"/>
  <c r="Q76" i="128"/>
  <c r="J76" i="128"/>
  <c r="S76" i="128" s="1"/>
  <c r="N75" i="128"/>
  <c r="P75" i="128"/>
  <c r="O75" i="128"/>
  <c r="J75" i="128"/>
  <c r="S75" i="128" s="1"/>
  <c r="Q74" i="128"/>
  <c r="N74" i="128"/>
  <c r="P74" i="128"/>
  <c r="O74" i="128"/>
  <c r="J74" i="128"/>
  <c r="N73" i="128"/>
  <c r="Q73" i="128"/>
  <c r="O72" i="128"/>
  <c r="Q72" i="128"/>
  <c r="J72" i="128"/>
  <c r="S72" i="128" s="1"/>
  <c r="N72" i="128"/>
  <c r="N71" i="128"/>
  <c r="P71" i="128"/>
  <c r="O71" i="128"/>
  <c r="J71" i="128"/>
  <c r="S71" i="128" s="1"/>
  <c r="Q70" i="128"/>
  <c r="N70" i="128"/>
  <c r="P70" i="128"/>
  <c r="O70" i="128"/>
  <c r="J70" i="128"/>
  <c r="N69" i="128"/>
  <c r="Q69" i="128"/>
  <c r="O68" i="128"/>
  <c r="Q68" i="128"/>
  <c r="J68" i="128"/>
  <c r="S68" i="128" s="1"/>
  <c r="N68" i="128"/>
  <c r="N67" i="128"/>
  <c r="P67" i="128"/>
  <c r="O67" i="128"/>
  <c r="J67" i="128"/>
  <c r="S67" i="128" s="1"/>
  <c r="Q66" i="128"/>
  <c r="N66" i="128"/>
  <c r="P66" i="128"/>
  <c r="O66" i="128"/>
  <c r="J66" i="128"/>
  <c r="N65" i="128"/>
  <c r="Q65" i="128"/>
  <c r="O64" i="128"/>
  <c r="Q64" i="128"/>
  <c r="J64" i="128"/>
  <c r="S64" i="128" s="1"/>
  <c r="N64" i="128"/>
  <c r="N63" i="128"/>
  <c r="P63" i="128"/>
  <c r="O63" i="128"/>
  <c r="J63" i="128"/>
  <c r="S63" i="128" s="1"/>
  <c r="Q62" i="128"/>
  <c r="N62" i="128"/>
  <c r="P62" i="128"/>
  <c r="O62" i="128"/>
  <c r="J62" i="128"/>
  <c r="N61" i="128"/>
  <c r="Q61" i="128"/>
  <c r="O60" i="128"/>
  <c r="Q60" i="128"/>
  <c r="J60" i="128"/>
  <c r="S60" i="128" s="1"/>
  <c r="N60" i="128"/>
  <c r="N59" i="128"/>
  <c r="P59" i="128"/>
  <c r="O59" i="128"/>
  <c r="J59" i="128"/>
  <c r="S59" i="128" s="1"/>
  <c r="Q58" i="128"/>
  <c r="N58" i="128"/>
  <c r="P58" i="128"/>
  <c r="O58" i="128"/>
  <c r="J58" i="128"/>
  <c r="P57" i="128"/>
  <c r="N57" i="128"/>
  <c r="Q57" i="128"/>
  <c r="S56" i="128"/>
  <c r="O56" i="128"/>
  <c r="Q56" i="128"/>
  <c r="J56" i="128"/>
  <c r="N56" i="128"/>
  <c r="N55" i="128"/>
  <c r="P55" i="128"/>
  <c r="O55" i="128"/>
  <c r="J55" i="128"/>
  <c r="S55" i="128" s="1"/>
  <c r="Q54" i="128"/>
  <c r="N54" i="128"/>
  <c r="P54" i="128"/>
  <c r="O54" i="128"/>
  <c r="J54" i="128"/>
  <c r="S54" i="128" s="1"/>
  <c r="P53" i="128"/>
  <c r="N53" i="128"/>
  <c r="Q53" i="128"/>
  <c r="J53" i="128"/>
  <c r="O53" i="128"/>
  <c r="O52" i="128"/>
  <c r="Q52" i="128"/>
  <c r="J52" i="128"/>
  <c r="S52" i="128" s="1"/>
  <c r="N52" i="128"/>
  <c r="Q51" i="128"/>
  <c r="O51" i="128"/>
  <c r="J51" i="128"/>
  <c r="S51" i="128" s="1"/>
  <c r="N51" i="128"/>
  <c r="Q50" i="128"/>
  <c r="P50" i="128"/>
  <c r="O50" i="128"/>
  <c r="J50" i="128"/>
  <c r="S50" i="128" s="1"/>
  <c r="N50" i="128"/>
  <c r="N49" i="128"/>
  <c r="Q49" i="128"/>
  <c r="J49" i="128"/>
  <c r="S49" i="128" s="1"/>
  <c r="O49" i="128"/>
  <c r="P48" i="128"/>
  <c r="Q48" i="128"/>
  <c r="J48" i="128"/>
  <c r="S48" i="128" s="1"/>
  <c r="N47" i="128"/>
  <c r="Q47" i="128"/>
  <c r="J47" i="128"/>
  <c r="S47" i="128" s="1"/>
  <c r="Q46" i="128"/>
  <c r="N46" i="128"/>
  <c r="P46" i="128"/>
  <c r="O46" i="128"/>
  <c r="J46" i="128"/>
  <c r="S46" i="128" s="1"/>
  <c r="P45" i="128"/>
  <c r="N45" i="128"/>
  <c r="Q45" i="128"/>
  <c r="O45" i="128"/>
  <c r="Q44" i="128"/>
  <c r="O44" i="128"/>
  <c r="N44" i="128"/>
  <c r="Q43" i="128"/>
  <c r="P43" i="128"/>
  <c r="O43" i="128"/>
  <c r="J43" i="128"/>
  <c r="S43" i="128" s="1"/>
  <c r="N43" i="128"/>
  <c r="N42" i="128"/>
  <c r="P42" i="128"/>
  <c r="J42" i="128"/>
  <c r="S42" i="128" s="1"/>
  <c r="O42" i="128"/>
  <c r="Q41" i="128"/>
  <c r="P41" i="128"/>
  <c r="O41" i="128"/>
  <c r="J41" i="128"/>
  <c r="N41" i="128"/>
  <c r="N40" i="128"/>
  <c r="Q40" i="128"/>
  <c r="J40" i="128"/>
  <c r="S40" i="128" s="1"/>
  <c r="Q39" i="128"/>
  <c r="P39" i="128"/>
  <c r="O39" i="128"/>
  <c r="J39" i="128"/>
  <c r="S39" i="128" s="1"/>
  <c r="N39" i="128"/>
  <c r="N38" i="128"/>
  <c r="P38" i="128"/>
  <c r="J38" i="128"/>
  <c r="S38" i="128" s="1"/>
  <c r="O38" i="128"/>
  <c r="Q37" i="128"/>
  <c r="P37" i="128"/>
  <c r="R37" i="128" s="1"/>
  <c r="O37" i="128"/>
  <c r="J37" i="128"/>
  <c r="S37" i="128" s="1"/>
  <c r="N37" i="128"/>
  <c r="P36" i="128"/>
  <c r="N36" i="128"/>
  <c r="Q36" i="128"/>
  <c r="J36" i="128"/>
  <c r="S36" i="128" s="1"/>
  <c r="Q35" i="128"/>
  <c r="P35" i="128"/>
  <c r="O35" i="128"/>
  <c r="J35" i="128"/>
  <c r="S35" i="128" s="1"/>
  <c r="N35" i="128"/>
  <c r="N34" i="128"/>
  <c r="P34" i="128"/>
  <c r="J34" i="128"/>
  <c r="S34" i="128" s="1"/>
  <c r="O34" i="128"/>
  <c r="Q33" i="128"/>
  <c r="S33" i="128"/>
  <c r="P33" i="128"/>
  <c r="R33" i="128" s="1"/>
  <c r="O33" i="128"/>
  <c r="J33" i="128"/>
  <c r="N33" i="128"/>
  <c r="N32" i="128"/>
  <c r="Q32" i="128"/>
  <c r="J32" i="128"/>
  <c r="S32" i="128" s="1"/>
  <c r="Q31" i="128"/>
  <c r="P31" i="128"/>
  <c r="O31" i="128"/>
  <c r="J31" i="128"/>
  <c r="S31" i="128" s="1"/>
  <c r="P30" i="128"/>
  <c r="N30" i="128"/>
  <c r="Q30" i="128"/>
  <c r="R30" i="128" s="1"/>
  <c r="J30" i="128"/>
  <c r="S30" i="128" s="1"/>
  <c r="O30" i="128"/>
  <c r="Q29" i="128"/>
  <c r="P29" i="128"/>
  <c r="O29" i="128"/>
  <c r="J29" i="128"/>
  <c r="N29" i="128"/>
  <c r="P28" i="128"/>
  <c r="R28" i="128" s="1"/>
  <c r="N28" i="128"/>
  <c r="Q28" i="128"/>
  <c r="Q27" i="128"/>
  <c r="O27" i="128"/>
  <c r="P27" i="128"/>
  <c r="J27" i="128"/>
  <c r="S27" i="128" s="1"/>
  <c r="N26" i="128"/>
  <c r="Q26" i="128"/>
  <c r="J26" i="128"/>
  <c r="S26" i="128" s="1"/>
  <c r="O26" i="128"/>
  <c r="Q25" i="128"/>
  <c r="P25" i="128"/>
  <c r="O25" i="128"/>
  <c r="J25" i="128"/>
  <c r="N25" i="128"/>
  <c r="P24" i="128"/>
  <c r="N24" i="128"/>
  <c r="Q24" i="128"/>
  <c r="Q23" i="128"/>
  <c r="O23" i="128"/>
  <c r="P23" i="128"/>
  <c r="J23" i="128"/>
  <c r="S23" i="128" s="1"/>
  <c r="N23" i="128"/>
  <c r="N22" i="128"/>
  <c r="P22" i="128"/>
  <c r="J22" i="128"/>
  <c r="S22" i="128" s="1"/>
  <c r="O22" i="128"/>
  <c r="Q21" i="128"/>
  <c r="P21" i="128"/>
  <c r="R21" i="128" s="1"/>
  <c r="O21" i="128"/>
  <c r="J21" i="128"/>
  <c r="S21" i="128" s="1"/>
  <c r="N21" i="128"/>
  <c r="P20" i="128"/>
  <c r="R20" i="128" s="1"/>
  <c r="N20" i="128"/>
  <c r="Q20" i="128"/>
  <c r="O19" i="128"/>
  <c r="Q19" i="128"/>
  <c r="J19" i="128"/>
  <c r="S19" i="128" s="1"/>
  <c r="N18" i="128"/>
  <c r="P18" i="128"/>
  <c r="J18" i="128"/>
  <c r="S18" i="128" s="1"/>
  <c r="O18" i="128"/>
  <c r="Q17" i="128"/>
  <c r="N17" i="128"/>
  <c r="P17" i="128"/>
  <c r="O17" i="128"/>
  <c r="J17" i="128"/>
  <c r="S17" i="128" s="1"/>
  <c r="P16" i="128"/>
  <c r="N16" i="128"/>
  <c r="Q16" i="128"/>
  <c r="P15" i="128"/>
  <c r="O15" i="128"/>
  <c r="J15" i="128"/>
  <c r="S15" i="128" s="1"/>
  <c r="N14" i="128"/>
  <c r="P14" i="128"/>
  <c r="O14" i="128"/>
  <c r="J14" i="128"/>
  <c r="S14" i="128" s="1"/>
  <c r="Q13" i="128"/>
  <c r="N13" i="128"/>
  <c r="P13" i="128"/>
  <c r="O13" i="128"/>
  <c r="J13" i="128"/>
  <c r="P12" i="128"/>
  <c r="N12" i="128"/>
  <c r="Q12" i="128"/>
  <c r="O11" i="128"/>
  <c r="P11" i="128"/>
  <c r="J11" i="128"/>
  <c r="S11" i="128" s="1"/>
  <c r="N10" i="128"/>
  <c r="P10" i="128"/>
  <c r="O10" i="128"/>
  <c r="J10" i="128"/>
  <c r="S10" i="128" s="1"/>
  <c r="Q9" i="128"/>
  <c r="N9" i="128"/>
  <c r="P9" i="128"/>
  <c r="O9" i="128"/>
  <c r="J9" i="128"/>
  <c r="S9" i="128" s="1"/>
  <c r="P8" i="128"/>
  <c r="N8" i="128"/>
  <c r="Q8" i="128"/>
  <c r="P7" i="128"/>
  <c r="O7" i="128"/>
  <c r="J7" i="128"/>
  <c r="S7" i="128" s="1"/>
  <c r="N6" i="128"/>
  <c r="P6" i="128"/>
  <c r="O6" i="128"/>
  <c r="J6" i="128"/>
  <c r="R35" i="128" l="1"/>
  <c r="R43" i="128"/>
  <c r="R50" i="128"/>
  <c r="R81" i="128"/>
  <c r="R91" i="128"/>
  <c r="R104" i="128"/>
  <c r="R12" i="128"/>
  <c r="R39" i="128"/>
  <c r="R41" i="128"/>
  <c r="R46" i="128"/>
  <c r="R24" i="128"/>
  <c r="R45" i="128"/>
  <c r="R88" i="128"/>
  <c r="R8" i="128"/>
  <c r="R16" i="128"/>
  <c r="S25" i="128"/>
  <c r="S29" i="128"/>
  <c r="R54" i="128"/>
  <c r="S92" i="128"/>
  <c r="S100" i="128"/>
  <c r="R23" i="128"/>
  <c r="R27" i="128"/>
  <c r="S41" i="128"/>
  <c r="R53" i="128"/>
  <c r="R87" i="128"/>
  <c r="R95" i="128"/>
  <c r="R96" i="128"/>
  <c r="R13" i="128"/>
  <c r="R29" i="128"/>
  <c r="R31" i="128"/>
  <c r="R92" i="128"/>
  <c r="J8" i="128"/>
  <c r="S8" i="128" s="1"/>
  <c r="O8" i="128"/>
  <c r="O16" i="128"/>
  <c r="J16" i="128"/>
  <c r="S16" i="128" s="1"/>
  <c r="O24" i="128"/>
  <c r="J24" i="128"/>
  <c r="S24" i="128" s="1"/>
  <c r="S6" i="128"/>
  <c r="R9" i="128"/>
  <c r="J12" i="128"/>
  <c r="S12" i="128" s="1"/>
  <c r="O12" i="128"/>
  <c r="S13" i="128"/>
  <c r="N11" i="128"/>
  <c r="N19" i="128"/>
  <c r="R36" i="128"/>
  <c r="N7" i="128"/>
  <c r="N31" i="128"/>
  <c r="D107" i="128"/>
  <c r="N15" i="128"/>
  <c r="R17" i="128"/>
  <c r="O20" i="128"/>
  <c r="J20" i="128"/>
  <c r="S20" i="128" s="1"/>
  <c r="R25" i="128"/>
  <c r="N27" i="128"/>
  <c r="O28" i="128"/>
  <c r="J28" i="128"/>
  <c r="S28" i="128" s="1"/>
  <c r="P40" i="128"/>
  <c r="R40" i="128" s="1"/>
  <c r="P47" i="128"/>
  <c r="R47" i="128" s="1"/>
  <c r="E107" i="128"/>
  <c r="F107" i="128"/>
  <c r="Q7" i="128"/>
  <c r="R7" i="128" s="1"/>
  <c r="Q11" i="128"/>
  <c r="R11" i="128" s="1"/>
  <c r="Q15" i="128"/>
  <c r="R15" i="128" s="1"/>
  <c r="P26" i="128"/>
  <c r="R26" i="128" s="1"/>
  <c r="I107" i="128"/>
  <c r="Q6" i="128"/>
  <c r="Q10" i="128"/>
  <c r="R10" i="128" s="1"/>
  <c r="Q14" i="128"/>
  <c r="R14" i="128" s="1"/>
  <c r="Q18" i="128"/>
  <c r="R18" i="128" s="1"/>
  <c r="Q22" i="128"/>
  <c r="R22" i="128" s="1"/>
  <c r="O32" i="128"/>
  <c r="Q34" i="128"/>
  <c r="R34" i="128" s="1"/>
  <c r="O36" i="128"/>
  <c r="Q38" i="128"/>
  <c r="R38" i="128" s="1"/>
  <c r="O40" i="128"/>
  <c r="Q42" i="128"/>
  <c r="R42" i="128" s="1"/>
  <c r="P44" i="128"/>
  <c r="R44" i="128" s="1"/>
  <c r="J45" i="128"/>
  <c r="S45" i="128" s="1"/>
  <c r="O47" i="128"/>
  <c r="O48" i="128"/>
  <c r="S58" i="128"/>
  <c r="P61" i="128"/>
  <c r="R61" i="128" s="1"/>
  <c r="R62" i="128"/>
  <c r="J65" i="128"/>
  <c r="S65" i="128" s="1"/>
  <c r="O65" i="128"/>
  <c r="S66" i="128"/>
  <c r="P69" i="128"/>
  <c r="R69" i="128" s="1"/>
  <c r="R70" i="128"/>
  <c r="J73" i="128"/>
  <c r="S73" i="128" s="1"/>
  <c r="O73" i="128"/>
  <c r="S74" i="128"/>
  <c r="P77" i="128"/>
  <c r="R77" i="128" s="1"/>
  <c r="R78" i="128"/>
  <c r="J81" i="128"/>
  <c r="S81" i="128" s="1"/>
  <c r="O81" i="128"/>
  <c r="S82" i="128"/>
  <c r="P85" i="128"/>
  <c r="R85" i="128" s="1"/>
  <c r="R86" i="128"/>
  <c r="Q89" i="128"/>
  <c r="P89" i="128"/>
  <c r="Q103" i="128"/>
  <c r="P103" i="128"/>
  <c r="R103" i="128" s="1"/>
  <c r="P32" i="128"/>
  <c r="R32" i="128" s="1"/>
  <c r="P19" i="128"/>
  <c r="R19" i="128" s="1"/>
  <c r="N48" i="128"/>
  <c r="P49" i="128"/>
  <c r="R49" i="128" s="1"/>
  <c r="P51" i="128"/>
  <c r="R51" i="128" s="1"/>
  <c r="P52" i="128"/>
  <c r="R52" i="128" s="1"/>
  <c r="S53" i="128"/>
  <c r="P56" i="128"/>
  <c r="R56" i="128" s="1"/>
  <c r="R58" i="128"/>
  <c r="J61" i="128"/>
  <c r="S61" i="128" s="1"/>
  <c r="O61" i="128"/>
  <c r="S62" i="128"/>
  <c r="P65" i="128"/>
  <c r="R65" i="128" s="1"/>
  <c r="R66" i="128"/>
  <c r="J69" i="128"/>
  <c r="S69" i="128" s="1"/>
  <c r="O69" i="128"/>
  <c r="S70" i="128"/>
  <c r="P73" i="128"/>
  <c r="R73" i="128" s="1"/>
  <c r="R74" i="128"/>
  <c r="J77" i="128"/>
  <c r="S77" i="128" s="1"/>
  <c r="O77" i="128"/>
  <c r="S78" i="128"/>
  <c r="R82" i="128"/>
  <c r="J85" i="128"/>
  <c r="S85" i="128" s="1"/>
  <c r="O85" i="128"/>
  <c r="S86" i="128"/>
  <c r="O99" i="128"/>
  <c r="J99" i="128"/>
  <c r="S99" i="128" s="1"/>
  <c r="R48" i="128"/>
  <c r="R57" i="128"/>
  <c r="O89" i="128"/>
  <c r="J89" i="128"/>
  <c r="S89" i="128" s="1"/>
  <c r="J44" i="128"/>
  <c r="S44" i="128" s="1"/>
  <c r="J57" i="128"/>
  <c r="S57" i="128" s="1"/>
  <c r="O57" i="128"/>
  <c r="N76" i="128"/>
  <c r="N84" i="128"/>
  <c r="Q55" i="128"/>
  <c r="R55" i="128" s="1"/>
  <c r="Q59" i="128"/>
  <c r="R59" i="128" s="1"/>
  <c r="Q63" i="128"/>
  <c r="R63" i="128" s="1"/>
  <c r="Q67" i="128"/>
  <c r="R67" i="128" s="1"/>
  <c r="Q71" i="128"/>
  <c r="R71" i="128" s="1"/>
  <c r="Q75" i="128"/>
  <c r="R75" i="128" s="1"/>
  <c r="Q79" i="128"/>
  <c r="R79" i="128" s="1"/>
  <c r="Q83" i="128"/>
  <c r="R83" i="128" s="1"/>
  <c r="J87" i="128"/>
  <c r="S87" i="128" s="1"/>
  <c r="N90" i="128"/>
  <c r="O95" i="128"/>
  <c r="J95" i="128"/>
  <c r="S95" i="128" s="1"/>
  <c r="P60" i="128"/>
  <c r="R60" i="128" s="1"/>
  <c r="P64" i="128"/>
  <c r="R64" i="128" s="1"/>
  <c r="P68" i="128"/>
  <c r="R68" i="128" s="1"/>
  <c r="P72" i="128"/>
  <c r="R72" i="128" s="1"/>
  <c r="P76" i="128"/>
  <c r="R76" i="128" s="1"/>
  <c r="P80" i="128"/>
  <c r="R80" i="128" s="1"/>
  <c r="P84" i="128"/>
  <c r="R84" i="128" s="1"/>
  <c r="N98" i="128"/>
  <c r="O103" i="128"/>
  <c r="J103" i="128"/>
  <c r="S103" i="128" s="1"/>
  <c r="I121" i="129"/>
  <c r="O91" i="128"/>
  <c r="J91" i="128"/>
  <c r="S91" i="128" s="1"/>
  <c r="P99" i="128"/>
  <c r="R99" i="128" s="1"/>
  <c r="R100" i="128"/>
  <c r="N102" i="128"/>
  <c r="H121" i="129"/>
  <c r="Q90" i="128"/>
  <c r="R90" i="128" s="1"/>
  <c r="P93" i="128"/>
  <c r="R93" i="128" s="1"/>
  <c r="Q94" i="128"/>
  <c r="R94" i="128" s="1"/>
  <c r="P97" i="128"/>
  <c r="R97" i="128" s="1"/>
  <c r="Q98" i="128"/>
  <c r="R98" i="128" s="1"/>
  <c r="P101" i="128"/>
  <c r="R101" i="128" s="1"/>
  <c r="Q102" i="128"/>
  <c r="R102" i="128" s="1"/>
  <c r="O104" i="128"/>
  <c r="P105" i="128"/>
  <c r="R105" i="128" s="1"/>
  <c r="R89" i="128" l="1"/>
  <c r="N107" i="128"/>
  <c r="N108" i="128" s="1"/>
  <c r="O107" i="128"/>
  <c r="O108" i="128" s="1"/>
  <c r="Q107" i="128"/>
  <c r="Q108" i="128" s="1"/>
  <c r="R6" i="128"/>
  <c r="R107" i="128" s="1"/>
  <c r="R108" i="128" s="1"/>
  <c r="J107" i="128"/>
  <c r="S107" i="128"/>
  <c r="S108" i="128" s="1"/>
  <c r="P107" i="128"/>
  <c r="P108" i="128" s="1"/>
  <c r="C141" i="71" l="1"/>
  <c r="B141" i="71"/>
  <c r="F140" i="71"/>
  <c r="E140" i="71"/>
  <c r="G140" i="71" s="1"/>
  <c r="D140" i="71"/>
  <c r="F139" i="71"/>
  <c r="E139" i="71"/>
  <c r="D139" i="71"/>
  <c r="F138" i="71"/>
  <c r="E138" i="71"/>
  <c r="G138" i="71" s="1"/>
  <c r="D138" i="71"/>
  <c r="F137" i="71"/>
  <c r="E137" i="71"/>
  <c r="D137" i="71"/>
  <c r="F136" i="71"/>
  <c r="E136" i="71"/>
  <c r="G136" i="71" s="1"/>
  <c r="D136" i="71"/>
  <c r="F135" i="71"/>
  <c r="E135" i="71"/>
  <c r="D135" i="71"/>
  <c r="F134" i="71"/>
  <c r="E134" i="71"/>
  <c r="D134" i="71"/>
  <c r="F125" i="71"/>
  <c r="E125" i="71"/>
  <c r="G125" i="71" s="1"/>
  <c r="D125" i="71"/>
  <c r="D141" i="71" l="1"/>
  <c r="G135" i="71"/>
  <c r="G139" i="71"/>
  <c r="F141" i="71"/>
  <c r="G137" i="71"/>
  <c r="E141" i="71"/>
  <c r="G134" i="71"/>
  <c r="G141" i="71" l="1"/>
  <c r="F126" i="71"/>
  <c r="E126" i="71"/>
  <c r="B127" i="71" s="1"/>
  <c r="D126" i="71"/>
  <c r="F124" i="71"/>
  <c r="E124" i="71"/>
  <c r="D124" i="71"/>
  <c r="F123" i="71"/>
  <c r="E123" i="71"/>
  <c r="D123" i="71"/>
  <c r="F122" i="71"/>
  <c r="E122" i="71"/>
  <c r="D122" i="71"/>
  <c r="F121" i="71"/>
  <c r="E121" i="71"/>
  <c r="D121" i="71"/>
  <c r="F120" i="71"/>
  <c r="E120" i="71"/>
  <c r="D120" i="71"/>
  <c r="G122" i="71" l="1"/>
  <c r="E127" i="71"/>
  <c r="G124" i="71"/>
  <c r="F127" i="71"/>
  <c r="G123" i="71"/>
  <c r="D127" i="71"/>
  <c r="G121" i="71"/>
  <c r="G126" i="71"/>
  <c r="C127" i="71" s="1"/>
  <c r="G120" i="71"/>
  <c r="G127" i="71" l="1"/>
  <c r="H107" i="126" l="1"/>
  <c r="G107" i="126"/>
  <c r="Q105" i="126"/>
  <c r="N105" i="126"/>
  <c r="J104" i="126"/>
  <c r="S104" i="126" s="1"/>
  <c r="N104" i="126"/>
  <c r="P102" i="126"/>
  <c r="N102" i="126"/>
  <c r="N101" i="126"/>
  <c r="P101" i="126"/>
  <c r="J101" i="126"/>
  <c r="S101" i="126" s="1"/>
  <c r="J100" i="126"/>
  <c r="S100" i="126" s="1"/>
  <c r="N100" i="126"/>
  <c r="N99" i="126"/>
  <c r="P98" i="126"/>
  <c r="J98" i="126"/>
  <c r="S98" i="126" s="1"/>
  <c r="N98" i="126"/>
  <c r="N97" i="126"/>
  <c r="P97" i="126"/>
  <c r="J97" i="126"/>
  <c r="S97" i="126" s="1"/>
  <c r="J96" i="126"/>
  <c r="S96" i="126" s="1"/>
  <c r="N96" i="126"/>
  <c r="P94" i="126"/>
  <c r="N94" i="126"/>
  <c r="N93" i="126"/>
  <c r="P93" i="126"/>
  <c r="J93" i="126"/>
  <c r="S93" i="126" s="1"/>
  <c r="N92" i="126"/>
  <c r="Q91" i="126"/>
  <c r="J91" i="126"/>
  <c r="S91" i="126" s="1"/>
  <c r="N91" i="126"/>
  <c r="P90" i="126"/>
  <c r="J90" i="126"/>
  <c r="S90" i="126" s="1"/>
  <c r="N90" i="126"/>
  <c r="Q89" i="126"/>
  <c r="P89" i="126"/>
  <c r="O89" i="126"/>
  <c r="J89" i="126"/>
  <c r="N89" i="126"/>
  <c r="N88" i="126"/>
  <c r="P87" i="126"/>
  <c r="Q87" i="126"/>
  <c r="N86" i="126"/>
  <c r="Q86" i="126"/>
  <c r="J86" i="126"/>
  <c r="S86" i="126" s="1"/>
  <c r="N85" i="126"/>
  <c r="J85" i="126"/>
  <c r="S85" i="126" s="1"/>
  <c r="N84" i="126"/>
  <c r="P84" i="126"/>
  <c r="P83" i="126"/>
  <c r="Q83" i="126"/>
  <c r="P82" i="126"/>
  <c r="N82" i="126"/>
  <c r="Q81" i="126"/>
  <c r="P81" i="126"/>
  <c r="O81" i="126"/>
  <c r="J81" i="126"/>
  <c r="N81" i="126"/>
  <c r="P80" i="126"/>
  <c r="Q80" i="126"/>
  <c r="O79" i="126"/>
  <c r="J79" i="126"/>
  <c r="S79" i="126" s="1"/>
  <c r="N79" i="126"/>
  <c r="N78" i="126"/>
  <c r="P78" i="126"/>
  <c r="J78" i="126"/>
  <c r="S78" i="126" s="1"/>
  <c r="N77" i="126"/>
  <c r="J77" i="126"/>
  <c r="S77" i="126" s="1"/>
  <c r="N76" i="126"/>
  <c r="Q75" i="126"/>
  <c r="P74" i="126"/>
  <c r="O74" i="126"/>
  <c r="J74" i="126"/>
  <c r="S74" i="126" s="1"/>
  <c r="N74" i="126"/>
  <c r="Q73" i="126"/>
  <c r="P73" i="126"/>
  <c r="O73" i="126"/>
  <c r="J73" i="126"/>
  <c r="P72" i="126"/>
  <c r="Q72" i="126"/>
  <c r="N72" i="126"/>
  <c r="O71" i="126"/>
  <c r="J71" i="126"/>
  <c r="S71" i="126" s="1"/>
  <c r="N71" i="126"/>
  <c r="N70" i="126"/>
  <c r="P70" i="126"/>
  <c r="J70" i="126"/>
  <c r="S70" i="126" s="1"/>
  <c r="N69" i="126"/>
  <c r="J69" i="126"/>
  <c r="S69" i="126" s="1"/>
  <c r="N68" i="126"/>
  <c r="Q67" i="126"/>
  <c r="P66" i="126"/>
  <c r="Q66" i="126"/>
  <c r="N66" i="126"/>
  <c r="Q65" i="126"/>
  <c r="P65" i="126"/>
  <c r="O65" i="126"/>
  <c r="J65" i="126"/>
  <c r="N65" i="126"/>
  <c r="P64" i="126"/>
  <c r="Q64" i="126"/>
  <c r="O63" i="126"/>
  <c r="P63" i="126"/>
  <c r="J63" i="126"/>
  <c r="S63" i="126" s="1"/>
  <c r="N63" i="126"/>
  <c r="O62" i="126"/>
  <c r="Q62" i="126"/>
  <c r="J62" i="126"/>
  <c r="S62" i="126" s="1"/>
  <c r="N62" i="126"/>
  <c r="Q61" i="126"/>
  <c r="P61" i="126"/>
  <c r="R61" i="126" s="1"/>
  <c r="O61" i="126"/>
  <c r="J61" i="126"/>
  <c r="N61" i="126"/>
  <c r="P60" i="126"/>
  <c r="N60" i="126"/>
  <c r="Q59" i="126"/>
  <c r="N58" i="126"/>
  <c r="Q58" i="126"/>
  <c r="O58" i="126"/>
  <c r="N57" i="126"/>
  <c r="J57" i="126"/>
  <c r="S57" i="126" s="1"/>
  <c r="N56" i="126"/>
  <c r="J56" i="126"/>
  <c r="O56" i="126"/>
  <c r="O55" i="126"/>
  <c r="J55" i="126"/>
  <c r="S55" i="126" s="1"/>
  <c r="N55" i="126"/>
  <c r="Q54" i="126"/>
  <c r="J54" i="126"/>
  <c r="Q53" i="126"/>
  <c r="P53" i="126"/>
  <c r="O53" i="126"/>
  <c r="J53" i="126"/>
  <c r="N53" i="126"/>
  <c r="Q52" i="126"/>
  <c r="P52" i="126"/>
  <c r="N52" i="126"/>
  <c r="P51" i="126"/>
  <c r="Q51" i="126"/>
  <c r="P50" i="126"/>
  <c r="Q50" i="126"/>
  <c r="N50" i="126"/>
  <c r="Q49" i="126"/>
  <c r="P49" i="126"/>
  <c r="O49" i="126"/>
  <c r="J49" i="126"/>
  <c r="S49" i="126" s="1"/>
  <c r="N49" i="126"/>
  <c r="P48" i="126"/>
  <c r="Q48" i="126"/>
  <c r="J48" i="126"/>
  <c r="N48" i="126"/>
  <c r="Q47" i="126"/>
  <c r="J47" i="126"/>
  <c r="N47" i="126"/>
  <c r="O46" i="126"/>
  <c r="J46" i="126"/>
  <c r="S46" i="126" s="1"/>
  <c r="N46" i="126"/>
  <c r="P45" i="126"/>
  <c r="R45" i="126" s="1"/>
  <c r="Q45" i="126"/>
  <c r="J45" i="126"/>
  <c r="N45" i="126"/>
  <c r="Q44" i="126"/>
  <c r="P44" i="126"/>
  <c r="J44" i="126"/>
  <c r="N44" i="126"/>
  <c r="N43" i="126"/>
  <c r="J43" i="126"/>
  <c r="S43" i="126" s="1"/>
  <c r="O43" i="126"/>
  <c r="Q42" i="126"/>
  <c r="P42" i="126"/>
  <c r="O42" i="126"/>
  <c r="J42" i="126"/>
  <c r="S42" i="126" s="1"/>
  <c r="Q41" i="126"/>
  <c r="N41" i="126"/>
  <c r="Q40" i="126"/>
  <c r="P40" i="126"/>
  <c r="N40" i="126"/>
  <c r="N39" i="126"/>
  <c r="Q39" i="126"/>
  <c r="O39" i="126"/>
  <c r="O38" i="126"/>
  <c r="J38" i="126"/>
  <c r="S38" i="126" s="1"/>
  <c r="N38" i="126"/>
  <c r="P37" i="126"/>
  <c r="Q37" i="126"/>
  <c r="P36" i="126"/>
  <c r="O36" i="126"/>
  <c r="J36" i="126"/>
  <c r="S36" i="126" s="1"/>
  <c r="Q35" i="126"/>
  <c r="S34" i="126"/>
  <c r="O34" i="126"/>
  <c r="J34" i="126"/>
  <c r="N34" i="126"/>
  <c r="P33" i="126"/>
  <c r="R33" i="126" s="1"/>
  <c r="Q33" i="126"/>
  <c r="N33" i="126"/>
  <c r="Q32" i="126"/>
  <c r="P32" i="126"/>
  <c r="J32" i="126"/>
  <c r="N32" i="126"/>
  <c r="N31" i="126"/>
  <c r="O31" i="126"/>
  <c r="P30" i="126"/>
  <c r="O30" i="126"/>
  <c r="J30" i="126"/>
  <c r="S30" i="126" s="1"/>
  <c r="Q29" i="126"/>
  <c r="N29" i="126"/>
  <c r="Q28" i="126"/>
  <c r="P28" i="126"/>
  <c r="O28" i="126"/>
  <c r="J28" i="126"/>
  <c r="S28" i="126" s="1"/>
  <c r="N28" i="126"/>
  <c r="Q27" i="126"/>
  <c r="N27" i="126"/>
  <c r="O26" i="126"/>
  <c r="J26" i="126"/>
  <c r="S26" i="126" s="1"/>
  <c r="N26" i="126"/>
  <c r="Q25" i="126"/>
  <c r="O25" i="126"/>
  <c r="N25" i="126"/>
  <c r="P24" i="126"/>
  <c r="O24" i="126"/>
  <c r="J24" i="126"/>
  <c r="S24" i="126" s="1"/>
  <c r="Q23" i="126"/>
  <c r="O23" i="126"/>
  <c r="N23" i="126"/>
  <c r="P22" i="126"/>
  <c r="J22" i="126"/>
  <c r="S22" i="126" s="1"/>
  <c r="N22" i="126"/>
  <c r="N21" i="126"/>
  <c r="Q21" i="126"/>
  <c r="O21" i="126"/>
  <c r="Q20" i="126"/>
  <c r="P20" i="126"/>
  <c r="O20" i="126"/>
  <c r="J20" i="126"/>
  <c r="S20" i="126" s="1"/>
  <c r="N20" i="126"/>
  <c r="N19" i="126"/>
  <c r="Q19" i="126"/>
  <c r="Q18" i="126"/>
  <c r="P18" i="126"/>
  <c r="O18" i="126"/>
  <c r="J18" i="126"/>
  <c r="S18" i="126" s="1"/>
  <c r="N18" i="126"/>
  <c r="N17" i="126"/>
  <c r="Q17" i="126"/>
  <c r="J17" i="126"/>
  <c r="S17" i="126" s="1"/>
  <c r="O17" i="126"/>
  <c r="P16" i="126"/>
  <c r="O16" i="126"/>
  <c r="J16" i="126"/>
  <c r="N15" i="126"/>
  <c r="Q15" i="126"/>
  <c r="O15" i="126"/>
  <c r="Q14" i="126"/>
  <c r="P14" i="126"/>
  <c r="J14" i="126"/>
  <c r="S14" i="126" s="1"/>
  <c r="N14" i="126"/>
  <c r="N13" i="126"/>
  <c r="Q13" i="126"/>
  <c r="J13" i="126"/>
  <c r="S13" i="126" s="1"/>
  <c r="O13" i="126"/>
  <c r="Q12" i="126"/>
  <c r="P12" i="126"/>
  <c r="O12" i="126"/>
  <c r="J12" i="126"/>
  <c r="N12" i="126"/>
  <c r="Q11" i="126"/>
  <c r="N11" i="126"/>
  <c r="P10" i="126"/>
  <c r="O10" i="126"/>
  <c r="J10" i="126"/>
  <c r="S10" i="126" s="1"/>
  <c r="N10" i="126"/>
  <c r="N9" i="126"/>
  <c r="Q9" i="126"/>
  <c r="O9" i="126"/>
  <c r="P8" i="126"/>
  <c r="O8" i="126"/>
  <c r="J8" i="126"/>
  <c r="Q7" i="126"/>
  <c r="O7" i="126"/>
  <c r="N7" i="126"/>
  <c r="P6" i="126"/>
  <c r="R64" i="126" l="1"/>
  <c r="R66" i="126"/>
  <c r="R37" i="126"/>
  <c r="R48" i="126"/>
  <c r="R50" i="126"/>
  <c r="R83" i="126"/>
  <c r="S12" i="126"/>
  <c r="S16" i="126"/>
  <c r="P46" i="126"/>
  <c r="Q46" i="126"/>
  <c r="S8" i="126"/>
  <c r="P25" i="126"/>
  <c r="R25" i="126" s="1"/>
  <c r="P34" i="126"/>
  <c r="Q34" i="126"/>
  <c r="O37" i="126"/>
  <c r="Q43" i="126"/>
  <c r="P43" i="126"/>
  <c r="O54" i="126"/>
  <c r="P55" i="126"/>
  <c r="Q55" i="126"/>
  <c r="P67" i="126"/>
  <c r="R67" i="126" s="1"/>
  <c r="P75" i="126"/>
  <c r="R75" i="126" s="1"/>
  <c r="P85" i="126"/>
  <c r="Q85" i="126"/>
  <c r="Q6" i="126"/>
  <c r="J9" i="126"/>
  <c r="S9" i="126" s="1"/>
  <c r="Q10" i="126"/>
  <c r="R10" i="126" s="1"/>
  <c r="R14" i="126"/>
  <c r="N16" i="126"/>
  <c r="R18" i="126"/>
  <c r="J21" i="126"/>
  <c r="S21" i="126" s="1"/>
  <c r="Q22" i="126"/>
  <c r="R22" i="126" s="1"/>
  <c r="O29" i="126"/>
  <c r="J31" i="126"/>
  <c r="S31" i="126" s="1"/>
  <c r="N35" i="126"/>
  <c r="O40" i="126"/>
  <c r="O41" i="126"/>
  <c r="O50" i="126"/>
  <c r="R53" i="126"/>
  <c r="Q56" i="126"/>
  <c r="P56" i="126"/>
  <c r="J58" i="126"/>
  <c r="S58" i="126" s="1"/>
  <c r="P59" i="126"/>
  <c r="R59" i="126" s="1"/>
  <c r="N64" i="126"/>
  <c r="N73" i="126"/>
  <c r="O82" i="126"/>
  <c r="P92" i="126"/>
  <c r="Q92" i="126"/>
  <c r="P100" i="126"/>
  <c r="Q100" i="126"/>
  <c r="P26" i="126"/>
  <c r="Q26" i="126"/>
  <c r="S54" i="126"/>
  <c r="P57" i="126"/>
  <c r="Q57" i="126"/>
  <c r="P68" i="126"/>
  <c r="Q68" i="126"/>
  <c r="P76" i="126"/>
  <c r="Q76" i="126"/>
  <c r="O94" i="126"/>
  <c r="J94" i="126"/>
  <c r="S94" i="126" s="1"/>
  <c r="Q99" i="126"/>
  <c r="P99" i="126"/>
  <c r="O102" i="126"/>
  <c r="J102" i="126"/>
  <c r="S102" i="126" s="1"/>
  <c r="E107" i="126"/>
  <c r="N8" i="126"/>
  <c r="N24" i="126"/>
  <c r="Q31" i="126"/>
  <c r="P31" i="126"/>
  <c r="N37" i="126"/>
  <c r="P38" i="126"/>
  <c r="Q38" i="126"/>
  <c r="P69" i="126"/>
  <c r="Q69" i="126"/>
  <c r="P77" i="126"/>
  <c r="Q77" i="126"/>
  <c r="N80" i="126"/>
  <c r="P96" i="126"/>
  <c r="Q96" i="126"/>
  <c r="P104" i="126"/>
  <c r="Q104" i="126"/>
  <c r="F107" i="126"/>
  <c r="S32" i="126"/>
  <c r="O33" i="126"/>
  <c r="O35" i="126"/>
  <c r="R40" i="126"/>
  <c r="O44" i="126"/>
  <c r="S45" i="126"/>
  <c r="S47" i="126"/>
  <c r="O52" i="126"/>
  <c r="S53" i="126"/>
  <c r="O64" i="126"/>
  <c r="S65" i="126"/>
  <c r="O66" i="126"/>
  <c r="O70" i="126"/>
  <c r="O77" i="126"/>
  <c r="Q84" i="126"/>
  <c r="R84" i="126" s="1"/>
  <c r="O86" i="126"/>
  <c r="O93" i="126"/>
  <c r="Q93" i="126"/>
  <c r="N95" i="126"/>
  <c r="O97" i="126"/>
  <c r="Q97" i="126"/>
  <c r="R97" i="126" s="1"/>
  <c r="O101" i="126"/>
  <c r="Q101" i="126"/>
  <c r="R101" i="126" s="1"/>
  <c r="N103" i="126"/>
  <c r="O105" i="126"/>
  <c r="R93" i="126"/>
  <c r="O6" i="126"/>
  <c r="Q8" i="126"/>
  <c r="R8" i="126" s="1"/>
  <c r="O11" i="126"/>
  <c r="R12" i="126"/>
  <c r="O14" i="126"/>
  <c r="Q16" i="126"/>
  <c r="R16" i="126" s="1"/>
  <c r="O19" i="126"/>
  <c r="R20" i="126"/>
  <c r="O22" i="126"/>
  <c r="O27" i="126"/>
  <c r="R28" i="126"/>
  <c r="Q30" i="126"/>
  <c r="R30" i="126" s="1"/>
  <c r="O32" i="126"/>
  <c r="J33" i="126"/>
  <c r="S33" i="126" s="1"/>
  <c r="J35" i="126"/>
  <c r="S35" i="126" s="1"/>
  <c r="Q36" i="126"/>
  <c r="J40" i="126"/>
  <c r="S40" i="126" s="1"/>
  <c r="S44" i="126"/>
  <c r="O45" i="126"/>
  <c r="O47" i="126"/>
  <c r="J52" i="126"/>
  <c r="S52" i="126" s="1"/>
  <c r="O57" i="126"/>
  <c r="O60" i="126"/>
  <c r="J64" i="126"/>
  <c r="S64" i="126" s="1"/>
  <c r="J66" i="126"/>
  <c r="S66" i="126" s="1"/>
  <c r="O69" i="126"/>
  <c r="O78" i="126"/>
  <c r="J82" i="126"/>
  <c r="S82" i="126" s="1"/>
  <c r="O85" i="126"/>
  <c r="R89" i="126"/>
  <c r="O90" i="126"/>
  <c r="O98" i="126"/>
  <c r="J105" i="126"/>
  <c r="S105" i="126" s="1"/>
  <c r="R6" i="126"/>
  <c r="P15" i="126"/>
  <c r="R15" i="126" s="1"/>
  <c r="P19" i="126"/>
  <c r="R19" i="126" s="1"/>
  <c r="Q71" i="126"/>
  <c r="P71" i="126"/>
  <c r="Q79" i="126"/>
  <c r="P79" i="126"/>
  <c r="I107" i="126"/>
  <c r="J7" i="126"/>
  <c r="S7" i="126" s="1"/>
  <c r="P9" i="126"/>
  <c r="R9" i="126" s="1"/>
  <c r="J11" i="126"/>
  <c r="S11" i="126" s="1"/>
  <c r="P13" i="126"/>
  <c r="R13" i="126" s="1"/>
  <c r="J15" i="126"/>
  <c r="S15" i="126" s="1"/>
  <c r="P17" i="126"/>
  <c r="R17" i="126" s="1"/>
  <c r="J19" i="126"/>
  <c r="S19" i="126" s="1"/>
  <c r="P21" i="126"/>
  <c r="R21" i="126" s="1"/>
  <c r="J23" i="126"/>
  <c r="S23" i="126" s="1"/>
  <c r="J27" i="126"/>
  <c r="S27" i="126" s="1"/>
  <c r="J29" i="126"/>
  <c r="S29" i="126" s="1"/>
  <c r="J39" i="126"/>
  <c r="S39" i="126" s="1"/>
  <c r="J41" i="126"/>
  <c r="S41" i="126" s="1"/>
  <c r="R51" i="126"/>
  <c r="J59" i="126"/>
  <c r="S59" i="126" s="1"/>
  <c r="O59" i="126"/>
  <c r="J60" i="126"/>
  <c r="S60" i="126" s="1"/>
  <c r="P91" i="126"/>
  <c r="R91" i="126" s="1"/>
  <c r="Q95" i="126"/>
  <c r="P95" i="126"/>
  <c r="R95" i="126" s="1"/>
  <c r="D107" i="126"/>
  <c r="J6" i="126"/>
  <c r="N6" i="126"/>
  <c r="Q24" i="126"/>
  <c r="R24" i="126" s="1"/>
  <c r="J25" i="126"/>
  <c r="S25" i="126" s="1"/>
  <c r="P27" i="126"/>
  <c r="R27" i="126" s="1"/>
  <c r="P29" i="126"/>
  <c r="R29" i="126" s="1"/>
  <c r="N30" i="126"/>
  <c r="R32" i="126"/>
  <c r="J37" i="126"/>
  <c r="S37" i="126" s="1"/>
  <c r="P39" i="126"/>
  <c r="R39" i="126" s="1"/>
  <c r="P41" i="126"/>
  <c r="R41" i="126" s="1"/>
  <c r="N42" i="126"/>
  <c r="R42" i="126"/>
  <c r="R44" i="126"/>
  <c r="J50" i="126"/>
  <c r="S50" i="126" s="1"/>
  <c r="R52" i="126"/>
  <c r="Q60" i="126"/>
  <c r="R60" i="126" s="1"/>
  <c r="Q63" i="126"/>
  <c r="R63" i="126" s="1"/>
  <c r="R65" i="126"/>
  <c r="J67" i="126"/>
  <c r="S67" i="126" s="1"/>
  <c r="O67" i="126"/>
  <c r="R68" i="126"/>
  <c r="J72" i="126"/>
  <c r="S72" i="126" s="1"/>
  <c r="O72" i="126"/>
  <c r="J75" i="126"/>
  <c r="S75" i="126" s="1"/>
  <c r="O75" i="126"/>
  <c r="J80" i="126"/>
  <c r="S80" i="126" s="1"/>
  <c r="O80" i="126"/>
  <c r="J83" i="126"/>
  <c r="S83" i="126" s="1"/>
  <c r="O83" i="126"/>
  <c r="P7" i="126"/>
  <c r="R7" i="126" s="1"/>
  <c r="P11" i="126"/>
  <c r="R11" i="126" s="1"/>
  <c r="P23" i="126"/>
  <c r="R23" i="126" s="1"/>
  <c r="P35" i="126"/>
  <c r="R35" i="126" s="1"/>
  <c r="N36" i="126"/>
  <c r="R36" i="126"/>
  <c r="P47" i="126"/>
  <c r="R47" i="126" s="1"/>
  <c r="R49" i="126"/>
  <c r="J51" i="126"/>
  <c r="S51" i="126" s="1"/>
  <c r="O51" i="126"/>
  <c r="N54" i="126"/>
  <c r="P58" i="126"/>
  <c r="R58" i="126" s="1"/>
  <c r="S61" i="126"/>
  <c r="R72" i="126"/>
  <c r="R73" i="126"/>
  <c r="R80" i="126"/>
  <c r="R81" i="126"/>
  <c r="J87" i="126"/>
  <c r="S87" i="126" s="1"/>
  <c r="O87" i="126"/>
  <c r="P88" i="126"/>
  <c r="Q88" i="126"/>
  <c r="O48" i="126"/>
  <c r="N51" i="126"/>
  <c r="P54" i="126"/>
  <c r="R54" i="126" s="1"/>
  <c r="S56" i="126"/>
  <c r="N67" i="126"/>
  <c r="J68" i="126"/>
  <c r="S68" i="126" s="1"/>
  <c r="O68" i="126"/>
  <c r="S73" i="126"/>
  <c r="N83" i="126"/>
  <c r="J84" i="126"/>
  <c r="S84" i="126" s="1"/>
  <c r="O84" i="126"/>
  <c r="S48" i="126"/>
  <c r="N59" i="126"/>
  <c r="P62" i="126"/>
  <c r="R62" i="126" s="1"/>
  <c r="N75" i="126"/>
  <c r="J76" i="126"/>
  <c r="S76" i="126" s="1"/>
  <c r="O76" i="126"/>
  <c r="S81" i="126"/>
  <c r="O88" i="126"/>
  <c r="J88" i="126"/>
  <c r="S88" i="126" s="1"/>
  <c r="J92" i="126"/>
  <c r="S92" i="126" s="1"/>
  <c r="O92" i="126"/>
  <c r="O99" i="126"/>
  <c r="J99" i="126"/>
  <c r="S99" i="126" s="1"/>
  <c r="Q103" i="126"/>
  <c r="P103" i="126"/>
  <c r="Q70" i="126"/>
  <c r="R70" i="126" s="1"/>
  <c r="Q74" i="126"/>
  <c r="R74" i="126" s="1"/>
  <c r="Q78" i="126"/>
  <c r="R78" i="126" s="1"/>
  <c r="Q82" i="126"/>
  <c r="R82" i="126" s="1"/>
  <c r="N87" i="126"/>
  <c r="S89" i="126"/>
  <c r="O91" i="126"/>
  <c r="P86" i="126"/>
  <c r="R86" i="126" s="1"/>
  <c r="R87" i="126"/>
  <c r="O95" i="126"/>
  <c r="J95" i="126"/>
  <c r="S95" i="126" s="1"/>
  <c r="R96" i="126"/>
  <c r="O103" i="126"/>
  <c r="J103" i="126"/>
  <c r="S103" i="126" s="1"/>
  <c r="Q90" i="126"/>
  <c r="R90" i="126" s="1"/>
  <c r="Q94" i="126"/>
  <c r="R94" i="126" s="1"/>
  <c r="O96" i="126"/>
  <c r="Q98" i="126"/>
  <c r="R98" i="126" s="1"/>
  <c r="O100" i="126"/>
  <c r="Q102" i="126"/>
  <c r="R102" i="126" s="1"/>
  <c r="O104" i="126"/>
  <c r="P105" i="126"/>
  <c r="R105" i="126" s="1"/>
  <c r="R76" i="126" l="1"/>
  <c r="R55" i="126"/>
  <c r="R57" i="126"/>
  <c r="R77" i="126"/>
  <c r="R56" i="126"/>
  <c r="R38" i="126"/>
  <c r="R104" i="126"/>
  <c r="R69" i="126"/>
  <c r="R31" i="126"/>
  <c r="O107" i="126"/>
  <c r="O108" i="126" s="1"/>
  <c r="R88" i="126"/>
  <c r="R99" i="126"/>
  <c r="R26" i="126"/>
  <c r="R92" i="126"/>
  <c r="R85" i="126"/>
  <c r="R71" i="126"/>
  <c r="R100" i="126"/>
  <c r="R43" i="126"/>
  <c r="R34" i="126"/>
  <c r="R46" i="126"/>
  <c r="N107" i="126"/>
  <c r="N108" i="126" s="1"/>
  <c r="R103" i="126"/>
  <c r="R79" i="126"/>
  <c r="Q107" i="126"/>
  <c r="Q108" i="126" s="1"/>
  <c r="P107" i="126"/>
  <c r="P108" i="126" s="1"/>
  <c r="J107" i="126"/>
  <c r="S6" i="126"/>
  <c r="S107" i="126" s="1"/>
  <c r="R107" i="126" l="1"/>
  <c r="R108" i="126" s="1"/>
  <c r="S108" i="126"/>
  <c r="AM42" i="79" l="1"/>
  <c r="AN42" i="79"/>
  <c r="AL42" i="79"/>
  <c r="AJ42" i="79"/>
  <c r="AK42" i="79" s="1"/>
  <c r="AI42" i="79"/>
  <c r="AG42" i="79"/>
  <c r="AH42" i="79" s="1"/>
  <c r="AF42" i="79"/>
  <c r="AG9" i="79"/>
  <c r="AG4" i="79"/>
  <c r="AG3" i="79"/>
  <c r="X42" i="79"/>
  <c r="Y42" i="79"/>
  <c r="W42" i="79"/>
  <c r="U42" i="79"/>
  <c r="V42" i="79" s="1"/>
  <c r="T42" i="79"/>
  <c r="R42" i="79"/>
  <c r="S42" i="79"/>
  <c r="Q42" i="79"/>
  <c r="R9" i="79"/>
  <c r="R4" i="79"/>
  <c r="R3" i="79"/>
  <c r="C9" i="79"/>
  <c r="A36" i="79" s="1"/>
  <c r="AO36" i="79" s="1"/>
  <c r="C4" i="79"/>
  <c r="C3" i="79"/>
  <c r="Q105" i="124"/>
  <c r="P105" i="124"/>
  <c r="R105" i="124" s="1"/>
  <c r="O105" i="124"/>
  <c r="N105" i="124"/>
  <c r="Q104" i="124"/>
  <c r="P104" i="124"/>
  <c r="O104" i="124"/>
  <c r="N104" i="124"/>
  <c r="S103" i="124"/>
  <c r="Q103" i="124"/>
  <c r="P103" i="124"/>
  <c r="R103" i="124" s="1"/>
  <c r="O103" i="124"/>
  <c r="N103" i="124"/>
  <c r="Q102" i="124"/>
  <c r="P102" i="124"/>
  <c r="O102" i="124"/>
  <c r="N102" i="124"/>
  <c r="S101" i="124"/>
  <c r="Q101" i="124"/>
  <c r="P101" i="124"/>
  <c r="R101" i="124" s="1"/>
  <c r="O101" i="124"/>
  <c r="N101" i="124"/>
  <c r="Q100" i="124"/>
  <c r="P100" i="124"/>
  <c r="R100" i="124" s="1"/>
  <c r="O100" i="124"/>
  <c r="N100" i="124"/>
  <c r="Q99" i="124"/>
  <c r="P99" i="124"/>
  <c r="R99" i="124" s="1"/>
  <c r="O99" i="124"/>
  <c r="N99" i="124"/>
  <c r="Q98" i="124"/>
  <c r="P98" i="124"/>
  <c r="R98" i="124" s="1"/>
  <c r="O98" i="124"/>
  <c r="N98" i="124"/>
  <c r="Q97" i="124"/>
  <c r="P97" i="124"/>
  <c r="R97" i="124" s="1"/>
  <c r="O97" i="124"/>
  <c r="N97" i="124"/>
  <c r="Q96" i="124"/>
  <c r="P96" i="124"/>
  <c r="O96" i="124"/>
  <c r="N96" i="124"/>
  <c r="S95" i="124"/>
  <c r="Q95" i="124"/>
  <c r="P95" i="124"/>
  <c r="R95" i="124" s="1"/>
  <c r="O95" i="124"/>
  <c r="N95" i="124"/>
  <c r="Q94" i="124"/>
  <c r="P94" i="124"/>
  <c r="O94" i="124"/>
  <c r="N94" i="124"/>
  <c r="S93" i="124"/>
  <c r="Q93" i="124"/>
  <c r="P93" i="124"/>
  <c r="R93" i="124" s="1"/>
  <c r="O93" i="124"/>
  <c r="N93" i="124"/>
  <c r="Q92" i="124"/>
  <c r="P92" i="124"/>
  <c r="R92" i="124" s="1"/>
  <c r="O92" i="124"/>
  <c r="N92" i="124"/>
  <c r="Q91" i="124"/>
  <c r="P91" i="124"/>
  <c r="R91" i="124" s="1"/>
  <c r="O91" i="124"/>
  <c r="N91" i="124"/>
  <c r="Q90" i="124"/>
  <c r="P90" i="124"/>
  <c r="R90" i="124" s="1"/>
  <c r="O90" i="124"/>
  <c r="N90" i="124"/>
  <c r="Q89" i="124"/>
  <c r="P89" i="124"/>
  <c r="R89" i="124" s="1"/>
  <c r="O89" i="124"/>
  <c r="N89" i="124"/>
  <c r="Q88" i="124"/>
  <c r="P88" i="124"/>
  <c r="O88" i="124"/>
  <c r="N88" i="124"/>
  <c r="S87" i="124"/>
  <c r="Q87" i="124"/>
  <c r="P87" i="124"/>
  <c r="R87" i="124" s="1"/>
  <c r="O87" i="124"/>
  <c r="N87" i="124"/>
  <c r="Q86" i="124"/>
  <c r="P86" i="124"/>
  <c r="O86" i="124"/>
  <c r="N86" i="124"/>
  <c r="S85" i="124"/>
  <c r="Q85" i="124"/>
  <c r="P85" i="124"/>
  <c r="R85" i="124" s="1"/>
  <c r="O85" i="124"/>
  <c r="N85" i="124"/>
  <c r="Q84" i="124"/>
  <c r="P84" i="124"/>
  <c r="R84" i="124" s="1"/>
  <c r="O84" i="124"/>
  <c r="N84" i="124"/>
  <c r="Q83" i="124"/>
  <c r="P83" i="124"/>
  <c r="R83" i="124" s="1"/>
  <c r="O83" i="124"/>
  <c r="N83" i="124"/>
  <c r="Q82" i="124"/>
  <c r="P82" i="124"/>
  <c r="R82" i="124" s="1"/>
  <c r="O82" i="124"/>
  <c r="N82" i="124"/>
  <c r="Q81" i="124"/>
  <c r="P81" i="124"/>
  <c r="R81" i="124" s="1"/>
  <c r="O81" i="124"/>
  <c r="N81" i="124"/>
  <c r="Q80" i="124"/>
  <c r="P80" i="124"/>
  <c r="O80" i="124"/>
  <c r="N80" i="124"/>
  <c r="S79" i="124"/>
  <c r="Q79" i="124"/>
  <c r="P79" i="124"/>
  <c r="R79" i="124" s="1"/>
  <c r="O79" i="124"/>
  <c r="N79" i="124"/>
  <c r="Q78" i="124"/>
  <c r="P78" i="124"/>
  <c r="O78" i="124"/>
  <c r="N78" i="124"/>
  <c r="S77" i="124"/>
  <c r="Q77" i="124"/>
  <c r="P77" i="124"/>
  <c r="R77" i="124" s="1"/>
  <c r="O77" i="124"/>
  <c r="N77" i="124"/>
  <c r="Q76" i="124"/>
  <c r="P76" i="124"/>
  <c r="R76" i="124" s="1"/>
  <c r="O76" i="124"/>
  <c r="N76" i="124"/>
  <c r="Q75" i="124"/>
  <c r="P75" i="124"/>
  <c r="R75" i="124" s="1"/>
  <c r="O75" i="124"/>
  <c r="N75" i="124"/>
  <c r="Q74" i="124"/>
  <c r="P74" i="124"/>
  <c r="R74" i="124" s="1"/>
  <c r="O74" i="124"/>
  <c r="N74" i="124"/>
  <c r="Q73" i="124"/>
  <c r="P73" i="124"/>
  <c r="R73" i="124" s="1"/>
  <c r="O73" i="124"/>
  <c r="N73" i="124"/>
  <c r="Q72" i="124"/>
  <c r="P72" i="124"/>
  <c r="O72" i="124"/>
  <c r="N72" i="124"/>
  <c r="S71" i="124"/>
  <c r="Q71" i="124"/>
  <c r="P71" i="124"/>
  <c r="R71" i="124" s="1"/>
  <c r="O71" i="124"/>
  <c r="N71" i="124"/>
  <c r="Q70" i="124"/>
  <c r="P70" i="124"/>
  <c r="O70" i="124"/>
  <c r="N70" i="124"/>
  <c r="Q69" i="124"/>
  <c r="P69" i="124"/>
  <c r="R69" i="124" s="1"/>
  <c r="O69" i="124"/>
  <c r="N69" i="124"/>
  <c r="Q68" i="124"/>
  <c r="P68" i="124"/>
  <c r="O68" i="124"/>
  <c r="N68" i="124"/>
  <c r="Q67" i="124"/>
  <c r="P67" i="124"/>
  <c r="R67" i="124" s="1"/>
  <c r="O67" i="124"/>
  <c r="N67" i="124"/>
  <c r="Q66" i="124"/>
  <c r="P66" i="124"/>
  <c r="R66" i="124" s="1"/>
  <c r="O66" i="124"/>
  <c r="N66" i="124"/>
  <c r="Q65" i="124"/>
  <c r="P65" i="124"/>
  <c r="R65" i="124" s="1"/>
  <c r="O65" i="124"/>
  <c r="N65" i="124"/>
  <c r="Q64" i="124"/>
  <c r="P64" i="124"/>
  <c r="O64" i="124"/>
  <c r="N64" i="124"/>
  <c r="S63" i="124"/>
  <c r="Q63" i="124"/>
  <c r="P63" i="124"/>
  <c r="R63" i="124" s="1"/>
  <c r="O63" i="124"/>
  <c r="N63" i="124"/>
  <c r="Q62" i="124"/>
  <c r="P62" i="124"/>
  <c r="O62" i="124"/>
  <c r="N62" i="124"/>
  <c r="S61" i="124"/>
  <c r="Q61" i="124"/>
  <c r="P61" i="124"/>
  <c r="R61" i="124" s="1"/>
  <c r="O61" i="124"/>
  <c r="N61" i="124"/>
  <c r="Q60" i="124"/>
  <c r="P60" i="124"/>
  <c r="O60" i="124"/>
  <c r="N60" i="124"/>
  <c r="Q59" i="124"/>
  <c r="P59" i="124"/>
  <c r="R59" i="124" s="1"/>
  <c r="O59" i="124"/>
  <c r="N59" i="124"/>
  <c r="Q58" i="124"/>
  <c r="P58" i="124"/>
  <c r="R58" i="124" s="1"/>
  <c r="O58" i="124"/>
  <c r="N58" i="124"/>
  <c r="Q57" i="124"/>
  <c r="P57" i="124"/>
  <c r="R57" i="124" s="1"/>
  <c r="O57" i="124"/>
  <c r="N57" i="124"/>
  <c r="Q56" i="124"/>
  <c r="P56" i="124"/>
  <c r="O56" i="124"/>
  <c r="N56" i="124"/>
  <c r="Q55" i="124"/>
  <c r="P55" i="124"/>
  <c r="R55" i="124" s="1"/>
  <c r="O55" i="124"/>
  <c r="N55" i="124"/>
  <c r="Q54" i="124"/>
  <c r="P54" i="124"/>
  <c r="O54" i="124"/>
  <c r="N54" i="124"/>
  <c r="S53" i="124"/>
  <c r="Q53" i="124"/>
  <c r="P53" i="124"/>
  <c r="R53" i="124" s="1"/>
  <c r="O53" i="124"/>
  <c r="N53" i="124"/>
  <c r="Q52" i="124"/>
  <c r="P52" i="124"/>
  <c r="O52" i="124"/>
  <c r="N52" i="124"/>
  <c r="Q51" i="124"/>
  <c r="P51" i="124"/>
  <c r="R51" i="124" s="1"/>
  <c r="O51" i="124"/>
  <c r="N51" i="124"/>
  <c r="Q50" i="124"/>
  <c r="P50" i="124"/>
  <c r="R50" i="124" s="1"/>
  <c r="O50" i="124"/>
  <c r="N50" i="124"/>
  <c r="Q49" i="124"/>
  <c r="P49" i="124"/>
  <c r="R49" i="124" s="1"/>
  <c r="O49" i="124"/>
  <c r="N49" i="124"/>
  <c r="Q48" i="124"/>
  <c r="P48" i="124"/>
  <c r="O48" i="124"/>
  <c r="N48" i="124"/>
  <c r="S47" i="124"/>
  <c r="Q47" i="124"/>
  <c r="P47" i="124"/>
  <c r="R47" i="124" s="1"/>
  <c r="O47" i="124"/>
  <c r="N47" i="124"/>
  <c r="Q46" i="124"/>
  <c r="P46" i="124"/>
  <c r="O46" i="124"/>
  <c r="N46" i="124"/>
  <c r="S45" i="124"/>
  <c r="Q45" i="124"/>
  <c r="P45" i="124"/>
  <c r="R45" i="124" s="1"/>
  <c r="O45" i="124"/>
  <c r="N45" i="124"/>
  <c r="Q44" i="124"/>
  <c r="P44" i="124"/>
  <c r="O44" i="124"/>
  <c r="N44" i="124"/>
  <c r="Q43" i="124"/>
  <c r="P43" i="124"/>
  <c r="R43" i="124" s="1"/>
  <c r="O43" i="124"/>
  <c r="N43" i="124"/>
  <c r="Q42" i="124"/>
  <c r="P42" i="124"/>
  <c r="R42" i="124" s="1"/>
  <c r="O42" i="124"/>
  <c r="N42" i="124"/>
  <c r="Q41" i="124"/>
  <c r="P41" i="124"/>
  <c r="R41" i="124" s="1"/>
  <c r="O41" i="124"/>
  <c r="N41" i="124"/>
  <c r="Q40" i="124"/>
  <c r="P40" i="124"/>
  <c r="O40" i="124"/>
  <c r="N40" i="124"/>
  <c r="Q39" i="124"/>
  <c r="P39" i="124"/>
  <c r="R39" i="124" s="1"/>
  <c r="O39" i="124"/>
  <c r="N39" i="124"/>
  <c r="Q38" i="124"/>
  <c r="P38" i="124"/>
  <c r="O38" i="124"/>
  <c r="N38" i="124"/>
  <c r="S37" i="124"/>
  <c r="Q37" i="124"/>
  <c r="P37" i="124"/>
  <c r="R37" i="124" s="1"/>
  <c r="O37" i="124"/>
  <c r="N37" i="124"/>
  <c r="Q36" i="124"/>
  <c r="P36" i="124"/>
  <c r="O36" i="124"/>
  <c r="N36" i="124"/>
  <c r="Q35" i="124"/>
  <c r="P35" i="124"/>
  <c r="R35" i="124" s="1"/>
  <c r="O35" i="124"/>
  <c r="N35" i="124"/>
  <c r="Q34" i="124"/>
  <c r="P34" i="124"/>
  <c r="R34" i="124" s="1"/>
  <c r="O34" i="124"/>
  <c r="N34" i="124"/>
  <c r="Q33" i="124"/>
  <c r="P33" i="124"/>
  <c r="R33" i="124" s="1"/>
  <c r="O33" i="124"/>
  <c r="N33" i="124"/>
  <c r="Q32" i="124"/>
  <c r="P32" i="124"/>
  <c r="O32" i="124"/>
  <c r="N32" i="124"/>
  <c r="S31" i="124"/>
  <c r="Q31" i="124"/>
  <c r="P31" i="124"/>
  <c r="R31" i="124" s="1"/>
  <c r="O31" i="124"/>
  <c r="N31" i="124"/>
  <c r="Q30" i="124"/>
  <c r="P30" i="124"/>
  <c r="O30" i="124"/>
  <c r="N30" i="124"/>
  <c r="S29" i="124"/>
  <c r="Q29" i="124"/>
  <c r="P29" i="124"/>
  <c r="R29" i="124" s="1"/>
  <c r="O29" i="124"/>
  <c r="N29" i="124"/>
  <c r="Q28" i="124"/>
  <c r="P28" i="124"/>
  <c r="O28" i="124"/>
  <c r="N28" i="124"/>
  <c r="Q27" i="124"/>
  <c r="P27" i="124"/>
  <c r="R27" i="124" s="1"/>
  <c r="O27" i="124"/>
  <c r="O107" i="124" s="1"/>
  <c r="O108" i="124" s="1"/>
  <c r="N27" i="124"/>
  <c r="Q26" i="124"/>
  <c r="P26" i="124"/>
  <c r="R26" i="124" s="1"/>
  <c r="O26" i="124"/>
  <c r="N26" i="124"/>
  <c r="Q25" i="124"/>
  <c r="P25" i="124"/>
  <c r="R25" i="124" s="1"/>
  <c r="O25" i="124"/>
  <c r="N25" i="124"/>
  <c r="Q24" i="124"/>
  <c r="P24" i="124"/>
  <c r="O24" i="124"/>
  <c r="N24" i="124"/>
  <c r="Q23" i="124"/>
  <c r="P23" i="124"/>
  <c r="R23" i="124" s="1"/>
  <c r="O23" i="124"/>
  <c r="N23" i="124"/>
  <c r="Q22" i="124"/>
  <c r="P22" i="124"/>
  <c r="O22" i="124"/>
  <c r="N22" i="124"/>
  <c r="S21" i="124"/>
  <c r="Q21" i="124"/>
  <c r="P21" i="124"/>
  <c r="R21" i="124" s="1"/>
  <c r="O21" i="124"/>
  <c r="N21" i="124"/>
  <c r="Q20" i="124"/>
  <c r="P20" i="124"/>
  <c r="R20" i="124"/>
  <c r="O20" i="124"/>
  <c r="N20" i="124"/>
  <c r="R19" i="124"/>
  <c r="Q19" i="124"/>
  <c r="P19" i="124"/>
  <c r="O19" i="124"/>
  <c r="N19" i="124"/>
  <c r="Q18" i="124"/>
  <c r="P18" i="124"/>
  <c r="R18" i="124"/>
  <c r="O18" i="124"/>
  <c r="N18" i="124"/>
  <c r="R17" i="124"/>
  <c r="Q17" i="124"/>
  <c r="P17" i="124"/>
  <c r="O17" i="124"/>
  <c r="N17" i="124"/>
  <c r="Q16" i="124"/>
  <c r="P16" i="124"/>
  <c r="R16" i="124" s="1"/>
  <c r="O16" i="124"/>
  <c r="N16" i="124"/>
  <c r="Q15" i="124"/>
  <c r="P15" i="124"/>
  <c r="R15" i="124" s="1"/>
  <c r="O15" i="124"/>
  <c r="N15" i="124"/>
  <c r="Q14" i="124"/>
  <c r="P14" i="124"/>
  <c r="R14" i="124" s="1"/>
  <c r="O14" i="124"/>
  <c r="N14" i="124"/>
  <c r="S13" i="124"/>
  <c r="Q13" i="124"/>
  <c r="P13" i="124"/>
  <c r="R13" i="124" s="1"/>
  <c r="O13" i="124"/>
  <c r="N13" i="124"/>
  <c r="Q12" i="124"/>
  <c r="P12" i="124"/>
  <c r="R12" i="124"/>
  <c r="O12" i="124"/>
  <c r="N12" i="124"/>
  <c r="R11" i="124"/>
  <c r="Q11" i="124"/>
  <c r="P11" i="124"/>
  <c r="O11" i="124"/>
  <c r="N11" i="124"/>
  <c r="Q10" i="124"/>
  <c r="P10" i="124"/>
  <c r="R10" i="124" s="1"/>
  <c r="O10" i="124"/>
  <c r="N10" i="124"/>
  <c r="S9" i="124"/>
  <c r="R9" i="124"/>
  <c r="Q9" i="124"/>
  <c r="P9" i="124"/>
  <c r="O9" i="124"/>
  <c r="N9" i="124"/>
  <c r="Q8" i="124"/>
  <c r="P8" i="124"/>
  <c r="R8" i="124"/>
  <c r="O8" i="124"/>
  <c r="N8" i="124"/>
  <c r="R7" i="124"/>
  <c r="Q7" i="124"/>
  <c r="P7" i="124"/>
  <c r="O7" i="124"/>
  <c r="N7" i="124"/>
  <c r="Q6" i="124"/>
  <c r="P6" i="124"/>
  <c r="O6" i="124"/>
  <c r="N6" i="124"/>
  <c r="H107" i="124"/>
  <c r="G107" i="124"/>
  <c r="J104" i="124"/>
  <c r="S104" i="124" s="1"/>
  <c r="J103" i="124"/>
  <c r="J102" i="124"/>
  <c r="S102" i="124" s="1"/>
  <c r="J100" i="124"/>
  <c r="S100" i="124" s="1"/>
  <c r="J99" i="124"/>
  <c r="S99" i="124" s="1"/>
  <c r="J98" i="124"/>
  <c r="S98" i="124" s="1"/>
  <c r="J96" i="124"/>
  <c r="S96" i="124" s="1"/>
  <c r="J95" i="124"/>
  <c r="J94" i="124"/>
  <c r="S94" i="124" s="1"/>
  <c r="J92" i="124"/>
  <c r="S92" i="124" s="1"/>
  <c r="J91" i="124"/>
  <c r="S91" i="124" s="1"/>
  <c r="J90" i="124"/>
  <c r="S90" i="124" s="1"/>
  <c r="J88" i="124"/>
  <c r="S88" i="124" s="1"/>
  <c r="J87" i="124"/>
  <c r="J86" i="124"/>
  <c r="S86" i="124" s="1"/>
  <c r="J84" i="124"/>
  <c r="S84" i="124" s="1"/>
  <c r="J83" i="124"/>
  <c r="S83" i="124" s="1"/>
  <c r="J82" i="124"/>
  <c r="S82" i="124" s="1"/>
  <c r="J80" i="124"/>
  <c r="S80" i="124" s="1"/>
  <c r="J79" i="124"/>
  <c r="J78" i="124"/>
  <c r="S78" i="124" s="1"/>
  <c r="J76" i="124"/>
  <c r="S76" i="124" s="1"/>
  <c r="J75" i="124"/>
  <c r="S75" i="124" s="1"/>
  <c r="J74" i="124"/>
  <c r="S74" i="124" s="1"/>
  <c r="J72" i="124"/>
  <c r="S72" i="124" s="1"/>
  <c r="J70" i="124"/>
  <c r="S70" i="124" s="1"/>
  <c r="J68" i="124"/>
  <c r="S68" i="124" s="1"/>
  <c r="J66" i="124"/>
  <c r="S66" i="124" s="1"/>
  <c r="J65" i="124"/>
  <c r="S65" i="124" s="1"/>
  <c r="J64" i="124"/>
  <c r="S64" i="124" s="1"/>
  <c r="J63" i="124"/>
  <c r="J62" i="124"/>
  <c r="S62" i="124" s="1"/>
  <c r="J61" i="124"/>
  <c r="J60" i="124"/>
  <c r="S60" i="124" s="1"/>
  <c r="J59" i="124"/>
  <c r="S59" i="124" s="1"/>
  <c r="J58" i="124"/>
  <c r="S58" i="124" s="1"/>
  <c r="J57" i="124"/>
  <c r="S57" i="124" s="1"/>
  <c r="J56" i="124"/>
  <c r="S56" i="124" s="1"/>
  <c r="J55" i="124"/>
  <c r="S55" i="124" s="1"/>
  <c r="J54" i="124"/>
  <c r="S54" i="124" s="1"/>
  <c r="J53" i="124"/>
  <c r="J52" i="124"/>
  <c r="S52" i="124" s="1"/>
  <c r="J51" i="124"/>
  <c r="S51" i="124" s="1"/>
  <c r="J50" i="124"/>
  <c r="S50" i="124" s="1"/>
  <c r="J49" i="124"/>
  <c r="S49" i="124" s="1"/>
  <c r="J48" i="124"/>
  <c r="S48" i="124" s="1"/>
  <c r="J47" i="124"/>
  <c r="J46" i="124"/>
  <c r="S46" i="124" s="1"/>
  <c r="J45" i="124"/>
  <c r="J44" i="124"/>
  <c r="S44" i="124" s="1"/>
  <c r="J43" i="124"/>
  <c r="S43" i="124" s="1"/>
  <c r="J42" i="124"/>
  <c r="S42" i="124" s="1"/>
  <c r="J41" i="124"/>
  <c r="S41" i="124" s="1"/>
  <c r="J40" i="124"/>
  <c r="S40" i="124" s="1"/>
  <c r="J39" i="124"/>
  <c r="S39" i="124" s="1"/>
  <c r="J38" i="124"/>
  <c r="S38" i="124" s="1"/>
  <c r="J37" i="124"/>
  <c r="J36" i="124"/>
  <c r="S36" i="124" s="1"/>
  <c r="J35" i="124"/>
  <c r="S35" i="124" s="1"/>
  <c r="J34" i="124"/>
  <c r="S34" i="124" s="1"/>
  <c r="J33" i="124"/>
  <c r="S33" i="124" s="1"/>
  <c r="J32" i="124"/>
  <c r="S32" i="124" s="1"/>
  <c r="J31" i="124"/>
  <c r="J30" i="124"/>
  <c r="S30" i="124" s="1"/>
  <c r="J29" i="124"/>
  <c r="J28" i="124"/>
  <c r="S28" i="124" s="1"/>
  <c r="J27" i="124"/>
  <c r="S27" i="124" s="1"/>
  <c r="J26" i="124"/>
  <c r="S26" i="124" s="1"/>
  <c r="J25" i="124"/>
  <c r="S25" i="124" s="1"/>
  <c r="J24" i="124"/>
  <c r="S24" i="124" s="1"/>
  <c r="J23" i="124"/>
  <c r="S23" i="124" s="1"/>
  <c r="J22" i="124"/>
  <c r="S22" i="124" s="1"/>
  <c r="J21" i="124"/>
  <c r="J20" i="124"/>
  <c r="S20" i="124" s="1"/>
  <c r="J19" i="124"/>
  <c r="S19" i="124" s="1"/>
  <c r="J18" i="124"/>
  <c r="S18" i="124" s="1"/>
  <c r="J17" i="124"/>
  <c r="S17" i="124" s="1"/>
  <c r="J16" i="124"/>
  <c r="S16" i="124" s="1"/>
  <c r="J15" i="124"/>
  <c r="S15" i="124" s="1"/>
  <c r="J14" i="124"/>
  <c r="S14" i="124" s="1"/>
  <c r="J13" i="124"/>
  <c r="J12" i="124"/>
  <c r="S12" i="124" s="1"/>
  <c r="J11" i="124"/>
  <c r="S11" i="124" s="1"/>
  <c r="J10" i="124"/>
  <c r="S10" i="124" s="1"/>
  <c r="J9" i="124"/>
  <c r="J8" i="124"/>
  <c r="S8" i="124" s="1"/>
  <c r="J7" i="124"/>
  <c r="J6" i="124"/>
  <c r="S6" i="124" s="1"/>
  <c r="E107" i="124"/>
  <c r="I107" i="124"/>
  <c r="D107" i="124"/>
  <c r="J71" i="124"/>
  <c r="J77" i="124"/>
  <c r="J93" i="124"/>
  <c r="J73" i="124"/>
  <c r="S73" i="124" s="1"/>
  <c r="J89" i="124"/>
  <c r="S89" i="124" s="1"/>
  <c r="J105" i="124"/>
  <c r="S105" i="124" s="1"/>
  <c r="J67" i="124"/>
  <c r="S67" i="124" s="1"/>
  <c r="J85" i="124"/>
  <c r="J101" i="124"/>
  <c r="J69" i="124"/>
  <c r="S69" i="124" s="1"/>
  <c r="J81" i="124"/>
  <c r="S81" i="124" s="1"/>
  <c r="J97" i="124"/>
  <c r="S97" i="124" s="1"/>
  <c r="F107" i="124"/>
  <c r="H4" i="104"/>
  <c r="I7" i="104" s="1"/>
  <c r="F113" i="71"/>
  <c r="E113" i="71"/>
  <c r="F112" i="71"/>
  <c r="E112" i="71"/>
  <c r="F111" i="71"/>
  <c r="E111" i="71"/>
  <c r="F110" i="71"/>
  <c r="E110" i="71"/>
  <c r="F109" i="71"/>
  <c r="E109" i="71"/>
  <c r="F108" i="71"/>
  <c r="E108" i="71"/>
  <c r="F107" i="71"/>
  <c r="E107" i="71"/>
  <c r="F106" i="71"/>
  <c r="E106" i="71"/>
  <c r="F99" i="71"/>
  <c r="E99" i="71"/>
  <c r="F98" i="71"/>
  <c r="E98" i="71"/>
  <c r="F97" i="71"/>
  <c r="E97" i="71"/>
  <c r="F96" i="71"/>
  <c r="E96" i="71"/>
  <c r="F95" i="71"/>
  <c r="E95" i="71"/>
  <c r="F94" i="71"/>
  <c r="E94" i="71"/>
  <c r="F93" i="71"/>
  <c r="E93" i="71"/>
  <c r="F92" i="71"/>
  <c r="E92" i="71"/>
  <c r="F91" i="71"/>
  <c r="E91" i="71"/>
  <c r="J7" i="29"/>
  <c r="C114" i="71"/>
  <c r="B114" i="71"/>
  <c r="D112" i="71"/>
  <c r="D111" i="71"/>
  <c r="D110" i="71"/>
  <c r="D109" i="71"/>
  <c r="D113" i="71"/>
  <c r="D108" i="71"/>
  <c r="D107" i="71"/>
  <c r="D106" i="71"/>
  <c r="C100" i="71"/>
  <c r="B100" i="71"/>
  <c r="C85" i="71"/>
  <c r="B85" i="71"/>
  <c r="D99" i="71"/>
  <c r="D98" i="71"/>
  <c r="D97" i="71"/>
  <c r="D96" i="71"/>
  <c r="D95" i="71"/>
  <c r="D94" i="71"/>
  <c r="D93" i="71"/>
  <c r="D92" i="71"/>
  <c r="D91" i="71"/>
  <c r="N107" i="120"/>
  <c r="M107" i="120"/>
  <c r="L107" i="120"/>
  <c r="J107" i="120"/>
  <c r="I107" i="120"/>
  <c r="H107" i="120"/>
  <c r="G107" i="120"/>
  <c r="F107" i="120"/>
  <c r="E107" i="120"/>
  <c r="D107" i="120"/>
  <c r="B107" i="120"/>
  <c r="T105" i="120"/>
  <c r="R105" i="120"/>
  <c r="Q105" i="120"/>
  <c r="S105" i="120"/>
  <c r="U105" i="120" s="1"/>
  <c r="V105" i="120" s="1"/>
  <c r="P105" i="120"/>
  <c r="O105" i="120"/>
  <c r="K105" i="120"/>
  <c r="T104" i="120"/>
  <c r="R104" i="120"/>
  <c r="Q104" i="120"/>
  <c r="P104" i="120"/>
  <c r="O104" i="120"/>
  <c r="K104" i="120"/>
  <c r="T103" i="120"/>
  <c r="R103" i="120"/>
  <c r="S103" i="120" s="1"/>
  <c r="U103" i="120" s="1"/>
  <c r="Q103" i="120"/>
  <c r="P103" i="120"/>
  <c r="O103" i="120"/>
  <c r="K103" i="120"/>
  <c r="T102" i="120"/>
  <c r="R102" i="120"/>
  <c r="Q102" i="120"/>
  <c r="P102" i="120"/>
  <c r="O102" i="120"/>
  <c r="K102" i="120"/>
  <c r="T101" i="120"/>
  <c r="R101" i="120"/>
  <c r="Q101" i="120"/>
  <c r="P101" i="120"/>
  <c r="O101" i="120"/>
  <c r="K101" i="120"/>
  <c r="T100" i="120"/>
  <c r="R100" i="120"/>
  <c r="Q100" i="120"/>
  <c r="P100" i="120"/>
  <c r="O100" i="120"/>
  <c r="K100" i="120"/>
  <c r="T99" i="120"/>
  <c r="R99" i="120"/>
  <c r="Q99" i="120"/>
  <c r="P99" i="120"/>
  <c r="O99" i="120"/>
  <c r="K99" i="120"/>
  <c r="T98" i="120"/>
  <c r="R98" i="120"/>
  <c r="Q98" i="120"/>
  <c r="P98" i="120"/>
  <c r="V98" i="120" s="1"/>
  <c r="O98" i="120"/>
  <c r="K98" i="120"/>
  <c r="T97" i="120"/>
  <c r="R97" i="120"/>
  <c r="Q97" i="120"/>
  <c r="P97" i="120"/>
  <c r="O97" i="120"/>
  <c r="K97" i="120"/>
  <c r="T96" i="120"/>
  <c r="R96" i="120"/>
  <c r="Q96" i="120"/>
  <c r="P96" i="120"/>
  <c r="O96" i="120"/>
  <c r="K96" i="120"/>
  <c r="T95" i="120"/>
  <c r="R95" i="120"/>
  <c r="Q95" i="120"/>
  <c r="P95" i="120"/>
  <c r="O95" i="120"/>
  <c r="K95" i="120"/>
  <c r="T94" i="120"/>
  <c r="R94" i="120"/>
  <c r="Q94" i="120"/>
  <c r="P94" i="120"/>
  <c r="O94" i="120"/>
  <c r="K94" i="120"/>
  <c r="T93" i="120"/>
  <c r="R93" i="120"/>
  <c r="Q93" i="120"/>
  <c r="P93" i="120"/>
  <c r="O93" i="120"/>
  <c r="K93" i="120"/>
  <c r="T92" i="120"/>
  <c r="R92" i="120"/>
  <c r="Q92" i="120"/>
  <c r="P92" i="120"/>
  <c r="O92" i="120"/>
  <c r="K92" i="120"/>
  <c r="T91" i="120"/>
  <c r="R91" i="120"/>
  <c r="S91" i="120" s="1"/>
  <c r="U91" i="120" s="1"/>
  <c r="V91" i="120" s="1"/>
  <c r="Q91" i="120"/>
  <c r="P91" i="120"/>
  <c r="O91" i="120"/>
  <c r="K91" i="120"/>
  <c r="T90" i="120"/>
  <c r="R90" i="120"/>
  <c r="Q90" i="120"/>
  <c r="P90" i="120"/>
  <c r="O90" i="120"/>
  <c r="K90" i="120"/>
  <c r="T89" i="120"/>
  <c r="R89" i="120"/>
  <c r="Q89" i="120"/>
  <c r="P89" i="120"/>
  <c r="O89" i="120"/>
  <c r="K89" i="120"/>
  <c r="T88" i="120"/>
  <c r="U88" i="120" s="1"/>
  <c r="R88" i="120"/>
  <c r="Q88" i="120"/>
  <c r="P88" i="120"/>
  <c r="O88" i="120"/>
  <c r="K88" i="120"/>
  <c r="T87" i="120"/>
  <c r="R87" i="120"/>
  <c r="Q87" i="120"/>
  <c r="P87" i="120"/>
  <c r="O87" i="120"/>
  <c r="K87" i="120"/>
  <c r="T86" i="120"/>
  <c r="R86" i="120"/>
  <c r="Q86" i="120"/>
  <c r="P86" i="120"/>
  <c r="V86" i="120" s="1"/>
  <c r="O86" i="120"/>
  <c r="K86" i="120"/>
  <c r="T85" i="120"/>
  <c r="R85" i="120"/>
  <c r="Q85" i="120"/>
  <c r="P85" i="120"/>
  <c r="O85" i="120"/>
  <c r="K85" i="120"/>
  <c r="T84" i="120"/>
  <c r="R84" i="120"/>
  <c r="Q84" i="120"/>
  <c r="P84" i="120"/>
  <c r="O84" i="120"/>
  <c r="K84" i="120"/>
  <c r="T83" i="120"/>
  <c r="R83" i="120"/>
  <c r="Q83" i="120"/>
  <c r="P83" i="120"/>
  <c r="O83" i="120"/>
  <c r="K83" i="120"/>
  <c r="T82" i="120"/>
  <c r="R82" i="120"/>
  <c r="Q82" i="120"/>
  <c r="S82" i="120" s="1"/>
  <c r="P82" i="120"/>
  <c r="O82" i="120"/>
  <c r="K82" i="120"/>
  <c r="T81" i="120"/>
  <c r="R81" i="120"/>
  <c r="S81" i="120" s="1"/>
  <c r="U81" i="120" s="1"/>
  <c r="V81" i="120" s="1"/>
  <c r="Q81" i="120"/>
  <c r="P81" i="120"/>
  <c r="O81" i="120"/>
  <c r="K81" i="120"/>
  <c r="T80" i="120"/>
  <c r="R80" i="120"/>
  <c r="Q80" i="120"/>
  <c r="S80" i="120" s="1"/>
  <c r="P80" i="120"/>
  <c r="V80" i="120" s="1"/>
  <c r="O80" i="120"/>
  <c r="K80" i="120"/>
  <c r="T79" i="120"/>
  <c r="R79" i="120"/>
  <c r="S79" i="120" s="1"/>
  <c r="U79" i="120" s="1"/>
  <c r="V79" i="120" s="1"/>
  <c r="Q79" i="120"/>
  <c r="P79" i="120"/>
  <c r="O79" i="120"/>
  <c r="K79" i="120"/>
  <c r="T78" i="120"/>
  <c r="R78" i="120"/>
  <c r="S78" i="120"/>
  <c r="U78" i="120"/>
  <c r="V78" i="120" s="1"/>
  <c r="Q78" i="120"/>
  <c r="P78" i="120"/>
  <c r="O78" i="120"/>
  <c r="K78" i="120"/>
  <c r="T77" i="120"/>
  <c r="R77" i="120"/>
  <c r="Q77" i="120"/>
  <c r="S77" i="120"/>
  <c r="U77" i="120" s="1"/>
  <c r="V77" i="120" s="1"/>
  <c r="P77" i="120"/>
  <c r="O77" i="120"/>
  <c r="K77" i="120"/>
  <c r="T76" i="120"/>
  <c r="R76" i="120"/>
  <c r="Q76" i="120"/>
  <c r="S76" i="120" s="1"/>
  <c r="U76" i="120" s="1"/>
  <c r="P76" i="120"/>
  <c r="O76" i="120"/>
  <c r="K76" i="120"/>
  <c r="T75" i="120"/>
  <c r="R75" i="120"/>
  <c r="Q75" i="120"/>
  <c r="P75" i="120"/>
  <c r="O75" i="120"/>
  <c r="K75" i="120"/>
  <c r="T74" i="120"/>
  <c r="R74" i="120"/>
  <c r="Q74" i="120"/>
  <c r="P74" i="120"/>
  <c r="O74" i="120"/>
  <c r="K74" i="120"/>
  <c r="T73" i="120"/>
  <c r="R73" i="120"/>
  <c r="Q73" i="120"/>
  <c r="P73" i="120"/>
  <c r="O73" i="120"/>
  <c r="K73" i="120"/>
  <c r="T72" i="120"/>
  <c r="R72" i="120"/>
  <c r="Q72" i="120"/>
  <c r="S72" i="120" s="1"/>
  <c r="U72" i="120" s="1"/>
  <c r="V72" i="120" s="1"/>
  <c r="P72" i="120"/>
  <c r="O72" i="120"/>
  <c r="K72" i="120"/>
  <c r="T71" i="120"/>
  <c r="R71" i="120"/>
  <c r="Q71" i="120"/>
  <c r="P71" i="120"/>
  <c r="O71" i="120"/>
  <c r="K71" i="120"/>
  <c r="T70" i="120"/>
  <c r="R70" i="120"/>
  <c r="Q70" i="120"/>
  <c r="P70" i="120"/>
  <c r="O70" i="120"/>
  <c r="K70" i="120"/>
  <c r="T69" i="120"/>
  <c r="R69" i="120"/>
  <c r="S69" i="120" s="1"/>
  <c r="Q69" i="120"/>
  <c r="P69" i="120"/>
  <c r="O69" i="120"/>
  <c r="K69" i="120"/>
  <c r="T68" i="120"/>
  <c r="R68" i="120"/>
  <c r="Q68" i="120"/>
  <c r="S68" i="120" s="1"/>
  <c r="P68" i="120"/>
  <c r="O68" i="120"/>
  <c r="K68" i="120"/>
  <c r="T67" i="120"/>
  <c r="R67" i="120"/>
  <c r="Q67" i="120"/>
  <c r="P67" i="120"/>
  <c r="O67" i="120"/>
  <c r="K67" i="120"/>
  <c r="T66" i="120"/>
  <c r="R66" i="120"/>
  <c r="S66" i="120"/>
  <c r="U66" i="120" s="1"/>
  <c r="V66" i="120" s="1"/>
  <c r="Q66" i="120"/>
  <c r="P66" i="120"/>
  <c r="O66" i="120"/>
  <c r="K66" i="120"/>
  <c r="T65" i="120"/>
  <c r="R65" i="120"/>
  <c r="Q65" i="120"/>
  <c r="S65" i="120" s="1"/>
  <c r="U65" i="120" s="1"/>
  <c r="P65" i="120"/>
  <c r="O65" i="120"/>
  <c r="K65" i="120"/>
  <c r="T64" i="120"/>
  <c r="R64" i="120"/>
  <c r="S64" i="120" s="1"/>
  <c r="Q64" i="120"/>
  <c r="P64" i="120"/>
  <c r="O64" i="120"/>
  <c r="K64" i="120"/>
  <c r="T63" i="120"/>
  <c r="R63" i="120"/>
  <c r="Q63" i="120"/>
  <c r="S63" i="120" s="1"/>
  <c r="U63" i="120" s="1"/>
  <c r="P63" i="120"/>
  <c r="O63" i="120"/>
  <c r="K63" i="120"/>
  <c r="T62" i="120"/>
  <c r="R62" i="120"/>
  <c r="Q62" i="120"/>
  <c r="S62" i="120" s="1"/>
  <c r="P62" i="120"/>
  <c r="O62" i="120"/>
  <c r="K62" i="120"/>
  <c r="T61" i="120"/>
  <c r="R61" i="120"/>
  <c r="S61" i="120" s="1"/>
  <c r="U61" i="120" s="1"/>
  <c r="Q61" i="120"/>
  <c r="P61" i="120"/>
  <c r="O61" i="120"/>
  <c r="K61" i="120"/>
  <c r="T60" i="120"/>
  <c r="R60" i="120"/>
  <c r="S60" i="120" s="1"/>
  <c r="U60" i="120" s="1"/>
  <c r="Q60" i="120"/>
  <c r="P60" i="120"/>
  <c r="O60" i="120"/>
  <c r="K60" i="120"/>
  <c r="T59" i="120"/>
  <c r="R59" i="120"/>
  <c r="Q59" i="120"/>
  <c r="P59" i="120"/>
  <c r="O59" i="120"/>
  <c r="K59" i="120"/>
  <c r="T58" i="120"/>
  <c r="R58" i="120"/>
  <c r="Q58" i="120"/>
  <c r="P58" i="120"/>
  <c r="O58" i="120"/>
  <c r="K58" i="120"/>
  <c r="T57" i="120"/>
  <c r="R57" i="120"/>
  <c r="Q57" i="120"/>
  <c r="S57" i="120" s="1"/>
  <c r="P57" i="120"/>
  <c r="O57" i="120"/>
  <c r="K57" i="120"/>
  <c r="T56" i="120"/>
  <c r="R56" i="120"/>
  <c r="S56" i="120" s="1"/>
  <c r="U56" i="120" s="1"/>
  <c r="V56" i="120" s="1"/>
  <c r="Q56" i="120"/>
  <c r="P56" i="120"/>
  <c r="O56" i="120"/>
  <c r="K56" i="120"/>
  <c r="T55" i="120"/>
  <c r="R55" i="120"/>
  <c r="Q55" i="120"/>
  <c r="S55" i="120" s="1"/>
  <c r="U55" i="120" s="1"/>
  <c r="P55" i="120"/>
  <c r="O55" i="120"/>
  <c r="K55" i="120"/>
  <c r="T54" i="120"/>
  <c r="R54" i="120"/>
  <c r="Q54" i="120"/>
  <c r="P54" i="120"/>
  <c r="O54" i="120"/>
  <c r="K54" i="120"/>
  <c r="T53" i="120"/>
  <c r="R53" i="120"/>
  <c r="Q53" i="120"/>
  <c r="S53" i="120"/>
  <c r="U53" i="120" s="1"/>
  <c r="P53" i="120"/>
  <c r="O53" i="120"/>
  <c r="K53" i="120"/>
  <c r="T52" i="120"/>
  <c r="R52" i="120"/>
  <c r="Q52" i="120"/>
  <c r="P52" i="120"/>
  <c r="O52" i="120"/>
  <c r="K52" i="120"/>
  <c r="T51" i="120"/>
  <c r="R51" i="120"/>
  <c r="Q51" i="120"/>
  <c r="S51" i="120" s="1"/>
  <c r="P51" i="120"/>
  <c r="O51" i="120"/>
  <c r="K51" i="120"/>
  <c r="T50" i="120"/>
  <c r="R50" i="120"/>
  <c r="U50" i="120"/>
  <c r="V50" i="120" s="1"/>
  <c r="Q50" i="120"/>
  <c r="S50" i="120" s="1"/>
  <c r="P50" i="120"/>
  <c r="O50" i="120"/>
  <c r="K50" i="120"/>
  <c r="T49" i="120"/>
  <c r="R49" i="120"/>
  <c r="Q49" i="120"/>
  <c r="S49" i="120"/>
  <c r="U49" i="120" s="1"/>
  <c r="V49" i="120" s="1"/>
  <c r="P49" i="120"/>
  <c r="O49" i="120"/>
  <c r="K49" i="120"/>
  <c r="T48" i="120"/>
  <c r="R48" i="120"/>
  <c r="Q48" i="120"/>
  <c r="P48" i="120"/>
  <c r="O48" i="120"/>
  <c r="K48" i="120"/>
  <c r="T47" i="120"/>
  <c r="R47" i="120"/>
  <c r="Q47" i="120"/>
  <c r="P47" i="120"/>
  <c r="O47" i="120"/>
  <c r="K47" i="120"/>
  <c r="T46" i="120"/>
  <c r="U46" i="120"/>
  <c r="V46" i="120" s="1"/>
  <c r="R46" i="120"/>
  <c r="S46" i="120" s="1"/>
  <c r="Q46" i="120"/>
  <c r="P46" i="120"/>
  <c r="O46" i="120"/>
  <c r="K46" i="120"/>
  <c r="T45" i="120"/>
  <c r="R45" i="120"/>
  <c r="Q45" i="120"/>
  <c r="S45" i="120" s="1"/>
  <c r="U45" i="120" s="1"/>
  <c r="V45" i="120" s="1"/>
  <c r="P45" i="120"/>
  <c r="O45" i="120"/>
  <c r="K45" i="120"/>
  <c r="T44" i="120"/>
  <c r="R44" i="120"/>
  <c r="Q44" i="120"/>
  <c r="P44" i="120"/>
  <c r="O44" i="120"/>
  <c r="K44" i="120"/>
  <c r="T43" i="120"/>
  <c r="R43" i="120"/>
  <c r="S43" i="120" s="1"/>
  <c r="Q43" i="120"/>
  <c r="P43" i="120"/>
  <c r="O43" i="120"/>
  <c r="K43" i="120"/>
  <c r="T42" i="120"/>
  <c r="U42" i="120" s="1"/>
  <c r="R42" i="120"/>
  <c r="Q42" i="120"/>
  <c r="P42" i="120"/>
  <c r="V42" i="120" s="1"/>
  <c r="O42" i="120"/>
  <c r="K42" i="120"/>
  <c r="T41" i="120"/>
  <c r="R41" i="120"/>
  <c r="S41" i="120" s="1"/>
  <c r="U41" i="120" s="1"/>
  <c r="V41" i="120" s="1"/>
  <c r="Q41" i="120"/>
  <c r="P41" i="120"/>
  <c r="O41" i="120"/>
  <c r="K41" i="120"/>
  <c r="T40" i="120"/>
  <c r="R40" i="120"/>
  <c r="Q40" i="120"/>
  <c r="P40" i="120"/>
  <c r="O40" i="120"/>
  <c r="K40" i="120"/>
  <c r="T39" i="120"/>
  <c r="R39" i="120"/>
  <c r="Q39" i="120"/>
  <c r="P39" i="120"/>
  <c r="O39" i="120"/>
  <c r="K39" i="120"/>
  <c r="T38" i="120"/>
  <c r="R38" i="120"/>
  <c r="Q38" i="120"/>
  <c r="P38" i="120"/>
  <c r="O38" i="120"/>
  <c r="K38" i="120"/>
  <c r="T37" i="120"/>
  <c r="R37" i="120"/>
  <c r="Q37" i="120"/>
  <c r="P37" i="120"/>
  <c r="O37" i="120"/>
  <c r="K37" i="120"/>
  <c r="T36" i="120"/>
  <c r="R36" i="120"/>
  <c r="Q36" i="120"/>
  <c r="P36" i="120"/>
  <c r="V36" i="120" s="1"/>
  <c r="O36" i="120"/>
  <c r="K36" i="120"/>
  <c r="T35" i="120"/>
  <c r="R35" i="120"/>
  <c r="S35" i="120" s="1"/>
  <c r="U35" i="120" s="1"/>
  <c r="V35" i="120" s="1"/>
  <c r="Q35" i="120"/>
  <c r="P35" i="120"/>
  <c r="O35" i="120"/>
  <c r="K35" i="120"/>
  <c r="T34" i="120"/>
  <c r="R34" i="120"/>
  <c r="Q34" i="120"/>
  <c r="S34" i="120" s="1"/>
  <c r="U34" i="120" s="1"/>
  <c r="V34" i="120" s="1"/>
  <c r="P34" i="120"/>
  <c r="O34" i="120"/>
  <c r="K34" i="120"/>
  <c r="T33" i="120"/>
  <c r="R33" i="120"/>
  <c r="Q33" i="120"/>
  <c r="P33" i="120"/>
  <c r="O33" i="120"/>
  <c r="K33" i="120"/>
  <c r="T32" i="120"/>
  <c r="R32" i="120"/>
  <c r="Q32" i="120"/>
  <c r="S32" i="120" s="1"/>
  <c r="U32" i="120" s="1"/>
  <c r="P32" i="120"/>
  <c r="O32" i="120"/>
  <c r="K32" i="120"/>
  <c r="T31" i="120"/>
  <c r="R31" i="120"/>
  <c r="Q31" i="120"/>
  <c r="P31" i="120"/>
  <c r="O31" i="120"/>
  <c r="K31" i="120"/>
  <c r="T30" i="120"/>
  <c r="R30" i="120"/>
  <c r="Q30" i="120"/>
  <c r="P30" i="120"/>
  <c r="O30" i="120"/>
  <c r="K30" i="120"/>
  <c r="T29" i="120"/>
  <c r="U29" i="120" s="1"/>
  <c r="R29" i="120"/>
  <c r="Q29" i="120"/>
  <c r="P29" i="120"/>
  <c r="O29" i="120"/>
  <c r="K29" i="120"/>
  <c r="T28" i="120"/>
  <c r="R28" i="120"/>
  <c r="Q28" i="120"/>
  <c r="P28" i="120"/>
  <c r="O28" i="120"/>
  <c r="K28" i="120"/>
  <c r="T27" i="120"/>
  <c r="R27" i="120"/>
  <c r="Q27" i="120"/>
  <c r="P27" i="120"/>
  <c r="O27" i="120"/>
  <c r="K27" i="120"/>
  <c r="T26" i="120"/>
  <c r="R26" i="120"/>
  <c r="Q26" i="120"/>
  <c r="S26" i="120" s="1"/>
  <c r="U26" i="120" s="1"/>
  <c r="V26" i="120" s="1"/>
  <c r="P26" i="120"/>
  <c r="O26" i="120"/>
  <c r="K26" i="120"/>
  <c r="T25" i="120"/>
  <c r="R25" i="120"/>
  <c r="Q25" i="120"/>
  <c r="P25" i="120"/>
  <c r="O25" i="120"/>
  <c r="K25" i="120"/>
  <c r="T24" i="120"/>
  <c r="R24" i="120"/>
  <c r="Q24" i="120"/>
  <c r="S24" i="120" s="1"/>
  <c r="P24" i="120"/>
  <c r="O24" i="120"/>
  <c r="K24" i="120"/>
  <c r="T23" i="120"/>
  <c r="R23" i="120"/>
  <c r="Q23" i="120"/>
  <c r="P23" i="120"/>
  <c r="O23" i="120"/>
  <c r="K23" i="120"/>
  <c r="T22" i="120"/>
  <c r="R22" i="120"/>
  <c r="Q22" i="120"/>
  <c r="S22" i="120" s="1"/>
  <c r="U22" i="120" s="1"/>
  <c r="V22" i="120" s="1"/>
  <c r="P22" i="120"/>
  <c r="O22" i="120"/>
  <c r="K22" i="120"/>
  <c r="T21" i="120"/>
  <c r="R21" i="120"/>
  <c r="Q21" i="120"/>
  <c r="S21" i="120"/>
  <c r="P21" i="120"/>
  <c r="O21" i="120"/>
  <c r="K21" i="120"/>
  <c r="T20" i="120"/>
  <c r="R20" i="120"/>
  <c r="S20" i="120" s="1"/>
  <c r="U20" i="120" s="1"/>
  <c r="V20" i="120" s="1"/>
  <c r="Q20" i="120"/>
  <c r="P20" i="120"/>
  <c r="O20" i="120"/>
  <c r="K20" i="120"/>
  <c r="T19" i="120"/>
  <c r="R19" i="120"/>
  <c r="Q19" i="120"/>
  <c r="P19" i="120"/>
  <c r="O19" i="120"/>
  <c r="K19" i="120"/>
  <c r="T18" i="120"/>
  <c r="R18" i="120"/>
  <c r="S18" i="120" s="1"/>
  <c r="U18" i="120" s="1"/>
  <c r="Q18" i="120"/>
  <c r="P18" i="120"/>
  <c r="O18" i="120"/>
  <c r="K18" i="120"/>
  <c r="T17" i="120"/>
  <c r="R17" i="120"/>
  <c r="Q17" i="120"/>
  <c r="P17" i="120"/>
  <c r="O17" i="120"/>
  <c r="K17" i="120"/>
  <c r="K107" i="120" s="1"/>
  <c r="T16" i="120"/>
  <c r="R16" i="120"/>
  <c r="Q16" i="120"/>
  <c r="P16" i="120"/>
  <c r="O16" i="120"/>
  <c r="K16" i="120"/>
  <c r="T15" i="120"/>
  <c r="R15" i="120"/>
  <c r="R107" i="120" s="1"/>
  <c r="Q15" i="120"/>
  <c r="P15" i="120"/>
  <c r="O15" i="120"/>
  <c r="K15" i="120"/>
  <c r="T14" i="120"/>
  <c r="R14" i="120"/>
  <c r="S14" i="120" s="1"/>
  <c r="Q14" i="120"/>
  <c r="P14" i="120"/>
  <c r="O14" i="120"/>
  <c r="K14" i="120"/>
  <c r="T13" i="120"/>
  <c r="R13" i="120"/>
  <c r="Q13" i="120"/>
  <c r="S13" i="120" s="1"/>
  <c r="U13" i="120" s="1"/>
  <c r="P13" i="120"/>
  <c r="O13" i="120"/>
  <c r="K13" i="120"/>
  <c r="T12" i="120"/>
  <c r="R12" i="120"/>
  <c r="Q12" i="120"/>
  <c r="P12" i="120"/>
  <c r="O12" i="120"/>
  <c r="K12" i="120"/>
  <c r="T11" i="120"/>
  <c r="R11" i="120"/>
  <c r="S11" i="120"/>
  <c r="U11" i="120" s="1"/>
  <c r="Q11" i="120"/>
  <c r="P11" i="120"/>
  <c r="O11" i="120"/>
  <c r="K11" i="120"/>
  <c r="T10" i="120"/>
  <c r="R10" i="120"/>
  <c r="Q10" i="120"/>
  <c r="S10" i="120" s="1"/>
  <c r="P10" i="120"/>
  <c r="O10" i="120"/>
  <c r="K10" i="120"/>
  <c r="T9" i="120"/>
  <c r="R9" i="120"/>
  <c r="Q9" i="120"/>
  <c r="P9" i="120"/>
  <c r="O9" i="120"/>
  <c r="K9" i="120"/>
  <c r="T8" i="120"/>
  <c r="R8" i="120"/>
  <c r="Q8" i="120"/>
  <c r="P8" i="120"/>
  <c r="O8" i="120"/>
  <c r="K8" i="120"/>
  <c r="T7" i="120"/>
  <c r="R7" i="120"/>
  <c r="S7" i="120"/>
  <c r="Q7" i="120"/>
  <c r="P7" i="120"/>
  <c r="O7" i="120"/>
  <c r="K7" i="120"/>
  <c r="T6" i="120"/>
  <c r="R6" i="120"/>
  <c r="Q6" i="120"/>
  <c r="P6" i="120"/>
  <c r="O6" i="120"/>
  <c r="K6" i="120"/>
  <c r="S6" i="120"/>
  <c r="S23" i="120"/>
  <c r="U23" i="120" s="1"/>
  <c r="S70" i="120"/>
  <c r="U70" i="120" s="1"/>
  <c r="S74" i="120"/>
  <c r="U74" i="120" s="1"/>
  <c r="V74" i="120" s="1"/>
  <c r="S84" i="120"/>
  <c r="U84" i="120"/>
  <c r="S86" i="120"/>
  <c r="S88" i="120"/>
  <c r="S90" i="120"/>
  <c r="U90" i="120" s="1"/>
  <c r="S98" i="120"/>
  <c r="U98" i="120" s="1"/>
  <c r="S19" i="120"/>
  <c r="U19" i="120" s="1"/>
  <c r="U10" i="120"/>
  <c r="V10" i="120" s="1"/>
  <c r="S47" i="120"/>
  <c r="U47" i="120" s="1"/>
  <c r="V55" i="120"/>
  <c r="S71" i="120"/>
  <c r="S87" i="120"/>
  <c r="U87" i="120" s="1"/>
  <c r="V87" i="120" s="1"/>
  <c r="U82" i="120"/>
  <c r="V23" i="120"/>
  <c r="U68" i="120"/>
  <c r="V68" i="120" s="1"/>
  <c r="U86" i="120"/>
  <c r="S17" i="120"/>
  <c r="U17" i="120" s="1"/>
  <c r="V17" i="120" s="1"/>
  <c r="S52" i="120"/>
  <c r="S54" i="120"/>
  <c r="U54" i="120" s="1"/>
  <c r="V54" i="120" s="1"/>
  <c r="S58" i="120"/>
  <c r="U58" i="120" s="1"/>
  <c r="V58" i="120" s="1"/>
  <c r="V60" i="120"/>
  <c r="S97" i="120"/>
  <c r="U97" i="120" s="1"/>
  <c r="V97" i="120" s="1"/>
  <c r="U24" i="120"/>
  <c r="V24" i="120" s="1"/>
  <c r="S30" i="120"/>
  <c r="U30" i="120" s="1"/>
  <c r="V32" i="120"/>
  <c r="S36" i="120"/>
  <c r="U36" i="120" s="1"/>
  <c r="S38" i="120"/>
  <c r="U38" i="120" s="1"/>
  <c r="S42" i="120"/>
  <c r="S44" i="120"/>
  <c r="U44" i="120"/>
  <c r="V65" i="120"/>
  <c r="S102" i="120"/>
  <c r="U102" i="120"/>
  <c r="V47" i="120"/>
  <c r="V63" i="120"/>
  <c r="V76" i="120"/>
  <c r="S100" i="120"/>
  <c r="U100" i="120"/>
  <c r="S27" i="120"/>
  <c r="U27" i="120"/>
  <c r="S29" i="120"/>
  <c r="S48" i="120"/>
  <c r="U48" i="120" s="1"/>
  <c r="U51" i="120"/>
  <c r="V51" i="120" s="1"/>
  <c r="U57" i="120"/>
  <c r="S67" i="120"/>
  <c r="S73" i="120"/>
  <c r="U73" i="120" s="1"/>
  <c r="V73" i="120" s="1"/>
  <c r="U80" i="120"/>
  <c r="S92" i="120"/>
  <c r="U92" i="120" s="1"/>
  <c r="S94" i="120"/>
  <c r="U94" i="120" s="1"/>
  <c r="S101" i="120"/>
  <c r="U101" i="120" s="1"/>
  <c r="V101" i="120" s="1"/>
  <c r="S104" i="120"/>
  <c r="U104" i="120" s="1"/>
  <c r="V30" i="120"/>
  <c r="S12" i="120"/>
  <c r="U12" i="120" s="1"/>
  <c r="V12" i="120"/>
  <c r="S16" i="120"/>
  <c r="U16" i="120"/>
  <c r="S25" i="120"/>
  <c r="U25" i="120"/>
  <c r="V25" i="120" s="1"/>
  <c r="S28" i="120"/>
  <c r="U28" i="120" s="1"/>
  <c r="V28" i="120" s="1"/>
  <c r="S31" i="120"/>
  <c r="U31" i="120"/>
  <c r="V31" i="120" s="1"/>
  <c r="S33" i="120"/>
  <c r="U33" i="120" s="1"/>
  <c r="V33" i="120" s="1"/>
  <c r="S40" i="120"/>
  <c r="U40" i="120" s="1"/>
  <c r="V40" i="120"/>
  <c r="U43" i="120"/>
  <c r="V43" i="120" s="1"/>
  <c r="V53" i="120"/>
  <c r="S59" i="120"/>
  <c r="U59" i="120" s="1"/>
  <c r="V59" i="120"/>
  <c r="S75" i="120"/>
  <c r="U75" i="120" s="1"/>
  <c r="V75" i="120" s="1"/>
  <c r="V88" i="120"/>
  <c r="S96" i="120"/>
  <c r="U96" i="120"/>
  <c r="R108" i="120"/>
  <c r="S8" i="120"/>
  <c r="U8" i="120"/>
  <c r="V8" i="120" s="1"/>
  <c r="V13" i="120"/>
  <c r="V18" i="120"/>
  <c r="V29" i="120"/>
  <c r="V57" i="120"/>
  <c r="V103" i="120"/>
  <c r="V90" i="120"/>
  <c r="U6" i="120"/>
  <c r="V19" i="119"/>
  <c r="U19" i="119"/>
  <c r="V18" i="119"/>
  <c r="U18" i="119"/>
  <c r="V17" i="119"/>
  <c r="U17" i="119"/>
  <c r="O19" i="119"/>
  <c r="N19" i="119"/>
  <c r="O18" i="119"/>
  <c r="N18" i="119"/>
  <c r="O17" i="119"/>
  <c r="N17" i="119"/>
  <c r="V19" i="33"/>
  <c r="U19" i="33"/>
  <c r="V18" i="33"/>
  <c r="U18" i="33"/>
  <c r="V17" i="33"/>
  <c r="U17" i="33"/>
  <c r="O19" i="33"/>
  <c r="N19" i="33"/>
  <c r="O18" i="33"/>
  <c r="N18" i="33"/>
  <c r="O17" i="33"/>
  <c r="N17" i="33"/>
  <c r="T21" i="119"/>
  <c r="U21" i="119" s="1"/>
  <c r="S21" i="119"/>
  <c r="R21" i="119"/>
  <c r="Q21" i="119"/>
  <c r="P21" i="119"/>
  <c r="M21" i="119"/>
  <c r="L21" i="119"/>
  <c r="K21" i="119"/>
  <c r="J21" i="119"/>
  <c r="I21" i="119"/>
  <c r="G21" i="119"/>
  <c r="F21" i="119"/>
  <c r="E21" i="119"/>
  <c r="D21" i="119"/>
  <c r="C21" i="119"/>
  <c r="B21" i="119"/>
  <c r="T20" i="119"/>
  <c r="U20" i="119" s="1"/>
  <c r="S20" i="119"/>
  <c r="R20" i="119"/>
  <c r="Q20" i="119"/>
  <c r="P20" i="119"/>
  <c r="M20" i="119"/>
  <c r="L20" i="119"/>
  <c r="K20" i="119"/>
  <c r="J20" i="119"/>
  <c r="I20" i="119"/>
  <c r="F20" i="119"/>
  <c r="E20" i="119"/>
  <c r="D20" i="119"/>
  <c r="C20" i="119"/>
  <c r="B20" i="119"/>
  <c r="H19" i="119"/>
  <c r="G19" i="119"/>
  <c r="H18" i="119"/>
  <c r="G18" i="119"/>
  <c r="H17" i="119"/>
  <c r="G17" i="119"/>
  <c r="S11" i="119"/>
  <c r="L11" i="119"/>
  <c r="E11" i="119"/>
  <c r="Q10" i="119"/>
  <c r="J10" i="119"/>
  <c r="C9" i="119"/>
  <c r="J9" i="119" s="1"/>
  <c r="C4" i="119"/>
  <c r="J4" i="119" s="1"/>
  <c r="C3" i="119"/>
  <c r="Q3" i="119" s="1"/>
  <c r="E11" i="33"/>
  <c r="Q10" i="33"/>
  <c r="J10" i="33"/>
  <c r="T21" i="33"/>
  <c r="U21" i="33" s="1"/>
  <c r="S21" i="33"/>
  <c r="R21" i="33"/>
  <c r="Q21" i="33"/>
  <c r="P21" i="33"/>
  <c r="T20" i="33"/>
  <c r="S20" i="33"/>
  <c r="R20" i="33"/>
  <c r="Q20" i="33"/>
  <c r="P20" i="33"/>
  <c r="S11" i="33"/>
  <c r="M21" i="33"/>
  <c r="L21" i="33"/>
  <c r="K21" i="33"/>
  <c r="J21" i="33"/>
  <c r="I21" i="33"/>
  <c r="M20" i="33"/>
  <c r="N20" i="33" s="1"/>
  <c r="L20" i="33"/>
  <c r="K20" i="33"/>
  <c r="J20" i="33"/>
  <c r="I20" i="33"/>
  <c r="L11" i="33"/>
  <c r="O21" i="33"/>
  <c r="N21" i="33"/>
  <c r="V20" i="33"/>
  <c r="U20" i="33"/>
  <c r="O20" i="119"/>
  <c r="N20" i="119"/>
  <c r="O21" i="119"/>
  <c r="N21" i="119"/>
  <c r="O20" i="33"/>
  <c r="V21" i="33"/>
  <c r="H20" i="119"/>
  <c r="H21" i="119"/>
  <c r="G20" i="119"/>
  <c r="S42" i="118"/>
  <c r="L42" i="118"/>
  <c r="E42" i="118"/>
  <c r="U42" i="118"/>
  <c r="V42" i="118" s="1"/>
  <c r="T42" i="118"/>
  <c r="R42" i="118"/>
  <c r="Q42" i="118"/>
  <c r="P42" i="118"/>
  <c r="N42" i="118"/>
  <c r="O42" i="118" s="1"/>
  <c r="M42" i="118"/>
  <c r="K42" i="118"/>
  <c r="J42" i="118"/>
  <c r="I42" i="118"/>
  <c r="G42" i="118"/>
  <c r="H42" i="118" s="1"/>
  <c r="F42" i="118"/>
  <c r="D42" i="118"/>
  <c r="C42" i="118"/>
  <c r="B42" i="118"/>
  <c r="Q10" i="118"/>
  <c r="J10" i="118"/>
  <c r="C9" i="118"/>
  <c r="A41" i="118" s="1"/>
  <c r="C4" i="118"/>
  <c r="J4" i="118" s="1"/>
  <c r="C3" i="118"/>
  <c r="J3" i="118" s="1"/>
  <c r="T110" i="117"/>
  <c r="V110" i="117"/>
  <c r="S110" i="117"/>
  <c r="R110" i="117"/>
  <c r="Q110" i="117"/>
  <c r="P110" i="117"/>
  <c r="M110" i="117"/>
  <c r="O110" i="117" s="1"/>
  <c r="L110" i="117"/>
  <c r="K110" i="117"/>
  <c r="J110" i="117"/>
  <c r="I110" i="117"/>
  <c r="F110" i="117"/>
  <c r="E110" i="117"/>
  <c r="D110" i="117"/>
  <c r="C110" i="117"/>
  <c r="B110" i="117"/>
  <c r="T77" i="117"/>
  <c r="V77" i="117" s="1"/>
  <c r="S77" i="117"/>
  <c r="R77" i="117"/>
  <c r="Q77" i="117"/>
  <c r="P77" i="117"/>
  <c r="M77" i="117"/>
  <c r="L77" i="117"/>
  <c r="K77" i="117"/>
  <c r="J77" i="117"/>
  <c r="I77" i="117"/>
  <c r="F77" i="117"/>
  <c r="H77" i="117" s="1"/>
  <c r="E77" i="117"/>
  <c r="D77" i="117"/>
  <c r="C77" i="117"/>
  <c r="B77" i="117"/>
  <c r="T44" i="117"/>
  <c r="V44" i="117" s="1"/>
  <c r="S44" i="117"/>
  <c r="R44" i="117"/>
  <c r="Q44" i="117"/>
  <c r="P44" i="117"/>
  <c r="M44" i="117"/>
  <c r="L44" i="117"/>
  <c r="K44" i="117"/>
  <c r="J44" i="117"/>
  <c r="I44" i="117"/>
  <c r="F44" i="117"/>
  <c r="H44" i="117" s="1"/>
  <c r="E44" i="117"/>
  <c r="D44" i="117"/>
  <c r="C44" i="117"/>
  <c r="B44" i="117"/>
  <c r="Q10" i="117"/>
  <c r="J10" i="117"/>
  <c r="C9" i="117"/>
  <c r="A109" i="117" s="1"/>
  <c r="C4" i="117"/>
  <c r="J4" i="117" s="1"/>
  <c r="C3" i="117"/>
  <c r="Q3" i="117" s="1"/>
  <c r="Q10" i="72"/>
  <c r="J10" i="72"/>
  <c r="T42" i="72"/>
  <c r="U42" i="72" s="1"/>
  <c r="S42" i="72"/>
  <c r="R42" i="72"/>
  <c r="Q42" i="72"/>
  <c r="P42" i="72"/>
  <c r="M42" i="72"/>
  <c r="N42" i="72" s="1"/>
  <c r="L42" i="72"/>
  <c r="K42" i="72"/>
  <c r="J42" i="72"/>
  <c r="I42" i="72"/>
  <c r="U77" i="117"/>
  <c r="U110" i="117"/>
  <c r="G77" i="117"/>
  <c r="V42" i="72"/>
  <c r="F42" i="72"/>
  <c r="G42" i="72" s="1"/>
  <c r="E42" i="72"/>
  <c r="D42" i="72"/>
  <c r="C42" i="72"/>
  <c r="B42" i="72"/>
  <c r="C9" i="116"/>
  <c r="C4" i="116"/>
  <c r="C3" i="116"/>
  <c r="C9" i="115"/>
  <c r="C4" i="115"/>
  <c r="C3" i="115"/>
  <c r="I42" i="114"/>
  <c r="J42" i="114" s="1"/>
  <c r="H42" i="114"/>
  <c r="F42" i="114"/>
  <c r="G42" i="114" s="1"/>
  <c r="E42" i="114"/>
  <c r="C42" i="114"/>
  <c r="D42" i="114" s="1"/>
  <c r="B42" i="114"/>
  <c r="C9" i="114"/>
  <c r="A41" i="114" s="1"/>
  <c r="C4" i="114"/>
  <c r="C3" i="114"/>
  <c r="I42" i="113"/>
  <c r="J42" i="113" s="1"/>
  <c r="H42" i="113"/>
  <c r="F42" i="113"/>
  <c r="G42" i="113" s="1"/>
  <c r="E42" i="113"/>
  <c r="C42" i="113"/>
  <c r="D42" i="113" s="1"/>
  <c r="B42" i="113"/>
  <c r="C9" i="113"/>
  <c r="A41" i="113" s="1"/>
  <c r="C4" i="113"/>
  <c r="C3" i="113"/>
  <c r="I42" i="112"/>
  <c r="J42" i="112" s="1"/>
  <c r="H42" i="112"/>
  <c r="F42" i="112"/>
  <c r="G42" i="112" s="1"/>
  <c r="E42" i="112"/>
  <c r="C42" i="112"/>
  <c r="D42" i="112" s="1"/>
  <c r="B42" i="112"/>
  <c r="C9" i="112"/>
  <c r="A41" i="112" s="1"/>
  <c r="C4" i="112"/>
  <c r="C3" i="112"/>
  <c r="C9" i="111"/>
  <c r="C4" i="111"/>
  <c r="C3" i="111"/>
  <c r="I42" i="110"/>
  <c r="J42" i="110"/>
  <c r="H42" i="110"/>
  <c r="F42" i="110"/>
  <c r="G42" i="110" s="1"/>
  <c r="E42" i="110"/>
  <c r="C42" i="110"/>
  <c r="D42" i="110" s="1"/>
  <c r="B42" i="110"/>
  <c r="C9" i="110"/>
  <c r="A41" i="110" s="1"/>
  <c r="C4" i="110"/>
  <c r="C3" i="110"/>
  <c r="I42" i="109"/>
  <c r="J42" i="109" s="1"/>
  <c r="H42" i="109"/>
  <c r="F42" i="109"/>
  <c r="G42" i="109" s="1"/>
  <c r="E42" i="109"/>
  <c r="C42" i="109"/>
  <c r="D42" i="109" s="1"/>
  <c r="B42" i="109"/>
  <c r="C9" i="109"/>
  <c r="A41" i="109" s="1"/>
  <c r="C4" i="109"/>
  <c r="C3" i="109"/>
  <c r="I42" i="108"/>
  <c r="J42" i="108" s="1"/>
  <c r="H42" i="108"/>
  <c r="F42" i="108"/>
  <c r="G42" i="108" s="1"/>
  <c r="E42" i="108"/>
  <c r="C42" i="108"/>
  <c r="D42" i="108" s="1"/>
  <c r="B42" i="108"/>
  <c r="C9" i="108"/>
  <c r="A41" i="108" s="1"/>
  <c r="C4" i="108"/>
  <c r="C3" i="108"/>
  <c r="I42" i="107"/>
  <c r="H42" i="107"/>
  <c r="F42" i="107"/>
  <c r="G42" i="107" s="1"/>
  <c r="E42" i="107"/>
  <c r="C42" i="107"/>
  <c r="B42" i="107"/>
  <c r="C9" i="107"/>
  <c r="A41" i="107" s="1"/>
  <c r="C4" i="107"/>
  <c r="C3" i="107"/>
  <c r="C9" i="106"/>
  <c r="C4" i="106"/>
  <c r="C3" i="106"/>
  <c r="J42" i="107"/>
  <c r="D42" i="107"/>
  <c r="D3" i="105"/>
  <c r="G6" i="105" s="1"/>
  <c r="AG42" i="102"/>
  <c r="AH42" i="102" s="1"/>
  <c r="AF42" i="102"/>
  <c r="AD42" i="102"/>
  <c r="AE42" i="102" s="1"/>
  <c r="AC42" i="102"/>
  <c r="AA42" i="102"/>
  <c r="AB42" i="102"/>
  <c r="Z42" i="102"/>
  <c r="U42" i="102"/>
  <c r="V42" i="102" s="1"/>
  <c r="T42" i="102"/>
  <c r="R42" i="102"/>
  <c r="S42" i="102" s="1"/>
  <c r="Q42" i="102"/>
  <c r="O42" i="102"/>
  <c r="P42" i="102" s="1"/>
  <c r="N42" i="102"/>
  <c r="I42" i="102"/>
  <c r="J42" i="102"/>
  <c r="H42" i="102"/>
  <c r="F42" i="102"/>
  <c r="G42" i="102" s="1"/>
  <c r="E42" i="102"/>
  <c r="C42" i="102"/>
  <c r="B42" i="102"/>
  <c r="AM10" i="102"/>
  <c r="AA10" i="102"/>
  <c r="O10" i="102"/>
  <c r="C9" i="102"/>
  <c r="A41" i="102" s="1"/>
  <c r="C4" i="102"/>
  <c r="AM4" i="102" s="1"/>
  <c r="C3" i="102"/>
  <c r="AM3" i="102" s="1"/>
  <c r="AM43" i="101"/>
  <c r="AN43" i="101" s="1"/>
  <c r="AL43" i="101"/>
  <c r="AJ43" i="101"/>
  <c r="AK43" i="101" s="1"/>
  <c r="AI43" i="101"/>
  <c r="AG43" i="101"/>
  <c r="AH43" i="101" s="1"/>
  <c r="AF43" i="101"/>
  <c r="X43" i="101"/>
  <c r="Y43" i="101" s="1"/>
  <c r="W43" i="101"/>
  <c r="U43" i="101"/>
  <c r="V43" i="101" s="1"/>
  <c r="T43" i="101"/>
  <c r="R43" i="101"/>
  <c r="S43" i="101" s="1"/>
  <c r="Q43" i="101"/>
  <c r="I43" i="101"/>
  <c r="J43" i="101"/>
  <c r="H43" i="101"/>
  <c r="F43" i="101"/>
  <c r="G43" i="101" s="1"/>
  <c r="E43" i="101"/>
  <c r="C43" i="101"/>
  <c r="D43" i="101" s="1"/>
  <c r="B43" i="101"/>
  <c r="AG10" i="101"/>
  <c r="R10" i="101"/>
  <c r="C9" i="101"/>
  <c r="A42" i="101" s="1"/>
  <c r="C4" i="101"/>
  <c r="AG4" i="101" s="1"/>
  <c r="C3" i="101"/>
  <c r="R3" i="101" s="1"/>
  <c r="D42" i="102"/>
  <c r="AM43" i="99"/>
  <c r="AN43" i="99" s="1"/>
  <c r="AL43" i="99"/>
  <c r="AJ43" i="99"/>
  <c r="AK43" i="99"/>
  <c r="AI43" i="99"/>
  <c r="AG43" i="99"/>
  <c r="AH43" i="99" s="1"/>
  <c r="AF43" i="99"/>
  <c r="X43" i="99"/>
  <c r="Y43" i="99" s="1"/>
  <c r="W43" i="99"/>
  <c r="U43" i="99"/>
  <c r="V43" i="99" s="1"/>
  <c r="T43" i="99"/>
  <c r="R43" i="99"/>
  <c r="S43" i="99" s="1"/>
  <c r="Q43" i="99"/>
  <c r="I43" i="99"/>
  <c r="J43" i="99" s="1"/>
  <c r="H43" i="99"/>
  <c r="F43" i="99"/>
  <c r="G43" i="99" s="1"/>
  <c r="E43" i="99"/>
  <c r="C43" i="99"/>
  <c r="D43" i="99" s="1"/>
  <c r="B43" i="99"/>
  <c r="AG10" i="99"/>
  <c r="R10" i="99"/>
  <c r="C9" i="99"/>
  <c r="A42" i="99" s="1"/>
  <c r="C4" i="99"/>
  <c r="R4" i="99" s="1"/>
  <c r="C3" i="99"/>
  <c r="AG3" i="99" s="1"/>
  <c r="C9" i="98"/>
  <c r="C4" i="98"/>
  <c r="C3" i="98"/>
  <c r="C9" i="97"/>
  <c r="C4" i="97"/>
  <c r="C3" i="97"/>
  <c r="T43" i="96"/>
  <c r="V43" i="96" s="1"/>
  <c r="S43" i="96"/>
  <c r="R43" i="96"/>
  <c r="Q43" i="96"/>
  <c r="P43" i="96"/>
  <c r="M43" i="96"/>
  <c r="N43" i="96"/>
  <c r="L43" i="96"/>
  <c r="K43" i="96"/>
  <c r="J43" i="96"/>
  <c r="I43" i="96"/>
  <c r="F43" i="96"/>
  <c r="H43" i="96" s="1"/>
  <c r="E43" i="96"/>
  <c r="D43" i="96"/>
  <c r="C43" i="96"/>
  <c r="B43" i="96"/>
  <c r="Q10" i="96"/>
  <c r="J10" i="96"/>
  <c r="C9" i="96"/>
  <c r="A42" i="96" s="1"/>
  <c r="C4" i="96"/>
  <c r="J4" i="96" s="1"/>
  <c r="C3" i="96"/>
  <c r="Q3" i="96" s="1"/>
  <c r="Q10" i="94"/>
  <c r="J10" i="94"/>
  <c r="T43" i="94"/>
  <c r="V43" i="94" s="1"/>
  <c r="S43" i="94"/>
  <c r="R43" i="94"/>
  <c r="Q43" i="94"/>
  <c r="P43" i="94"/>
  <c r="M43" i="94"/>
  <c r="L43" i="94"/>
  <c r="K43" i="94"/>
  <c r="J43" i="94"/>
  <c r="I43" i="94"/>
  <c r="D43" i="94"/>
  <c r="C43" i="94"/>
  <c r="B43" i="94"/>
  <c r="F43" i="94"/>
  <c r="G43" i="94" s="1"/>
  <c r="E43" i="94"/>
  <c r="C9" i="94"/>
  <c r="A42" i="94" s="1"/>
  <c r="C4" i="94"/>
  <c r="Q4" i="94" s="1"/>
  <c r="C3" i="94"/>
  <c r="J3" i="94" s="1"/>
  <c r="F20" i="33"/>
  <c r="E20" i="33"/>
  <c r="D20" i="33"/>
  <c r="C20" i="33"/>
  <c r="B20" i="33"/>
  <c r="F21" i="33"/>
  <c r="E21" i="33"/>
  <c r="D21" i="33"/>
  <c r="C21" i="33"/>
  <c r="B21" i="33"/>
  <c r="H19" i="33"/>
  <c r="G19" i="33"/>
  <c r="U43" i="96"/>
  <c r="O43" i="96"/>
  <c r="E107" i="91"/>
  <c r="F107" i="91"/>
  <c r="G107" i="91"/>
  <c r="H107" i="91"/>
  <c r="I107" i="91"/>
  <c r="J107" i="91"/>
  <c r="D107" i="91"/>
  <c r="B107" i="91"/>
  <c r="N107" i="91"/>
  <c r="M107" i="91"/>
  <c r="L107" i="91"/>
  <c r="T105" i="91"/>
  <c r="R105" i="91"/>
  <c r="Q105" i="91"/>
  <c r="P105" i="91"/>
  <c r="O105" i="91"/>
  <c r="K105" i="91"/>
  <c r="T104" i="91"/>
  <c r="R104" i="91"/>
  <c r="Q104" i="91"/>
  <c r="S104" i="91" s="1"/>
  <c r="U104" i="91" s="1"/>
  <c r="V104" i="91" s="1"/>
  <c r="P104" i="91"/>
  <c r="O104" i="91"/>
  <c r="K104" i="91"/>
  <c r="T103" i="91"/>
  <c r="R103" i="91"/>
  <c r="Q103" i="91"/>
  <c r="S103" i="91" s="1"/>
  <c r="P103" i="91"/>
  <c r="O103" i="91"/>
  <c r="K103" i="91"/>
  <c r="T102" i="91"/>
  <c r="R102" i="91"/>
  <c r="Q102" i="91"/>
  <c r="P102" i="91"/>
  <c r="O102" i="91"/>
  <c r="K102" i="91"/>
  <c r="T101" i="91"/>
  <c r="R101" i="91"/>
  <c r="Q101" i="91"/>
  <c r="P101" i="91"/>
  <c r="O101" i="91"/>
  <c r="K101" i="91"/>
  <c r="T100" i="91"/>
  <c r="R100" i="91"/>
  <c r="Q100" i="91"/>
  <c r="S100" i="91" s="1"/>
  <c r="U100" i="91" s="1"/>
  <c r="V100" i="91" s="1"/>
  <c r="P100" i="91"/>
  <c r="O100" i="91"/>
  <c r="K100" i="91"/>
  <c r="T99" i="91"/>
  <c r="R99" i="91"/>
  <c r="S99" i="91"/>
  <c r="Q99" i="91"/>
  <c r="P99" i="91"/>
  <c r="O99" i="91"/>
  <c r="K99" i="91"/>
  <c r="T98" i="91"/>
  <c r="R98" i="91"/>
  <c r="Q98" i="91"/>
  <c r="P98" i="91"/>
  <c r="O98" i="91"/>
  <c r="K98" i="91"/>
  <c r="T97" i="91"/>
  <c r="R97" i="91"/>
  <c r="Q97" i="91"/>
  <c r="P97" i="91"/>
  <c r="O97" i="91"/>
  <c r="K97" i="91"/>
  <c r="T96" i="91"/>
  <c r="R96" i="91"/>
  <c r="Q96" i="91"/>
  <c r="P96" i="91"/>
  <c r="O96" i="91"/>
  <c r="K96" i="91"/>
  <c r="T95" i="91"/>
  <c r="R95" i="91"/>
  <c r="Q95" i="91"/>
  <c r="P95" i="91"/>
  <c r="O95" i="91"/>
  <c r="K95" i="91"/>
  <c r="T94" i="91"/>
  <c r="R94" i="91"/>
  <c r="Q94" i="91"/>
  <c r="P94" i="91"/>
  <c r="O94" i="91"/>
  <c r="K94" i="91"/>
  <c r="T93" i="91"/>
  <c r="R93" i="91"/>
  <c r="Q93" i="91"/>
  <c r="P93" i="91"/>
  <c r="O93" i="91"/>
  <c r="K93" i="91"/>
  <c r="T92" i="91"/>
  <c r="R92" i="91"/>
  <c r="Q92" i="91"/>
  <c r="P92" i="91"/>
  <c r="O92" i="91"/>
  <c r="K92" i="91"/>
  <c r="T91" i="91"/>
  <c r="R91" i="91"/>
  <c r="S91" i="91" s="1"/>
  <c r="Q91" i="91"/>
  <c r="P91" i="91"/>
  <c r="O91" i="91"/>
  <c r="K91" i="91"/>
  <c r="T90" i="91"/>
  <c r="R90" i="91"/>
  <c r="Q90" i="91"/>
  <c r="P90" i="91"/>
  <c r="O90" i="91"/>
  <c r="K90" i="91"/>
  <c r="T89" i="91"/>
  <c r="R89" i="91"/>
  <c r="Q89" i="91"/>
  <c r="P89" i="91"/>
  <c r="O89" i="91"/>
  <c r="K89" i="91"/>
  <c r="T88" i="91"/>
  <c r="R88" i="91"/>
  <c r="Q88" i="91"/>
  <c r="S88" i="91" s="1"/>
  <c r="U88" i="91" s="1"/>
  <c r="V88" i="91" s="1"/>
  <c r="P88" i="91"/>
  <c r="O88" i="91"/>
  <c r="K88" i="91"/>
  <c r="T87" i="91"/>
  <c r="R87" i="91"/>
  <c r="Q87" i="91"/>
  <c r="P87" i="91"/>
  <c r="O87" i="91"/>
  <c r="K87" i="91"/>
  <c r="T86" i="91"/>
  <c r="R86" i="91"/>
  <c r="Q86" i="91"/>
  <c r="S86" i="91" s="1"/>
  <c r="U86" i="91" s="1"/>
  <c r="V86" i="91" s="1"/>
  <c r="P86" i="91"/>
  <c r="O86" i="91"/>
  <c r="K86" i="91"/>
  <c r="T85" i="91"/>
  <c r="R85" i="91"/>
  <c r="Q85" i="91"/>
  <c r="P85" i="91"/>
  <c r="O85" i="91"/>
  <c r="O107" i="91" s="1"/>
  <c r="O108" i="91" s="1"/>
  <c r="K85" i="91"/>
  <c r="T84" i="91"/>
  <c r="R84" i="91"/>
  <c r="S84" i="91"/>
  <c r="U84" i="91" s="1"/>
  <c r="V84" i="91" s="1"/>
  <c r="Q84" i="91"/>
  <c r="P84" i="91"/>
  <c r="O84" i="91"/>
  <c r="K84" i="91"/>
  <c r="T83" i="91"/>
  <c r="R83" i="91"/>
  <c r="Q83" i="91"/>
  <c r="S83" i="91" s="1"/>
  <c r="U83" i="91" s="1"/>
  <c r="V83" i="91" s="1"/>
  <c r="P83" i="91"/>
  <c r="O83" i="91"/>
  <c r="K83" i="91"/>
  <c r="T82" i="91"/>
  <c r="R82" i="91"/>
  <c r="Q82" i="91"/>
  <c r="P82" i="91"/>
  <c r="O82" i="91"/>
  <c r="K82" i="91"/>
  <c r="T81" i="91"/>
  <c r="R81" i="91"/>
  <c r="Q81" i="91"/>
  <c r="P81" i="91"/>
  <c r="O81" i="91"/>
  <c r="K81" i="91"/>
  <c r="T80" i="91"/>
  <c r="R80" i="91"/>
  <c r="Q80" i="91"/>
  <c r="P80" i="91"/>
  <c r="O80" i="91"/>
  <c r="K80" i="91"/>
  <c r="T79" i="91"/>
  <c r="R79" i="91"/>
  <c r="Q79" i="91"/>
  <c r="P79" i="91"/>
  <c r="O79" i="91"/>
  <c r="K79" i="91"/>
  <c r="T78" i="91"/>
  <c r="R78" i="91"/>
  <c r="Q78" i="91"/>
  <c r="P78" i="91"/>
  <c r="O78" i="91"/>
  <c r="K78" i="91"/>
  <c r="T77" i="91"/>
  <c r="R77" i="91"/>
  <c r="Q77" i="91"/>
  <c r="S77" i="91" s="1"/>
  <c r="P77" i="91"/>
  <c r="O77" i="91"/>
  <c r="K77" i="91"/>
  <c r="T76" i="91"/>
  <c r="R76" i="91"/>
  <c r="Q76" i="91"/>
  <c r="P76" i="91"/>
  <c r="O76" i="91"/>
  <c r="K76" i="91"/>
  <c r="T75" i="91"/>
  <c r="R75" i="91"/>
  <c r="Q75" i="91"/>
  <c r="S75" i="91" s="1"/>
  <c r="U75" i="91" s="1"/>
  <c r="V75" i="91" s="1"/>
  <c r="P75" i="91"/>
  <c r="O75" i="91"/>
  <c r="K75" i="91"/>
  <c r="T74" i="91"/>
  <c r="R74" i="91"/>
  <c r="Q74" i="91"/>
  <c r="P74" i="91"/>
  <c r="O74" i="91"/>
  <c r="K74" i="91"/>
  <c r="T73" i="91"/>
  <c r="R73" i="91"/>
  <c r="Q73" i="91"/>
  <c r="S73" i="91" s="1"/>
  <c r="P73" i="91"/>
  <c r="O73" i="91"/>
  <c r="K73" i="91"/>
  <c r="T72" i="91"/>
  <c r="R72" i="91"/>
  <c r="Q72" i="91"/>
  <c r="P72" i="91"/>
  <c r="O72" i="91"/>
  <c r="K72" i="91"/>
  <c r="T71" i="91"/>
  <c r="R71" i="91"/>
  <c r="Q71" i="91"/>
  <c r="S71" i="91" s="1"/>
  <c r="U71" i="91" s="1"/>
  <c r="P71" i="91"/>
  <c r="V71" i="91" s="1"/>
  <c r="O71" i="91"/>
  <c r="K71" i="91"/>
  <c r="T70" i="91"/>
  <c r="R70" i="91"/>
  <c r="S70" i="91" s="1"/>
  <c r="U70" i="91" s="1"/>
  <c r="Q70" i="91"/>
  <c r="P70" i="91"/>
  <c r="V70" i="91" s="1"/>
  <c r="O70" i="91"/>
  <c r="K70" i="91"/>
  <c r="T69" i="91"/>
  <c r="R69" i="91"/>
  <c r="S69" i="91" s="1"/>
  <c r="U69" i="91" s="1"/>
  <c r="Q69" i="91"/>
  <c r="P69" i="91"/>
  <c r="O69" i="91"/>
  <c r="K69" i="91"/>
  <c r="T68" i="91"/>
  <c r="R68" i="91"/>
  <c r="Q68" i="91"/>
  <c r="P68" i="91"/>
  <c r="O68" i="91"/>
  <c r="K68" i="91"/>
  <c r="T67" i="91"/>
  <c r="R67" i="91"/>
  <c r="Q67" i="91"/>
  <c r="P67" i="91"/>
  <c r="V67" i="91" s="1"/>
  <c r="O67" i="91"/>
  <c r="K67" i="91"/>
  <c r="T66" i="91"/>
  <c r="R66" i="91"/>
  <c r="Q66" i="91"/>
  <c r="P66" i="91"/>
  <c r="O66" i="91"/>
  <c r="K66" i="91"/>
  <c r="T65" i="91"/>
  <c r="R65" i="91"/>
  <c r="Q65" i="91"/>
  <c r="P65" i="91"/>
  <c r="O65" i="91"/>
  <c r="K65" i="91"/>
  <c r="T64" i="91"/>
  <c r="R64" i="91"/>
  <c r="S64" i="91" s="1"/>
  <c r="U64" i="91" s="1"/>
  <c r="Q64" i="91"/>
  <c r="P64" i="91"/>
  <c r="V64" i="91" s="1"/>
  <c r="O64" i="91"/>
  <c r="K64" i="91"/>
  <c r="T63" i="91"/>
  <c r="R63" i="91"/>
  <c r="S63" i="91" s="1"/>
  <c r="U63" i="91" s="1"/>
  <c r="Q63" i="91"/>
  <c r="P63" i="91"/>
  <c r="O63" i="91"/>
  <c r="K63" i="91"/>
  <c r="T62" i="91"/>
  <c r="R62" i="91"/>
  <c r="Q62" i="91"/>
  <c r="P62" i="91"/>
  <c r="O62" i="91"/>
  <c r="K62" i="91"/>
  <c r="T61" i="91"/>
  <c r="R61" i="91"/>
  <c r="Q61" i="91"/>
  <c r="P61" i="91"/>
  <c r="O61" i="91"/>
  <c r="K61" i="91"/>
  <c r="T60" i="91"/>
  <c r="R60" i="91"/>
  <c r="S60" i="91" s="1"/>
  <c r="U60" i="91" s="1"/>
  <c r="Q60" i="91"/>
  <c r="P60" i="91"/>
  <c r="V60" i="91" s="1"/>
  <c r="O60" i="91"/>
  <c r="K60" i="91"/>
  <c r="T59" i="91"/>
  <c r="R59" i="91"/>
  <c r="S59" i="91" s="1"/>
  <c r="U59" i="91" s="1"/>
  <c r="Q59" i="91"/>
  <c r="P59" i="91"/>
  <c r="O59" i="91"/>
  <c r="K59" i="91"/>
  <c r="T58" i="91"/>
  <c r="R58" i="91"/>
  <c r="S58" i="91" s="1"/>
  <c r="U58" i="91" s="1"/>
  <c r="V58" i="91" s="1"/>
  <c r="Q58" i="91"/>
  <c r="P58" i="91"/>
  <c r="O58" i="91"/>
  <c r="K58" i="91"/>
  <c r="T57" i="91"/>
  <c r="R57" i="91"/>
  <c r="S57" i="91" s="1"/>
  <c r="U57" i="91" s="1"/>
  <c r="V57" i="91" s="1"/>
  <c r="Q57" i="91"/>
  <c r="P57" i="91"/>
  <c r="O57" i="91"/>
  <c r="K57" i="91"/>
  <c r="T56" i="91"/>
  <c r="R56" i="91"/>
  <c r="S56" i="91" s="1"/>
  <c r="U56" i="91" s="1"/>
  <c r="V56" i="91" s="1"/>
  <c r="Q56" i="91"/>
  <c r="P56" i="91"/>
  <c r="O56" i="91"/>
  <c r="K56" i="91"/>
  <c r="T55" i="91"/>
  <c r="R55" i="91"/>
  <c r="Q55" i="91"/>
  <c r="P55" i="91"/>
  <c r="V55" i="91" s="1"/>
  <c r="O55" i="91"/>
  <c r="K55" i="91"/>
  <c r="T54" i="91"/>
  <c r="R54" i="91"/>
  <c r="S54" i="91" s="1"/>
  <c r="U54" i="91" s="1"/>
  <c r="Q54" i="91"/>
  <c r="P54" i="91"/>
  <c r="V54" i="91" s="1"/>
  <c r="O54" i="91"/>
  <c r="K54" i="91"/>
  <c r="T53" i="91"/>
  <c r="R53" i="91"/>
  <c r="S53" i="91" s="1"/>
  <c r="U53" i="91" s="1"/>
  <c r="V53" i="91" s="1"/>
  <c r="Q53" i="91"/>
  <c r="P53" i="91"/>
  <c r="O53" i="91"/>
  <c r="K53" i="91"/>
  <c r="T52" i="91"/>
  <c r="R52" i="91"/>
  <c r="S52" i="91" s="1"/>
  <c r="U52" i="91" s="1"/>
  <c r="Q52" i="91"/>
  <c r="P52" i="91"/>
  <c r="V52" i="91" s="1"/>
  <c r="O52" i="91"/>
  <c r="K52" i="91"/>
  <c r="T51" i="91"/>
  <c r="R51" i="91"/>
  <c r="S51" i="91" s="1"/>
  <c r="U51" i="91" s="1"/>
  <c r="Q51" i="91"/>
  <c r="P51" i="91"/>
  <c r="O51" i="91"/>
  <c r="K51" i="91"/>
  <c r="T50" i="91"/>
  <c r="R50" i="91"/>
  <c r="S50" i="91" s="1"/>
  <c r="U50" i="91" s="1"/>
  <c r="V50" i="91" s="1"/>
  <c r="Q50" i="91"/>
  <c r="P50" i="91"/>
  <c r="O50" i="91"/>
  <c r="K50" i="91"/>
  <c r="T49" i="91"/>
  <c r="R49" i="91"/>
  <c r="S49" i="91" s="1"/>
  <c r="U49" i="91" s="1"/>
  <c r="V49" i="91" s="1"/>
  <c r="Q49" i="91"/>
  <c r="P49" i="91"/>
  <c r="O49" i="91"/>
  <c r="K49" i="91"/>
  <c r="T48" i="91"/>
  <c r="R48" i="91"/>
  <c r="S48" i="91" s="1"/>
  <c r="U48" i="91" s="1"/>
  <c r="Q48" i="91"/>
  <c r="P48" i="91"/>
  <c r="V48" i="91" s="1"/>
  <c r="O48" i="91"/>
  <c r="K48" i="91"/>
  <c r="T47" i="91"/>
  <c r="R47" i="91"/>
  <c r="Q47" i="91"/>
  <c r="P47" i="91"/>
  <c r="O47" i="91"/>
  <c r="K47" i="91"/>
  <c r="T46" i="91"/>
  <c r="R46" i="91"/>
  <c r="S46" i="91" s="1"/>
  <c r="U46" i="91" s="1"/>
  <c r="V46" i="91" s="1"/>
  <c r="Q46" i="91"/>
  <c r="P46" i="91"/>
  <c r="O46" i="91"/>
  <c r="K46" i="91"/>
  <c r="T45" i="91"/>
  <c r="R45" i="91"/>
  <c r="Q45" i="91"/>
  <c r="P45" i="91"/>
  <c r="O45" i="91"/>
  <c r="K45" i="91"/>
  <c r="T44" i="91"/>
  <c r="R44" i="91"/>
  <c r="S44" i="91" s="1"/>
  <c r="U44" i="91" s="1"/>
  <c r="Q44" i="91"/>
  <c r="P44" i="91"/>
  <c r="V44" i="91" s="1"/>
  <c r="O44" i="91"/>
  <c r="K44" i="91"/>
  <c r="T43" i="91"/>
  <c r="R43" i="91"/>
  <c r="Q43" i="91"/>
  <c r="P43" i="91"/>
  <c r="O43" i="91"/>
  <c r="K43" i="91"/>
  <c r="T42" i="91"/>
  <c r="R42" i="91"/>
  <c r="S42" i="91" s="1"/>
  <c r="U42" i="91" s="1"/>
  <c r="Q42" i="91"/>
  <c r="P42" i="91"/>
  <c r="V42" i="91" s="1"/>
  <c r="O42" i="91"/>
  <c r="K42" i="91"/>
  <c r="T41" i="91"/>
  <c r="R41" i="91"/>
  <c r="Q41" i="91"/>
  <c r="P41" i="91"/>
  <c r="V41" i="91" s="1"/>
  <c r="O41" i="91"/>
  <c r="K41" i="91"/>
  <c r="T40" i="91"/>
  <c r="R40" i="91"/>
  <c r="S40" i="91" s="1"/>
  <c r="U40" i="91" s="1"/>
  <c r="V40" i="91" s="1"/>
  <c r="Q40" i="91"/>
  <c r="P40" i="91"/>
  <c r="O40" i="91"/>
  <c r="K40" i="91"/>
  <c r="T39" i="91"/>
  <c r="R39" i="91"/>
  <c r="S39" i="91" s="1"/>
  <c r="U39" i="91" s="1"/>
  <c r="Q39" i="91"/>
  <c r="P39" i="91"/>
  <c r="O39" i="91"/>
  <c r="K39" i="91"/>
  <c r="T38" i="91"/>
  <c r="R38" i="91"/>
  <c r="S38" i="91" s="1"/>
  <c r="U38" i="91" s="1"/>
  <c r="V38" i="91" s="1"/>
  <c r="Q38" i="91"/>
  <c r="P38" i="91"/>
  <c r="O38" i="91"/>
  <c r="K38" i="91"/>
  <c r="T37" i="91"/>
  <c r="R37" i="91"/>
  <c r="S37" i="91" s="1"/>
  <c r="U37" i="91" s="1"/>
  <c r="Q37" i="91"/>
  <c r="P37" i="91"/>
  <c r="O37" i="91"/>
  <c r="K37" i="91"/>
  <c r="T36" i="91"/>
  <c r="R36" i="91"/>
  <c r="Q36" i="91"/>
  <c r="P36" i="91"/>
  <c r="O36" i="91"/>
  <c r="K36" i="91"/>
  <c r="T35" i="91"/>
  <c r="R35" i="91"/>
  <c r="S35" i="91" s="1"/>
  <c r="U35" i="91" s="1"/>
  <c r="Q35" i="91"/>
  <c r="P35" i="91"/>
  <c r="O35" i="91"/>
  <c r="K35" i="91"/>
  <c r="T34" i="91"/>
  <c r="R34" i="91"/>
  <c r="S34" i="91" s="1"/>
  <c r="U34" i="91" s="1"/>
  <c r="V34" i="91" s="1"/>
  <c r="Q34" i="91"/>
  <c r="P34" i="91"/>
  <c r="O34" i="91"/>
  <c r="K34" i="91"/>
  <c r="T33" i="91"/>
  <c r="R33" i="91"/>
  <c r="Q33" i="91"/>
  <c r="P33" i="91"/>
  <c r="V33" i="91" s="1"/>
  <c r="O33" i="91"/>
  <c r="K33" i="91"/>
  <c r="T32" i="91"/>
  <c r="R32" i="91"/>
  <c r="S32" i="91" s="1"/>
  <c r="U32" i="91" s="1"/>
  <c r="Q32" i="91"/>
  <c r="P32" i="91"/>
  <c r="V32" i="91" s="1"/>
  <c r="O32" i="91"/>
  <c r="K32" i="91"/>
  <c r="T31" i="91"/>
  <c r="R31" i="91"/>
  <c r="Q31" i="91"/>
  <c r="P31" i="91"/>
  <c r="V31" i="91" s="1"/>
  <c r="O31" i="91"/>
  <c r="K31" i="91"/>
  <c r="T30" i="91"/>
  <c r="R30" i="91"/>
  <c r="S30" i="91" s="1"/>
  <c r="U30" i="91" s="1"/>
  <c r="V30" i="91" s="1"/>
  <c r="Q30" i="91"/>
  <c r="P30" i="91"/>
  <c r="O30" i="91"/>
  <c r="K30" i="91"/>
  <c r="T29" i="91"/>
  <c r="R29" i="91"/>
  <c r="S29" i="91" s="1"/>
  <c r="U29" i="91" s="1"/>
  <c r="Q29" i="91"/>
  <c r="P29" i="91"/>
  <c r="O29" i="91"/>
  <c r="K29" i="91"/>
  <c r="T28" i="91"/>
  <c r="R28" i="91"/>
  <c r="S28" i="91" s="1"/>
  <c r="U28" i="91" s="1"/>
  <c r="V28" i="91" s="1"/>
  <c r="Q28" i="91"/>
  <c r="P28" i="91"/>
  <c r="O28" i="91"/>
  <c r="K28" i="91"/>
  <c r="T27" i="91"/>
  <c r="R27" i="91"/>
  <c r="Q27" i="91"/>
  <c r="P27" i="91"/>
  <c r="O27" i="91"/>
  <c r="K27" i="91"/>
  <c r="T26" i="91"/>
  <c r="R26" i="91"/>
  <c r="S26" i="91" s="1"/>
  <c r="U26" i="91" s="1"/>
  <c r="V26" i="91" s="1"/>
  <c r="Q26" i="91"/>
  <c r="P26" i="91"/>
  <c r="O26" i="91"/>
  <c r="K26" i="91"/>
  <c r="T25" i="91"/>
  <c r="R25" i="91"/>
  <c r="Q25" i="91"/>
  <c r="P25" i="91"/>
  <c r="V25" i="91" s="1"/>
  <c r="O25" i="91"/>
  <c r="K25" i="91"/>
  <c r="T24" i="91"/>
  <c r="R24" i="91"/>
  <c r="S24" i="91" s="1"/>
  <c r="U24" i="91" s="1"/>
  <c r="V24" i="91" s="1"/>
  <c r="Q24" i="91"/>
  <c r="P24" i="91"/>
  <c r="O24" i="91"/>
  <c r="K24" i="91"/>
  <c r="T23" i="91"/>
  <c r="R23" i="91"/>
  <c r="S23" i="91" s="1"/>
  <c r="U23" i="91" s="1"/>
  <c r="Q23" i="91"/>
  <c r="P23" i="91"/>
  <c r="O23" i="91"/>
  <c r="K23" i="91"/>
  <c r="T22" i="91"/>
  <c r="R22" i="91"/>
  <c r="Q22" i="91"/>
  <c r="P22" i="91"/>
  <c r="V22" i="91" s="1"/>
  <c r="O22" i="91"/>
  <c r="K22" i="91"/>
  <c r="T21" i="91"/>
  <c r="R21" i="91"/>
  <c r="S21" i="91" s="1"/>
  <c r="U21" i="91" s="1"/>
  <c r="Q21" i="91"/>
  <c r="P21" i="91"/>
  <c r="O21" i="91"/>
  <c r="K21" i="91"/>
  <c r="T20" i="91"/>
  <c r="R20" i="91"/>
  <c r="S20" i="91" s="1"/>
  <c r="U20" i="91" s="1"/>
  <c r="Q20" i="91"/>
  <c r="P20" i="91"/>
  <c r="V20" i="91" s="1"/>
  <c r="O20" i="91"/>
  <c r="K20" i="91"/>
  <c r="T19" i="91"/>
  <c r="R19" i="91"/>
  <c r="S19" i="91" s="1"/>
  <c r="U19" i="91" s="1"/>
  <c r="Q19" i="91"/>
  <c r="P19" i="91"/>
  <c r="O19" i="91"/>
  <c r="K19" i="91"/>
  <c r="T18" i="91"/>
  <c r="R18" i="91"/>
  <c r="S18" i="91" s="1"/>
  <c r="U18" i="91" s="1"/>
  <c r="Q18" i="91"/>
  <c r="P18" i="91"/>
  <c r="V18" i="91" s="1"/>
  <c r="O18" i="91"/>
  <c r="K18" i="91"/>
  <c r="T17" i="91"/>
  <c r="R17" i="91"/>
  <c r="Q17" i="91"/>
  <c r="P17" i="91"/>
  <c r="O17" i="91"/>
  <c r="K17" i="91"/>
  <c r="T16" i="91"/>
  <c r="R16" i="91"/>
  <c r="Q16" i="91"/>
  <c r="P16" i="91"/>
  <c r="O16" i="91"/>
  <c r="K16" i="91"/>
  <c r="T15" i="91"/>
  <c r="R15" i="91"/>
  <c r="Q15" i="91"/>
  <c r="P15" i="91"/>
  <c r="V15" i="91" s="1"/>
  <c r="O15" i="91"/>
  <c r="K15" i="91"/>
  <c r="T14" i="91"/>
  <c r="R14" i="91"/>
  <c r="S14" i="91" s="1"/>
  <c r="U14" i="91" s="1"/>
  <c r="V14" i="91" s="1"/>
  <c r="Q14" i="91"/>
  <c r="P14" i="91"/>
  <c r="O14" i="91"/>
  <c r="K14" i="91"/>
  <c r="T13" i="91"/>
  <c r="R13" i="91"/>
  <c r="S13" i="91" s="1"/>
  <c r="U13" i="91" s="1"/>
  <c r="Q13" i="91"/>
  <c r="P13" i="91"/>
  <c r="O13" i="91"/>
  <c r="K13" i="91"/>
  <c r="T12" i="91"/>
  <c r="R12" i="91"/>
  <c r="S12" i="91" s="1"/>
  <c r="U12" i="91" s="1"/>
  <c r="Q12" i="91"/>
  <c r="P12" i="91"/>
  <c r="V12" i="91" s="1"/>
  <c r="O12" i="91"/>
  <c r="K12" i="91"/>
  <c r="T11" i="91"/>
  <c r="R11" i="91"/>
  <c r="Q11" i="91"/>
  <c r="P11" i="91"/>
  <c r="O11" i="91"/>
  <c r="K11" i="91"/>
  <c r="T10" i="91"/>
  <c r="R10" i="91"/>
  <c r="Q10" i="91"/>
  <c r="P10" i="91"/>
  <c r="V10" i="91" s="1"/>
  <c r="O10" i="91"/>
  <c r="K10" i="91"/>
  <c r="T9" i="91"/>
  <c r="R9" i="91"/>
  <c r="S9" i="91" s="1"/>
  <c r="U9" i="91" s="1"/>
  <c r="Q9" i="91"/>
  <c r="P9" i="91"/>
  <c r="O9" i="91"/>
  <c r="K9" i="91"/>
  <c r="T8" i="91"/>
  <c r="R8" i="91"/>
  <c r="S8" i="91" s="1"/>
  <c r="U8" i="91" s="1"/>
  <c r="Q8" i="91"/>
  <c r="P8" i="91"/>
  <c r="V8" i="91" s="1"/>
  <c r="O8" i="91"/>
  <c r="K8" i="91"/>
  <c r="T7" i="91"/>
  <c r="R7" i="91"/>
  <c r="Q7" i="91"/>
  <c r="P7" i="91"/>
  <c r="V7" i="91" s="1"/>
  <c r="O7" i="91"/>
  <c r="K7" i="91"/>
  <c r="T6" i="91"/>
  <c r="R6" i="91"/>
  <c r="R107" i="91" s="1"/>
  <c r="R108" i="91" s="1"/>
  <c r="Q6" i="91"/>
  <c r="P6" i="91"/>
  <c r="O6" i="91"/>
  <c r="K6" i="91"/>
  <c r="K107" i="91" s="1"/>
  <c r="S79" i="91"/>
  <c r="U79" i="91" s="1"/>
  <c r="V79" i="91" s="1"/>
  <c r="U91" i="91"/>
  <c r="S101" i="91"/>
  <c r="U103" i="91"/>
  <c r="V103" i="91" s="1"/>
  <c r="S105" i="91"/>
  <c r="S17" i="91"/>
  <c r="U17" i="91" s="1"/>
  <c r="S33" i="91"/>
  <c r="U33" i="91" s="1"/>
  <c r="S22" i="91"/>
  <c r="U22" i="91" s="1"/>
  <c r="S66" i="91"/>
  <c r="S78" i="91"/>
  <c r="U78" i="91" s="1"/>
  <c r="V78" i="91" s="1"/>
  <c r="S41" i="91"/>
  <c r="U41" i="91" s="1"/>
  <c r="S43" i="91"/>
  <c r="U43" i="91" s="1"/>
  <c r="V43" i="91" s="1"/>
  <c r="S45" i="91"/>
  <c r="U45" i="91" s="1"/>
  <c r="V45" i="91" s="1"/>
  <c r="S47" i="91"/>
  <c r="U47" i="91" s="1"/>
  <c r="S65" i="91"/>
  <c r="U65" i="91" s="1"/>
  <c r="V65" i="91" s="1"/>
  <c r="S93" i="91"/>
  <c r="U93" i="91" s="1"/>
  <c r="V93" i="91" s="1"/>
  <c r="S95" i="91"/>
  <c r="U95" i="91" s="1"/>
  <c r="V95" i="91" s="1"/>
  <c r="S97" i="91"/>
  <c r="U97" i="91"/>
  <c r="V97" i="91" s="1"/>
  <c r="U66" i="91"/>
  <c r="V66" i="91" s="1"/>
  <c r="S81" i="91"/>
  <c r="U81" i="91" s="1"/>
  <c r="V81" i="91" s="1"/>
  <c r="S89" i="91"/>
  <c r="U89" i="91" s="1"/>
  <c r="V89" i="91" s="1"/>
  <c r="U105" i="91"/>
  <c r="V105" i="91" s="1"/>
  <c r="T107" i="91"/>
  <c r="T108" i="91" s="1"/>
  <c r="S7" i="91"/>
  <c r="S11" i="91"/>
  <c r="U11" i="91" s="1"/>
  <c r="V11" i="91" s="1"/>
  <c r="S15" i="91"/>
  <c r="U15" i="91" s="1"/>
  <c r="S96" i="91"/>
  <c r="U96" i="91" s="1"/>
  <c r="V96" i="91" s="1"/>
  <c r="S55" i="91"/>
  <c r="U55" i="91" s="1"/>
  <c r="S61" i="91"/>
  <c r="U61" i="91" s="1"/>
  <c r="S76" i="91"/>
  <c r="U76" i="91" s="1"/>
  <c r="V76" i="91" s="1"/>
  <c r="S82" i="91"/>
  <c r="U82" i="91"/>
  <c r="V82" i="91" s="1"/>
  <c r="U7" i="91"/>
  <c r="U73" i="91"/>
  <c r="V73" i="91"/>
  <c r="U77" i="91"/>
  <c r="V77" i="91" s="1"/>
  <c r="U99" i="91"/>
  <c r="V99" i="91" s="1"/>
  <c r="S25" i="91"/>
  <c r="U25" i="91" s="1"/>
  <c r="S27" i="91"/>
  <c r="U27" i="91" s="1"/>
  <c r="V27" i="91" s="1"/>
  <c r="S31" i="91"/>
  <c r="U31" i="91" s="1"/>
  <c r="S62" i="91"/>
  <c r="U62" i="91" s="1"/>
  <c r="V62" i="91" s="1"/>
  <c r="S85" i="91"/>
  <c r="U85" i="91" s="1"/>
  <c r="V85" i="91" s="1"/>
  <c r="S87" i="91"/>
  <c r="U87" i="91" s="1"/>
  <c r="V87" i="91" s="1"/>
  <c r="S92" i="91"/>
  <c r="U92" i="91"/>
  <c r="V92" i="91" s="1"/>
  <c r="S94" i="91"/>
  <c r="U94" i="91" s="1"/>
  <c r="V94" i="91" s="1"/>
  <c r="S98" i="91"/>
  <c r="U98" i="91"/>
  <c r="V98" i="91" s="1"/>
  <c r="V17" i="91"/>
  <c r="U101" i="91"/>
  <c r="S16" i="91"/>
  <c r="U16" i="91" s="1"/>
  <c r="V16" i="91" s="1"/>
  <c r="S36" i="91"/>
  <c r="U36" i="91" s="1"/>
  <c r="V36" i="91" s="1"/>
  <c r="S68" i="91"/>
  <c r="U68" i="91" s="1"/>
  <c r="V68" i="91" s="1"/>
  <c r="S80" i="91"/>
  <c r="U80" i="91" s="1"/>
  <c r="V80" i="91" s="1"/>
  <c r="S10" i="91"/>
  <c r="U10" i="91" s="1"/>
  <c r="S67" i="91"/>
  <c r="U67" i="91" s="1"/>
  <c r="S72" i="91"/>
  <c r="U72" i="91"/>
  <c r="V72" i="91" s="1"/>
  <c r="S74" i="91"/>
  <c r="U74" i="91" s="1"/>
  <c r="V74" i="91" s="1"/>
  <c r="S90" i="91"/>
  <c r="U90" i="91" s="1"/>
  <c r="V90" i="91" s="1"/>
  <c r="S102" i="91"/>
  <c r="U102" i="91" s="1"/>
  <c r="V102" i="91" s="1"/>
  <c r="V101" i="91"/>
  <c r="AF79" i="90"/>
  <c r="AC79" i="90"/>
  <c r="Z79" i="90"/>
  <c r="T79" i="90"/>
  <c r="Q79" i="90"/>
  <c r="N79" i="90"/>
  <c r="H79" i="90"/>
  <c r="E79" i="90"/>
  <c r="B79" i="90"/>
  <c r="AF45" i="90"/>
  <c r="AC45" i="90"/>
  <c r="Z45" i="90"/>
  <c r="T45" i="90"/>
  <c r="Q45" i="90"/>
  <c r="N45" i="90"/>
  <c r="H45" i="90"/>
  <c r="E45" i="90"/>
  <c r="B45" i="90"/>
  <c r="AM10" i="90"/>
  <c r="AA10" i="90"/>
  <c r="O10" i="90"/>
  <c r="C9" i="90"/>
  <c r="A78" i="90" s="1"/>
  <c r="C4" i="90"/>
  <c r="C3" i="90"/>
  <c r="O3" i="90" s="1"/>
  <c r="AM10" i="78"/>
  <c r="AA10" i="78"/>
  <c r="O10" i="78"/>
  <c r="AG77" i="78"/>
  <c r="AH77" i="78" s="1"/>
  <c r="AF77" i="78"/>
  <c r="AD77" i="78"/>
  <c r="AE77" i="78"/>
  <c r="AC77" i="78"/>
  <c r="AA77" i="78"/>
  <c r="AB77" i="78" s="1"/>
  <c r="Z77" i="78"/>
  <c r="U77" i="78"/>
  <c r="V77" i="78" s="1"/>
  <c r="T77" i="78"/>
  <c r="R77" i="78"/>
  <c r="S77" i="78"/>
  <c r="Q77" i="78"/>
  <c r="O77" i="78"/>
  <c r="P77" i="78" s="1"/>
  <c r="N77" i="78"/>
  <c r="I77" i="78"/>
  <c r="J77" i="78" s="1"/>
  <c r="H77" i="78"/>
  <c r="F77" i="78"/>
  <c r="G77" i="78" s="1"/>
  <c r="E77" i="78"/>
  <c r="C77" i="78"/>
  <c r="D77" i="78"/>
  <c r="B77" i="78"/>
  <c r="AG44" i="78"/>
  <c r="AH44" i="78" s="1"/>
  <c r="AF44" i="78"/>
  <c r="AD44" i="78"/>
  <c r="AE44" i="78" s="1"/>
  <c r="AC44" i="78"/>
  <c r="AA44" i="78"/>
  <c r="AB44" i="78" s="1"/>
  <c r="Z44" i="78"/>
  <c r="I43" i="89"/>
  <c r="J43" i="89" s="1"/>
  <c r="F43" i="89"/>
  <c r="G43" i="89" s="1"/>
  <c r="C43" i="89"/>
  <c r="D43" i="89" s="1"/>
  <c r="D76" i="71"/>
  <c r="H43" i="89"/>
  <c r="E43" i="89"/>
  <c r="B43" i="89"/>
  <c r="C9" i="89"/>
  <c r="A42" i="89" s="1"/>
  <c r="C4" i="89"/>
  <c r="C3" i="89"/>
  <c r="AL79" i="90"/>
  <c r="AL45" i="90"/>
  <c r="F84" i="71"/>
  <c r="E84" i="71"/>
  <c r="F83" i="71"/>
  <c r="E83" i="71"/>
  <c r="F82" i="71"/>
  <c r="E82" i="71"/>
  <c r="F81" i="71"/>
  <c r="E81" i="71"/>
  <c r="F80" i="71"/>
  <c r="E80" i="71"/>
  <c r="F79" i="71"/>
  <c r="E79" i="71"/>
  <c r="F78" i="71"/>
  <c r="E78" i="71"/>
  <c r="F77" i="71"/>
  <c r="E77" i="71"/>
  <c r="F76" i="71"/>
  <c r="E76" i="71"/>
  <c r="F75" i="71"/>
  <c r="E75" i="71"/>
  <c r="D84" i="71"/>
  <c r="D83" i="71"/>
  <c r="D82" i="71"/>
  <c r="D81" i="71"/>
  <c r="D80" i="71"/>
  <c r="D79" i="71"/>
  <c r="D78" i="71"/>
  <c r="D77" i="71"/>
  <c r="D75" i="71"/>
  <c r="B31" i="85"/>
  <c r="B30" i="85"/>
  <c r="B29" i="85"/>
  <c r="B28" i="85"/>
  <c r="B27" i="85"/>
  <c r="B26" i="85"/>
  <c r="B25" i="85"/>
  <c r="B24" i="85"/>
  <c r="B23" i="85"/>
  <c r="B22" i="85"/>
  <c r="B21" i="85"/>
  <c r="B20" i="85"/>
  <c r="B19" i="85"/>
  <c r="B18" i="85"/>
  <c r="B17" i="85"/>
  <c r="C32" i="85"/>
  <c r="C4" i="72"/>
  <c r="Q4" i="72" s="1"/>
  <c r="C4" i="33"/>
  <c r="J4" i="33" s="1"/>
  <c r="C4" i="78"/>
  <c r="AM4" i="78" s="1"/>
  <c r="C4" i="88"/>
  <c r="C4" i="87"/>
  <c r="C4" i="85"/>
  <c r="I3" i="29"/>
  <c r="I4" i="29"/>
  <c r="C9" i="88"/>
  <c r="C3" i="88"/>
  <c r="C9" i="87"/>
  <c r="C3" i="87"/>
  <c r="C9" i="85"/>
  <c r="C3" i="85"/>
  <c r="I42" i="79"/>
  <c r="J42" i="79" s="1"/>
  <c r="H42" i="79"/>
  <c r="F42" i="79"/>
  <c r="G42" i="79"/>
  <c r="E42" i="79"/>
  <c r="C42" i="79"/>
  <c r="D42" i="79" s="1"/>
  <c r="B42" i="79"/>
  <c r="U44" i="78"/>
  <c r="V44" i="78" s="1"/>
  <c r="T44" i="78"/>
  <c r="R44" i="78"/>
  <c r="S44" i="78" s="1"/>
  <c r="Q44" i="78"/>
  <c r="O44" i="78"/>
  <c r="P44" i="78"/>
  <c r="N44" i="78"/>
  <c r="I44" i="78"/>
  <c r="J44" i="78" s="1"/>
  <c r="H44" i="78"/>
  <c r="F44" i="78"/>
  <c r="G44" i="78"/>
  <c r="E44" i="78"/>
  <c r="C44" i="78"/>
  <c r="D44" i="78" s="1"/>
  <c r="B44" i="78"/>
  <c r="C9" i="78"/>
  <c r="A76" i="78" s="1"/>
  <c r="C3" i="78"/>
  <c r="AM3" i="78" s="1"/>
  <c r="H20" i="33"/>
  <c r="G20" i="33"/>
  <c r="H18" i="33"/>
  <c r="G18" i="33"/>
  <c r="H17" i="33"/>
  <c r="G17" i="33"/>
  <c r="AM77" i="78"/>
  <c r="AN77" i="78" s="1"/>
  <c r="AL77" i="78"/>
  <c r="AM44" i="78"/>
  <c r="AN44" i="78"/>
  <c r="AL44" i="78"/>
  <c r="H21" i="33"/>
  <c r="C9" i="72"/>
  <c r="A41" i="72" s="1"/>
  <c r="C3" i="72"/>
  <c r="Q3" i="72" s="1"/>
  <c r="C9" i="33"/>
  <c r="Q9" i="33" s="1"/>
  <c r="C3" i="33"/>
  <c r="J3" i="33" s="1"/>
  <c r="J12" i="29"/>
  <c r="J11" i="29"/>
  <c r="J10" i="29"/>
  <c r="J9" i="29"/>
  <c r="G21" i="33"/>
  <c r="V9" i="91" l="1"/>
  <c r="V35" i="91"/>
  <c r="V37" i="91"/>
  <c r="V39" i="91"/>
  <c r="V13" i="91"/>
  <c r="V19" i="91"/>
  <c r="V21" i="91"/>
  <c r="V23" i="91"/>
  <c r="V29" i="91"/>
  <c r="V47" i="91"/>
  <c r="V51" i="91"/>
  <c r="V59" i="91"/>
  <c r="V61" i="91"/>
  <c r="V63" i="91"/>
  <c r="V69" i="91"/>
  <c r="N77" i="117"/>
  <c r="O77" i="117"/>
  <c r="Q107" i="91"/>
  <c r="Q108" i="91" s="1"/>
  <c r="O43" i="94"/>
  <c r="N43" i="94"/>
  <c r="U44" i="117"/>
  <c r="V20" i="119"/>
  <c r="S15" i="120"/>
  <c r="U15" i="120" s="1"/>
  <c r="V15" i="120" s="1"/>
  <c r="V61" i="120"/>
  <c r="N107" i="124"/>
  <c r="N108" i="124" s="1"/>
  <c r="V16" i="120"/>
  <c r="S6" i="91"/>
  <c r="V91" i="91"/>
  <c r="G44" i="117"/>
  <c r="N44" i="117"/>
  <c r="O44" i="117"/>
  <c r="V38" i="120"/>
  <c r="V44" i="120"/>
  <c r="V82" i="120"/>
  <c r="V84" i="120"/>
  <c r="V92" i="120"/>
  <c r="V94" i="120"/>
  <c r="V96" i="120"/>
  <c r="V100" i="120"/>
  <c r="V102" i="120"/>
  <c r="V104" i="120"/>
  <c r="P107" i="124"/>
  <c r="P108" i="124" s="1"/>
  <c r="R6" i="124"/>
  <c r="P107" i="91"/>
  <c r="P108" i="91" s="1"/>
  <c r="H110" i="117"/>
  <c r="G110" i="117"/>
  <c r="V21" i="119"/>
  <c r="V6" i="120"/>
  <c r="P107" i="120"/>
  <c r="P108" i="120" s="1"/>
  <c r="U7" i="120"/>
  <c r="V7" i="120" s="1"/>
  <c r="O107" i="120"/>
  <c r="O108" i="120" s="1"/>
  <c r="T107" i="120"/>
  <c r="T108" i="120" s="1"/>
  <c r="S9" i="120"/>
  <c r="U9" i="120" s="1"/>
  <c r="V9" i="120" s="1"/>
  <c r="Q107" i="120"/>
  <c r="Q108" i="120" s="1"/>
  <c r="V19" i="120"/>
  <c r="V48" i="120"/>
  <c r="U62" i="120"/>
  <c r="V62" i="120" s="1"/>
  <c r="S7" i="124"/>
  <c r="J107" i="124"/>
  <c r="U67" i="120"/>
  <c r="V67" i="120" s="1"/>
  <c r="V11" i="120"/>
  <c r="U21" i="120"/>
  <c r="V21" i="120" s="1"/>
  <c r="V27" i="120"/>
  <c r="V52" i="120"/>
  <c r="U64" i="120"/>
  <c r="V64" i="120" s="1"/>
  <c r="U69" i="120"/>
  <c r="V69" i="120" s="1"/>
  <c r="V70" i="120"/>
  <c r="S107" i="124"/>
  <c r="S108" i="124" s="1"/>
  <c r="Q107" i="124"/>
  <c r="Q108" i="124" s="1"/>
  <c r="R32" i="124"/>
  <c r="R48" i="124"/>
  <c r="R64" i="124"/>
  <c r="R80" i="124"/>
  <c r="R96" i="124"/>
  <c r="U52" i="120"/>
  <c r="U71" i="120"/>
  <c r="V71" i="120" s="1"/>
  <c r="U14" i="120"/>
  <c r="V14" i="120" s="1"/>
  <c r="S37" i="120"/>
  <c r="U37" i="120" s="1"/>
  <c r="V37" i="120" s="1"/>
  <c r="S39" i="120"/>
  <c r="U39" i="120" s="1"/>
  <c r="V39" i="120" s="1"/>
  <c r="S83" i="120"/>
  <c r="U83" i="120" s="1"/>
  <c r="V83" i="120" s="1"/>
  <c r="S85" i="120"/>
  <c r="U85" i="120" s="1"/>
  <c r="V85" i="120" s="1"/>
  <c r="S89" i="120"/>
  <c r="U89" i="120" s="1"/>
  <c r="V89" i="120" s="1"/>
  <c r="S93" i="120"/>
  <c r="U93" i="120" s="1"/>
  <c r="V93" i="120" s="1"/>
  <c r="S95" i="120"/>
  <c r="U95" i="120" s="1"/>
  <c r="V95" i="120" s="1"/>
  <c r="S99" i="120"/>
  <c r="U99" i="120" s="1"/>
  <c r="V99" i="120" s="1"/>
  <c r="R24" i="124"/>
  <c r="R40" i="124"/>
  <c r="R56" i="124"/>
  <c r="R72" i="124"/>
  <c r="R88" i="124"/>
  <c r="R104" i="124"/>
  <c r="R22" i="124"/>
  <c r="R30" i="124"/>
  <c r="R38" i="124"/>
  <c r="R46" i="124"/>
  <c r="R54" i="124"/>
  <c r="R62" i="124"/>
  <c r="R70" i="124"/>
  <c r="R78" i="124"/>
  <c r="R86" i="124"/>
  <c r="R94" i="124"/>
  <c r="R102" i="124"/>
  <c r="R28" i="124"/>
  <c r="R36" i="124"/>
  <c r="R44" i="124"/>
  <c r="R52" i="124"/>
  <c r="R60" i="124"/>
  <c r="R68" i="124"/>
  <c r="A25" i="79"/>
  <c r="O25" i="79" s="1"/>
  <c r="A24" i="79"/>
  <c r="Z24" i="79" s="1"/>
  <c r="AM78" i="90"/>
  <c r="AG78" i="90"/>
  <c r="I78" i="90"/>
  <c r="R78" i="90"/>
  <c r="AA78" i="90"/>
  <c r="C78" i="90"/>
  <c r="F78" i="90"/>
  <c r="U78" i="90"/>
  <c r="AD78" i="90"/>
  <c r="O78" i="90"/>
  <c r="A40" i="118"/>
  <c r="A108" i="117"/>
  <c r="A76" i="117"/>
  <c r="G76" i="117" s="1"/>
  <c r="A43" i="117"/>
  <c r="N43" i="117" s="1"/>
  <c r="A75" i="117"/>
  <c r="A42" i="117"/>
  <c r="A40" i="72"/>
  <c r="H42" i="72"/>
  <c r="A40" i="114"/>
  <c r="A40" i="113"/>
  <c r="A40" i="112"/>
  <c r="A40" i="110"/>
  <c r="A40" i="109"/>
  <c r="A40" i="108"/>
  <c r="A40" i="107"/>
  <c r="A41" i="101"/>
  <c r="AS42" i="99"/>
  <c r="AT42" i="99" s="1"/>
  <c r="A41" i="99"/>
  <c r="A41" i="96"/>
  <c r="G43" i="96"/>
  <c r="A77" i="90"/>
  <c r="A44" i="90"/>
  <c r="D44" i="90" s="1"/>
  <c r="U43" i="94"/>
  <c r="A41" i="94"/>
  <c r="A43" i="90"/>
  <c r="A41" i="89"/>
  <c r="A27" i="79"/>
  <c r="A18" i="79"/>
  <c r="K18" i="79" s="1"/>
  <c r="A34" i="79"/>
  <c r="V34" i="79" s="1"/>
  <c r="A21" i="79"/>
  <c r="AK21" i="79" s="1"/>
  <c r="A37" i="79"/>
  <c r="AC37" i="79" s="1"/>
  <c r="A30" i="79"/>
  <c r="AR30" i="79" s="1"/>
  <c r="A23" i="79"/>
  <c r="V23" i="79" s="1"/>
  <c r="A39" i="79"/>
  <c r="L39" i="79" s="1"/>
  <c r="M39" i="79" s="1"/>
  <c r="A40" i="79"/>
  <c r="S40" i="79" s="1"/>
  <c r="A41" i="79"/>
  <c r="Y41" i="79" s="1"/>
  <c r="A20" i="79"/>
  <c r="AH20" i="79" s="1"/>
  <c r="A29" i="79"/>
  <c r="AP29" i="79" s="1"/>
  <c r="A22" i="79"/>
  <c r="AO22" i="79" s="1"/>
  <c r="A38" i="79"/>
  <c r="D38" i="79" s="1"/>
  <c r="A31" i="79"/>
  <c r="A28" i="79"/>
  <c r="AH28" i="79" s="1"/>
  <c r="E32" i="85"/>
  <c r="F32" i="85" s="1"/>
  <c r="D32" i="85"/>
  <c r="A17" i="79"/>
  <c r="A33" i="79"/>
  <c r="N33" i="79" s="1"/>
  <c r="A26" i="79"/>
  <c r="A19" i="79"/>
  <c r="Y19" i="79" s="1"/>
  <c r="A35" i="79"/>
  <c r="AO35" i="79" s="1"/>
  <c r="A32" i="79"/>
  <c r="Z32" i="79" s="1"/>
  <c r="AS40" i="79"/>
  <c r="G40" i="79"/>
  <c r="AD40" i="79"/>
  <c r="AE40" i="79" s="1"/>
  <c r="AP40" i="79"/>
  <c r="V41" i="118"/>
  <c r="A39" i="118"/>
  <c r="N110" i="117"/>
  <c r="A107" i="117"/>
  <c r="A74" i="117"/>
  <c r="A93" i="117"/>
  <c r="O93" i="117" s="1"/>
  <c r="A41" i="117"/>
  <c r="J9" i="72"/>
  <c r="A39" i="72"/>
  <c r="O42" i="72"/>
  <c r="A19" i="114"/>
  <c r="J19" i="114" s="1"/>
  <c r="A39" i="114"/>
  <c r="A38" i="113"/>
  <c r="J38" i="113" s="1"/>
  <c r="A39" i="113"/>
  <c r="A38" i="112"/>
  <c r="J38" i="112" s="1"/>
  <c r="A39" i="112"/>
  <c r="A38" i="110"/>
  <c r="D38" i="110" s="1"/>
  <c r="A39" i="110"/>
  <c r="A18" i="109"/>
  <c r="J18" i="109" s="1"/>
  <c r="A39" i="109"/>
  <c r="A16" i="108"/>
  <c r="J16" i="108" s="1"/>
  <c r="A39" i="108"/>
  <c r="A38" i="107"/>
  <c r="A39" i="107"/>
  <c r="A31" i="102"/>
  <c r="G31" i="102" s="1"/>
  <c r="A40" i="102"/>
  <c r="A39" i="101"/>
  <c r="J39" i="101" s="1"/>
  <c r="A40" i="101"/>
  <c r="A40" i="99"/>
  <c r="A40" i="96"/>
  <c r="H43" i="94"/>
  <c r="A40" i="94"/>
  <c r="A76" i="90"/>
  <c r="AM76" i="90" s="1"/>
  <c r="A42" i="90"/>
  <c r="AG42" i="90" s="1"/>
  <c r="A43" i="78"/>
  <c r="AJ43" i="78" s="1"/>
  <c r="A75" i="78"/>
  <c r="A21" i="78"/>
  <c r="X21" i="78" s="1"/>
  <c r="A42" i="78"/>
  <c r="A36" i="89"/>
  <c r="A40" i="89"/>
  <c r="A24" i="109"/>
  <c r="G99" i="71"/>
  <c r="G107" i="71"/>
  <c r="G113" i="71"/>
  <c r="E100" i="71"/>
  <c r="G75" i="71"/>
  <c r="G77" i="71"/>
  <c r="G79" i="71"/>
  <c r="G81" i="71"/>
  <c r="G83" i="71"/>
  <c r="A17" i="107"/>
  <c r="G17" i="107" s="1"/>
  <c r="A37" i="108"/>
  <c r="A32" i="114"/>
  <c r="J32" i="114" s="1"/>
  <c r="A36" i="107"/>
  <c r="J36" i="107" s="1"/>
  <c r="A20" i="112"/>
  <c r="D20" i="112" s="1"/>
  <c r="A19" i="107"/>
  <c r="D19" i="107" s="1"/>
  <c r="A33" i="107"/>
  <c r="G33" i="107" s="1"/>
  <c r="A17" i="110"/>
  <c r="D17" i="110" s="1"/>
  <c r="A28" i="112"/>
  <c r="G28" i="112" s="1"/>
  <c r="A20" i="107"/>
  <c r="A25" i="114"/>
  <c r="D25" i="114" s="1"/>
  <c r="A26" i="113"/>
  <c r="J26" i="113" s="1"/>
  <c r="A31" i="107"/>
  <c r="G31" i="107" s="1"/>
  <c r="A37" i="107"/>
  <c r="D37" i="107" s="1"/>
  <c r="A26" i="107"/>
  <c r="J26" i="107" s="1"/>
  <c r="A17" i="114"/>
  <c r="G17" i="114" s="1"/>
  <c r="A37" i="113"/>
  <c r="G37" i="113" s="1"/>
  <c r="A35" i="107"/>
  <c r="D35" i="107" s="1"/>
  <c r="A21" i="72"/>
  <c r="V21" i="72" s="1"/>
  <c r="A37" i="109"/>
  <c r="J37" i="109" s="1"/>
  <c r="A31" i="110"/>
  <c r="J31" i="110" s="1"/>
  <c r="A31" i="109"/>
  <c r="D31" i="109" s="1"/>
  <c r="A25" i="110"/>
  <c r="G25" i="110" s="1"/>
  <c r="A23" i="108"/>
  <c r="D23" i="108" s="1"/>
  <c r="A16" i="109"/>
  <c r="G41" i="109"/>
  <c r="A17" i="94"/>
  <c r="H17" i="94" s="1"/>
  <c r="A28" i="107"/>
  <c r="G28" i="107" s="1"/>
  <c r="A21" i="107"/>
  <c r="D21" i="107" s="1"/>
  <c r="A22" i="107"/>
  <c r="G22" i="107" s="1"/>
  <c r="A30" i="108"/>
  <c r="J30" i="108" s="1"/>
  <c r="A35" i="112"/>
  <c r="A20" i="113"/>
  <c r="A26" i="89"/>
  <c r="J26" i="89" s="1"/>
  <c r="A37" i="89"/>
  <c r="D37" i="89" s="1"/>
  <c r="A40" i="78"/>
  <c r="AE40" i="78" s="1"/>
  <c r="A32" i="89"/>
  <c r="D32" i="89" s="1"/>
  <c r="A21" i="89"/>
  <c r="D21" i="89" s="1"/>
  <c r="A28" i="72"/>
  <c r="G28" i="72" s="1"/>
  <c r="A30" i="89"/>
  <c r="G30" i="89" s="1"/>
  <c r="A20" i="89"/>
  <c r="D20" i="89" s="1"/>
  <c r="A31" i="108"/>
  <c r="J31" i="108" s="1"/>
  <c r="A25" i="108"/>
  <c r="D25" i="108" s="1"/>
  <c r="A18" i="108"/>
  <c r="J18" i="108" s="1"/>
  <c r="A32" i="109"/>
  <c r="G32" i="109" s="1"/>
  <c r="A25" i="109"/>
  <c r="D25" i="109" s="1"/>
  <c r="A19" i="109"/>
  <c r="A33" i="110"/>
  <c r="A26" i="110"/>
  <c r="G26" i="110" s="1"/>
  <c r="A19" i="110"/>
  <c r="G19" i="110" s="1"/>
  <c r="A33" i="114"/>
  <c r="J33" i="114" s="1"/>
  <c r="A27" i="114"/>
  <c r="D27" i="114" s="1"/>
  <c r="A20" i="114"/>
  <c r="G20" i="114" s="1"/>
  <c r="A36" i="112"/>
  <c r="G36" i="112" s="1"/>
  <c r="A29" i="112"/>
  <c r="G29" i="112" s="1"/>
  <c r="A23" i="112"/>
  <c r="D23" i="112" s="1"/>
  <c r="A31" i="113"/>
  <c r="A21" i="113"/>
  <c r="J21" i="113" s="1"/>
  <c r="A32" i="113"/>
  <c r="G32" i="113" s="1"/>
  <c r="A35" i="113"/>
  <c r="G41" i="112"/>
  <c r="A39" i="78"/>
  <c r="G39" i="78" s="1"/>
  <c r="A35" i="89"/>
  <c r="G35" i="89" s="1"/>
  <c r="A25" i="89"/>
  <c r="J25" i="89" s="1"/>
  <c r="J42" i="89"/>
  <c r="A25" i="96"/>
  <c r="G25" i="96" s="1"/>
  <c r="A35" i="108"/>
  <c r="J35" i="108" s="1"/>
  <c r="A29" i="108"/>
  <c r="D29" i="108" s="1"/>
  <c r="A21" i="108"/>
  <c r="J21" i="108" s="1"/>
  <c r="A36" i="109"/>
  <c r="G36" i="109" s="1"/>
  <c r="A29" i="109"/>
  <c r="D29" i="109" s="1"/>
  <c r="A21" i="109"/>
  <c r="D21" i="109" s="1"/>
  <c r="A37" i="110"/>
  <c r="A30" i="110"/>
  <c r="D30" i="110" s="1"/>
  <c r="A22" i="110"/>
  <c r="D22" i="110" s="1"/>
  <c r="A37" i="114"/>
  <c r="J37" i="114" s="1"/>
  <c r="A31" i="114"/>
  <c r="G31" i="114" s="1"/>
  <c r="A23" i="114"/>
  <c r="G23" i="114" s="1"/>
  <c r="A16" i="114"/>
  <c r="G16" i="114" s="1"/>
  <c r="A33" i="112"/>
  <c r="J33" i="112" s="1"/>
  <c r="A25" i="112"/>
  <c r="G25" i="112" s="1"/>
  <c r="A19" i="112"/>
  <c r="J19" i="112" s="1"/>
  <c r="A25" i="113"/>
  <c r="D25" i="113" s="1"/>
  <c r="A17" i="113"/>
  <c r="G17" i="113" s="1"/>
  <c r="A29" i="113"/>
  <c r="G29" i="113" s="1"/>
  <c r="J41" i="114"/>
  <c r="J9" i="96"/>
  <c r="A34" i="108"/>
  <c r="G34" i="108" s="1"/>
  <c r="A26" i="108"/>
  <c r="D26" i="108" s="1"/>
  <c r="A19" i="108"/>
  <c r="D19" i="108" s="1"/>
  <c r="A35" i="109"/>
  <c r="J35" i="109" s="1"/>
  <c r="A27" i="109"/>
  <c r="J27" i="109" s="1"/>
  <c r="A20" i="109"/>
  <c r="D20" i="109" s="1"/>
  <c r="A35" i="110"/>
  <c r="G35" i="110" s="1"/>
  <c r="A27" i="110"/>
  <c r="J27" i="110" s="1"/>
  <c r="A21" i="110"/>
  <c r="J21" i="110" s="1"/>
  <c r="A36" i="114"/>
  <c r="J36" i="114" s="1"/>
  <c r="A28" i="114"/>
  <c r="D28" i="114" s="1"/>
  <c r="A21" i="114"/>
  <c r="D21" i="114" s="1"/>
  <c r="A34" i="113"/>
  <c r="D34" i="113" s="1"/>
  <c r="A31" i="112"/>
  <c r="A24" i="112"/>
  <c r="D24" i="112" s="1"/>
  <c r="A17" i="112"/>
  <c r="J17" i="112" s="1"/>
  <c r="A22" i="113"/>
  <c r="J22" i="113" s="1"/>
  <c r="A16" i="113"/>
  <c r="J16" i="113" s="1"/>
  <c r="I26" i="104"/>
  <c r="K29" i="104"/>
  <c r="J4" i="72"/>
  <c r="Q4" i="118"/>
  <c r="K45" i="104"/>
  <c r="I57" i="104"/>
  <c r="J57" i="104"/>
  <c r="H44" i="104"/>
  <c r="J39" i="104"/>
  <c r="H8" i="104"/>
  <c r="J26" i="104"/>
  <c r="I39" i="104"/>
  <c r="I6" i="104"/>
  <c r="H27" i="104"/>
  <c r="E29" i="105"/>
  <c r="K30" i="104"/>
  <c r="J42" i="104"/>
  <c r="J14" i="104"/>
  <c r="I27" i="104"/>
  <c r="H47" i="104"/>
  <c r="H15" i="104"/>
  <c r="K48" i="104"/>
  <c r="K17" i="104"/>
  <c r="J27" i="104"/>
  <c r="I42" i="104"/>
  <c r="I14" i="104"/>
  <c r="H29" i="104"/>
  <c r="F29" i="105"/>
  <c r="K54" i="104"/>
  <c r="K44" i="104"/>
  <c r="K24" i="104"/>
  <c r="J51" i="104"/>
  <c r="J38" i="104"/>
  <c r="J21" i="104"/>
  <c r="I51" i="104"/>
  <c r="I38" i="104"/>
  <c r="I21" i="104"/>
  <c r="H53" i="104"/>
  <c r="H39" i="104"/>
  <c r="H23" i="104"/>
  <c r="K6" i="104"/>
  <c r="J7" i="104"/>
  <c r="K53" i="104"/>
  <c r="K36" i="104"/>
  <c r="K18" i="104"/>
  <c r="J50" i="104"/>
  <c r="J33" i="104"/>
  <c r="J15" i="104"/>
  <c r="I50" i="104"/>
  <c r="I33" i="104"/>
  <c r="I15" i="104"/>
  <c r="H51" i="104"/>
  <c r="H35" i="104"/>
  <c r="H17" i="104"/>
  <c r="J8" i="104"/>
  <c r="J3" i="119"/>
  <c r="D26" i="105"/>
  <c r="G28" i="105"/>
  <c r="J4" i="94"/>
  <c r="G34" i="105"/>
  <c r="F35" i="105"/>
  <c r="E35" i="105"/>
  <c r="D32" i="105"/>
  <c r="G4" i="104"/>
  <c r="E12" i="104" s="1"/>
  <c r="AA3" i="90"/>
  <c r="K47" i="104"/>
  <c r="K35" i="104"/>
  <c r="K23" i="104"/>
  <c r="J56" i="104"/>
  <c r="J41" i="104"/>
  <c r="J32" i="104"/>
  <c r="J20" i="104"/>
  <c r="I56" i="104"/>
  <c r="I41" i="104"/>
  <c r="I32" i="104"/>
  <c r="I20" i="104"/>
  <c r="H57" i="104"/>
  <c r="H42" i="104"/>
  <c r="H33" i="104"/>
  <c r="H21" i="104"/>
  <c r="H6" i="104"/>
  <c r="G10" i="105"/>
  <c r="F11" i="105"/>
  <c r="D56" i="105"/>
  <c r="D7" i="105"/>
  <c r="K7" i="104"/>
  <c r="G52" i="105"/>
  <c r="F53" i="105"/>
  <c r="E53" i="105"/>
  <c r="D50" i="105"/>
  <c r="F5" i="105"/>
  <c r="K56" i="104"/>
  <c r="K50" i="104"/>
  <c r="K41" i="104"/>
  <c r="K38" i="104"/>
  <c r="K32" i="104"/>
  <c r="K26" i="104"/>
  <c r="K20" i="104"/>
  <c r="K8" i="104"/>
  <c r="J53" i="104"/>
  <c r="J47" i="104"/>
  <c r="J44" i="104"/>
  <c r="J35" i="104"/>
  <c r="J29" i="104"/>
  <c r="J23" i="104"/>
  <c r="J17" i="104"/>
  <c r="J6" i="104"/>
  <c r="I53" i="104"/>
  <c r="I47" i="104"/>
  <c r="I44" i="104"/>
  <c r="I35" i="104"/>
  <c r="I29" i="104"/>
  <c r="I23" i="104"/>
  <c r="I17" i="104"/>
  <c r="I8" i="104"/>
  <c r="H54" i="104"/>
  <c r="H48" i="104"/>
  <c r="H45" i="104"/>
  <c r="H36" i="104"/>
  <c r="H30" i="104"/>
  <c r="H24" i="104"/>
  <c r="H18" i="104"/>
  <c r="H11" i="104"/>
  <c r="K11" i="104"/>
  <c r="G40" i="105"/>
  <c r="G16" i="105"/>
  <c r="F41" i="105"/>
  <c r="F17" i="105"/>
  <c r="E41" i="105"/>
  <c r="E17" i="105"/>
  <c r="D38" i="105"/>
  <c r="D14" i="105"/>
  <c r="E6" i="105"/>
  <c r="G11" i="105"/>
  <c r="E11" i="105"/>
  <c r="D11" i="105"/>
  <c r="K12" i="104"/>
  <c r="J12" i="104"/>
  <c r="H12" i="104"/>
  <c r="I12" i="104"/>
  <c r="J3" i="72"/>
  <c r="AG3" i="101"/>
  <c r="K51" i="104"/>
  <c r="K42" i="104"/>
  <c r="K39" i="104"/>
  <c r="K33" i="104"/>
  <c r="K27" i="104"/>
  <c r="K21" i="104"/>
  <c r="K15" i="104"/>
  <c r="J54" i="104"/>
  <c r="J48" i="104"/>
  <c r="J45" i="104"/>
  <c r="J36" i="104"/>
  <c r="J30" i="104"/>
  <c r="J24" i="104"/>
  <c r="J18" i="104"/>
  <c r="J11" i="104"/>
  <c r="I54" i="104"/>
  <c r="I48" i="104"/>
  <c r="I45" i="104"/>
  <c r="I36" i="104"/>
  <c r="I30" i="104"/>
  <c r="I24" i="104"/>
  <c r="I18" i="104"/>
  <c r="I11" i="104"/>
  <c r="H56" i="104"/>
  <c r="H50" i="104"/>
  <c r="H41" i="104"/>
  <c r="H38" i="104"/>
  <c r="H32" i="104"/>
  <c r="H26" i="104"/>
  <c r="H20" i="104"/>
  <c r="H14" i="104"/>
  <c r="K14" i="104"/>
  <c r="K57" i="104"/>
  <c r="G46" i="105"/>
  <c r="G22" i="105"/>
  <c r="F47" i="105"/>
  <c r="F23" i="105"/>
  <c r="E47" i="105"/>
  <c r="E23" i="105"/>
  <c r="D44" i="105"/>
  <c r="D20" i="105"/>
  <c r="J3" i="117"/>
  <c r="H7" i="104"/>
  <c r="Q4" i="96"/>
  <c r="B46" i="78"/>
  <c r="N46" i="78" s="1"/>
  <c r="O4" i="78"/>
  <c r="A38" i="78"/>
  <c r="W38" i="78" s="1"/>
  <c r="A65" i="78"/>
  <c r="AB65" i="78" s="1"/>
  <c r="Q9" i="72"/>
  <c r="A23" i="78"/>
  <c r="G23" i="78" s="1"/>
  <c r="A41" i="78"/>
  <c r="X41" i="78" s="1"/>
  <c r="A64" i="90"/>
  <c r="A21" i="96"/>
  <c r="V21" i="96" s="1"/>
  <c r="A19" i="96"/>
  <c r="V19" i="96" s="1"/>
  <c r="A23" i="107"/>
  <c r="D23" i="107" s="1"/>
  <c r="A24" i="107"/>
  <c r="J24" i="107" s="1"/>
  <c r="A29" i="107"/>
  <c r="J29" i="107" s="1"/>
  <c r="A30" i="107"/>
  <c r="D30" i="107" s="1"/>
  <c r="A33" i="108"/>
  <c r="D33" i="108" s="1"/>
  <c r="A27" i="108"/>
  <c r="J27" i="108" s="1"/>
  <c r="A22" i="108"/>
  <c r="J22" i="108" s="1"/>
  <c r="A17" i="108"/>
  <c r="G17" i="108" s="1"/>
  <c r="A33" i="109"/>
  <c r="J33" i="109" s="1"/>
  <c r="A28" i="109"/>
  <c r="A23" i="109"/>
  <c r="J23" i="109" s="1"/>
  <c r="A17" i="109"/>
  <c r="G17" i="109" s="1"/>
  <c r="A34" i="110"/>
  <c r="J34" i="110" s="1"/>
  <c r="A29" i="110"/>
  <c r="G29" i="110" s="1"/>
  <c r="A23" i="110"/>
  <c r="J23" i="110" s="1"/>
  <c r="A18" i="110"/>
  <c r="J18" i="110" s="1"/>
  <c r="A35" i="114"/>
  <c r="G35" i="114" s="1"/>
  <c r="A29" i="114"/>
  <c r="J29" i="114" s="1"/>
  <c r="A24" i="114"/>
  <c r="G24" i="114" s="1"/>
  <c r="A37" i="112"/>
  <c r="J37" i="112" s="1"/>
  <c r="A32" i="112"/>
  <c r="J32" i="112" s="1"/>
  <c r="A27" i="112"/>
  <c r="A21" i="112"/>
  <c r="D21" i="112" s="1"/>
  <c r="A16" i="112"/>
  <c r="J16" i="112" s="1"/>
  <c r="A24" i="113"/>
  <c r="A18" i="113"/>
  <c r="J18" i="113" s="1"/>
  <c r="A28" i="113"/>
  <c r="J28" i="113" s="1"/>
  <c r="A54" i="78"/>
  <c r="AN54" i="78" s="1"/>
  <c r="A64" i="78"/>
  <c r="P64" i="78" s="1"/>
  <c r="A30" i="78"/>
  <c r="A30" i="90"/>
  <c r="F30" i="90" s="1"/>
  <c r="A35" i="102"/>
  <c r="AJ35" i="102" s="1"/>
  <c r="AK35" i="102" s="1"/>
  <c r="G41" i="108"/>
  <c r="A34" i="101"/>
  <c r="A18" i="72"/>
  <c r="U18" i="72" s="1"/>
  <c r="A37" i="72"/>
  <c r="U37" i="72" s="1"/>
  <c r="A19" i="72"/>
  <c r="G19" i="72" s="1"/>
  <c r="G41" i="72"/>
  <c r="A34" i="89"/>
  <c r="J34" i="89" s="1"/>
  <c r="A29" i="89"/>
  <c r="J29" i="89" s="1"/>
  <c r="A24" i="89"/>
  <c r="D24" i="89" s="1"/>
  <c r="A18" i="89"/>
  <c r="A39" i="89"/>
  <c r="A33" i="90"/>
  <c r="O33" i="90" s="1"/>
  <c r="A59" i="90"/>
  <c r="AG59" i="90" s="1"/>
  <c r="A24" i="72"/>
  <c r="G24" i="72" s="1"/>
  <c r="A20" i="72"/>
  <c r="A23" i="72"/>
  <c r="O23" i="72" s="1"/>
  <c r="AM9" i="78"/>
  <c r="A67" i="78"/>
  <c r="AI67" i="78" s="1"/>
  <c r="A24" i="78"/>
  <c r="AH24" i="78" s="1"/>
  <c r="A70" i="78"/>
  <c r="S70" i="78" s="1"/>
  <c r="A33" i="89"/>
  <c r="J33" i="89" s="1"/>
  <c r="A28" i="89"/>
  <c r="D28" i="89" s="1"/>
  <c r="A22" i="89"/>
  <c r="J22" i="89" s="1"/>
  <c r="A17" i="89"/>
  <c r="D17" i="89" s="1"/>
  <c r="A36" i="90"/>
  <c r="F36" i="90" s="1"/>
  <c r="A56" i="90"/>
  <c r="A25" i="102"/>
  <c r="X25" i="102" s="1"/>
  <c r="Y25" i="102" s="1"/>
  <c r="J41" i="110"/>
  <c r="A38" i="108"/>
  <c r="J38" i="108" s="1"/>
  <c r="A36" i="72"/>
  <c r="O36" i="72" s="1"/>
  <c r="A21" i="90"/>
  <c r="AD21" i="90" s="1"/>
  <c r="A39" i="90"/>
  <c r="R39" i="90" s="1"/>
  <c r="O4" i="102"/>
  <c r="R4" i="101"/>
  <c r="AA4" i="102"/>
  <c r="Q4" i="117"/>
  <c r="AG4" i="99"/>
  <c r="AA4" i="78"/>
  <c r="AA4" i="90"/>
  <c r="Q4" i="33"/>
  <c r="O4" i="90"/>
  <c r="Q4" i="119"/>
  <c r="AM4" i="90"/>
  <c r="A32" i="99"/>
  <c r="AC32" i="99" s="1"/>
  <c r="R9" i="99"/>
  <c r="A29" i="72"/>
  <c r="A25" i="72"/>
  <c r="O25" i="72" s="1"/>
  <c r="A31" i="72"/>
  <c r="G31" i="72" s="1"/>
  <c r="J9" i="94"/>
  <c r="A22" i="96"/>
  <c r="N22" i="96" s="1"/>
  <c r="A23" i="96"/>
  <c r="G23" i="96" s="1"/>
  <c r="A37" i="99"/>
  <c r="AK37" i="99" s="1"/>
  <c r="A34" i="99"/>
  <c r="AA34" i="99" s="1"/>
  <c r="AB34" i="99" s="1"/>
  <c r="A20" i="99"/>
  <c r="A24" i="101"/>
  <c r="G24" i="101" s="1"/>
  <c r="A38" i="117"/>
  <c r="A72" i="117"/>
  <c r="G72" i="117" s="1"/>
  <c r="A100" i="117"/>
  <c r="V100" i="117" s="1"/>
  <c r="A31" i="99"/>
  <c r="S31" i="99" s="1"/>
  <c r="A28" i="99"/>
  <c r="N28" i="99" s="1"/>
  <c r="A17" i="99"/>
  <c r="N17" i="99" s="1"/>
  <c r="A35" i="99"/>
  <c r="AK35" i="99" s="1"/>
  <c r="A29" i="99"/>
  <c r="AR29" i="99" s="1"/>
  <c r="A24" i="99"/>
  <c r="AS24" i="99" s="1"/>
  <c r="AT24" i="99" s="1"/>
  <c r="A19" i="99"/>
  <c r="A18" i="99"/>
  <c r="D18" i="99" s="1"/>
  <c r="A84" i="117"/>
  <c r="G84" i="117" s="1"/>
  <c r="J9" i="33"/>
  <c r="A18" i="94"/>
  <c r="N18" i="94" s="1"/>
  <c r="AG9" i="101"/>
  <c r="A26" i="102"/>
  <c r="S26" i="102" s="1"/>
  <c r="A31" i="117"/>
  <c r="A63" i="117"/>
  <c r="N63" i="117" s="1"/>
  <c r="A57" i="117"/>
  <c r="V57" i="117" s="1"/>
  <c r="A86" i="117"/>
  <c r="A16" i="72"/>
  <c r="H16" i="72" s="1"/>
  <c r="A17" i="72"/>
  <c r="O17" i="72" s="1"/>
  <c r="A26" i="72"/>
  <c r="G26" i="72" s="1"/>
  <c r="A30" i="72"/>
  <c r="N30" i="72" s="1"/>
  <c r="A35" i="72"/>
  <c r="O35" i="72" s="1"/>
  <c r="A38" i="72"/>
  <c r="V38" i="72" s="1"/>
  <c r="A20" i="94"/>
  <c r="O20" i="94" s="1"/>
  <c r="A20" i="96"/>
  <c r="A30" i="96"/>
  <c r="G30" i="96" s="1"/>
  <c r="A33" i="99"/>
  <c r="J33" i="99" s="1"/>
  <c r="A26" i="99"/>
  <c r="Z26" i="99" s="1"/>
  <c r="A36" i="99"/>
  <c r="A25" i="99"/>
  <c r="K25" i="99" s="1"/>
  <c r="AG9" i="99"/>
  <c r="A21" i="99"/>
  <c r="AR21" i="99" s="1"/>
  <c r="A19" i="101"/>
  <c r="AH19" i="101" s="1"/>
  <c r="A18" i="101"/>
  <c r="AP18" i="101" s="1"/>
  <c r="AQ18" i="101" s="1"/>
  <c r="A38" i="109"/>
  <c r="D38" i="109" s="1"/>
  <c r="Q9" i="119"/>
  <c r="A32" i="94"/>
  <c r="H32" i="94" s="1"/>
  <c r="A36" i="118"/>
  <c r="A69" i="90"/>
  <c r="AA9" i="78"/>
  <c r="A37" i="78"/>
  <c r="AE37" i="78" s="1"/>
  <c r="A34" i="78"/>
  <c r="X34" i="78" s="1"/>
  <c r="Y34" i="78" s="1"/>
  <c r="A59" i="78"/>
  <c r="AI59" i="78" s="1"/>
  <c r="A19" i="78"/>
  <c r="AH19" i="78" s="1"/>
  <c r="A35" i="78"/>
  <c r="D35" i="78" s="1"/>
  <c r="A60" i="78"/>
  <c r="AJ60" i="78" s="1"/>
  <c r="AK60" i="78" s="1"/>
  <c r="A20" i="78"/>
  <c r="L20" i="78" s="1"/>
  <c r="A36" i="78"/>
  <c r="AJ36" i="78" s="1"/>
  <c r="AK36" i="78" s="1"/>
  <c r="A61" i="78"/>
  <c r="X61" i="78" s="1"/>
  <c r="Y61" i="78" s="1"/>
  <c r="A29" i="78"/>
  <c r="AB29" i="78" s="1"/>
  <c r="A66" i="78"/>
  <c r="J66" i="78" s="1"/>
  <c r="A33" i="78"/>
  <c r="AJ33" i="78" s="1"/>
  <c r="AK33" i="78" s="1"/>
  <c r="A19" i="90"/>
  <c r="O19" i="90" s="1"/>
  <c r="A27" i="90"/>
  <c r="F27" i="90" s="1"/>
  <c r="A32" i="90"/>
  <c r="AM32" i="90" s="1"/>
  <c r="A29" i="90"/>
  <c r="AG29" i="90" s="1"/>
  <c r="A40" i="90"/>
  <c r="AG40" i="90" s="1"/>
  <c r="A57" i="90"/>
  <c r="AI57" i="90" s="1"/>
  <c r="A54" i="90"/>
  <c r="A63" i="90"/>
  <c r="AA63" i="90" s="1"/>
  <c r="A68" i="90"/>
  <c r="U68" i="90" s="1"/>
  <c r="A67" i="90"/>
  <c r="F67" i="90" s="1"/>
  <c r="A20" i="90"/>
  <c r="R20" i="90" s="1"/>
  <c r="A41" i="90"/>
  <c r="C41" i="90" s="1"/>
  <c r="A27" i="94"/>
  <c r="N27" i="94" s="1"/>
  <c r="A25" i="94"/>
  <c r="A38" i="94"/>
  <c r="H38" i="94" s="1"/>
  <c r="A28" i="94"/>
  <c r="O28" i="94" s="1"/>
  <c r="A27" i="101"/>
  <c r="AK27" i="101" s="1"/>
  <c r="A25" i="101"/>
  <c r="AH25" i="101" s="1"/>
  <c r="A32" i="101"/>
  <c r="G32" i="101" s="1"/>
  <c r="AA9" i="102"/>
  <c r="A17" i="102"/>
  <c r="J17" i="102" s="1"/>
  <c r="A22" i="102"/>
  <c r="G22" i="102" s="1"/>
  <c r="A27" i="102"/>
  <c r="AJ27" i="102" s="1"/>
  <c r="AK27" i="102" s="1"/>
  <c r="A19" i="118"/>
  <c r="O19" i="118" s="1"/>
  <c r="A21" i="118"/>
  <c r="H21" i="118" s="1"/>
  <c r="A30" i="118"/>
  <c r="H30" i="118" s="1"/>
  <c r="A70" i="90"/>
  <c r="O9" i="90"/>
  <c r="A38" i="90"/>
  <c r="O38" i="90" s="1"/>
  <c r="A32" i="72"/>
  <c r="V32" i="72" s="1"/>
  <c r="A33" i="72"/>
  <c r="U33" i="72" s="1"/>
  <c r="A34" i="72"/>
  <c r="H34" i="72" s="1"/>
  <c r="A22" i="72"/>
  <c r="G22" i="72" s="1"/>
  <c r="A27" i="72"/>
  <c r="N27" i="72" s="1"/>
  <c r="A22" i="78"/>
  <c r="A71" i="78"/>
  <c r="AI71" i="78" s="1"/>
  <c r="A27" i="78"/>
  <c r="AB27" i="78" s="1"/>
  <c r="A52" i="78"/>
  <c r="K52" i="78" s="1"/>
  <c r="A68" i="78"/>
  <c r="S68" i="78" s="1"/>
  <c r="A28" i="78"/>
  <c r="J28" i="78" s="1"/>
  <c r="A53" i="78"/>
  <c r="AI53" i="78" s="1"/>
  <c r="A69" i="78"/>
  <c r="S69" i="78" s="1"/>
  <c r="A58" i="78"/>
  <c r="AB58" i="78" s="1"/>
  <c r="A74" i="78"/>
  <c r="K74" i="78" s="1"/>
  <c r="A63" i="78"/>
  <c r="A34" i="90"/>
  <c r="AG34" i="90" s="1"/>
  <c r="A23" i="90"/>
  <c r="U23" i="90" s="1"/>
  <c r="A37" i="90"/>
  <c r="AA37" i="90" s="1"/>
  <c r="A24" i="90"/>
  <c r="R24" i="90" s="1"/>
  <c r="A31" i="90"/>
  <c r="U31" i="90" s="1"/>
  <c r="A53" i="90"/>
  <c r="A61" i="90"/>
  <c r="A58" i="90"/>
  <c r="R58" i="90" s="1"/>
  <c r="A65" i="90"/>
  <c r="O65" i="90" s="1"/>
  <c r="A72" i="90"/>
  <c r="A71" i="90"/>
  <c r="AM9" i="90"/>
  <c r="A75" i="90"/>
  <c r="I75" i="90" s="1"/>
  <c r="A29" i="94"/>
  <c r="V29" i="94" s="1"/>
  <c r="A33" i="94"/>
  <c r="G33" i="94" s="1"/>
  <c r="A24" i="94"/>
  <c r="G24" i="94" s="1"/>
  <c r="A34" i="94"/>
  <c r="O34" i="94" s="1"/>
  <c r="A32" i="96"/>
  <c r="V32" i="96" s="1"/>
  <c r="A37" i="96"/>
  <c r="U37" i="96" s="1"/>
  <c r="A38" i="96"/>
  <c r="O38" i="96" s="1"/>
  <c r="A18" i="96"/>
  <c r="N18" i="96" s="1"/>
  <c r="A35" i="96"/>
  <c r="U35" i="96" s="1"/>
  <c r="Q9" i="96"/>
  <c r="A36" i="96"/>
  <c r="G36" i="96" s="1"/>
  <c r="A23" i="99"/>
  <c r="AR23" i="99" s="1"/>
  <c r="A22" i="99"/>
  <c r="G22" i="99" s="1"/>
  <c r="A30" i="99"/>
  <c r="AO30" i="99" s="1"/>
  <c r="A38" i="99"/>
  <c r="G38" i="99" s="1"/>
  <c r="A27" i="99"/>
  <c r="S27" i="99" s="1"/>
  <c r="A39" i="99"/>
  <c r="A17" i="101"/>
  <c r="J17" i="101" s="1"/>
  <c r="R9" i="101"/>
  <c r="A22" i="101"/>
  <c r="A35" i="101"/>
  <c r="A20" i="102"/>
  <c r="A29" i="102"/>
  <c r="AM29" i="102" s="1"/>
  <c r="AN29" i="102" s="1"/>
  <c r="A38" i="102"/>
  <c r="A24" i="102"/>
  <c r="AI24" i="102" s="1"/>
  <c r="A28" i="118"/>
  <c r="O28" i="118" s="1"/>
  <c r="A18" i="118"/>
  <c r="H18" i="118" s="1"/>
  <c r="A35" i="118"/>
  <c r="H35" i="118" s="1"/>
  <c r="O9" i="78"/>
  <c r="A25" i="78"/>
  <c r="S25" i="78" s="1"/>
  <c r="A26" i="78"/>
  <c r="J26" i="78" s="1"/>
  <c r="A55" i="78"/>
  <c r="P76" i="78"/>
  <c r="A31" i="78"/>
  <c r="A56" i="78"/>
  <c r="AN56" i="78" s="1"/>
  <c r="A72" i="78"/>
  <c r="X72" i="78" s="1"/>
  <c r="A32" i="78"/>
  <c r="AI32" i="78" s="1"/>
  <c r="A57" i="78"/>
  <c r="A73" i="78"/>
  <c r="AH73" i="78" s="1"/>
  <c r="A62" i="78"/>
  <c r="A22" i="90"/>
  <c r="A25" i="90"/>
  <c r="A28" i="90"/>
  <c r="C28" i="90" s="1"/>
  <c r="A26" i="90"/>
  <c r="AD26" i="90" s="1"/>
  <c r="A35" i="90"/>
  <c r="A55" i="90"/>
  <c r="AG55" i="90" s="1"/>
  <c r="A62" i="90"/>
  <c r="A60" i="90"/>
  <c r="R60" i="90" s="1"/>
  <c r="A66" i="90"/>
  <c r="A74" i="90"/>
  <c r="C74" i="90" s="1"/>
  <c r="A73" i="90"/>
  <c r="AD73" i="90" s="1"/>
  <c r="AA9" i="90"/>
  <c r="A23" i="94"/>
  <c r="U23" i="94" s="1"/>
  <c r="A19" i="94"/>
  <c r="O19" i="94" s="1"/>
  <c r="A37" i="94"/>
  <c r="G37" i="94" s="1"/>
  <c r="A26" i="94"/>
  <c r="A36" i="94"/>
  <c r="H36" i="94" s="1"/>
  <c r="A28" i="96"/>
  <c r="O28" i="96" s="1"/>
  <c r="A29" i="96"/>
  <c r="G29" i="96" s="1"/>
  <c r="A34" i="96"/>
  <c r="A31" i="96"/>
  <c r="O31" i="96" s="1"/>
  <c r="Q9" i="94"/>
  <c r="A23" i="101"/>
  <c r="G23" i="101" s="1"/>
  <c r="A21" i="101"/>
  <c r="A30" i="101"/>
  <c r="A38" i="101"/>
  <c r="AP38" i="101" s="1"/>
  <c r="A32" i="102"/>
  <c r="K32" i="102" s="1"/>
  <c r="A18" i="102"/>
  <c r="AJ18" i="102" s="1"/>
  <c r="A19" i="102"/>
  <c r="L19" i="102" s="1"/>
  <c r="M19" i="102" s="1"/>
  <c r="AM41" i="102"/>
  <c r="A22" i="117"/>
  <c r="U22" i="117" s="1"/>
  <c r="A28" i="117"/>
  <c r="O28" i="117" s="1"/>
  <c r="A56" i="117"/>
  <c r="G56" i="117" s="1"/>
  <c r="A91" i="117"/>
  <c r="U91" i="117" s="1"/>
  <c r="A27" i="118"/>
  <c r="O27" i="118" s="1"/>
  <c r="A37" i="118"/>
  <c r="L39" i="101"/>
  <c r="M39" i="101" s="1"/>
  <c r="A38" i="89"/>
  <c r="A31" i="89"/>
  <c r="D31" i="89" s="1"/>
  <c r="A27" i="89"/>
  <c r="G27" i="89" s="1"/>
  <c r="A23" i="89"/>
  <c r="A19" i="89"/>
  <c r="D19" i="89" s="1"/>
  <c r="A21" i="94"/>
  <c r="G21" i="94" s="1"/>
  <c r="A31" i="94"/>
  <c r="U31" i="94" s="1"/>
  <c r="A35" i="94"/>
  <c r="N35" i="94" s="1"/>
  <c r="A22" i="94"/>
  <c r="G22" i="94" s="1"/>
  <c r="A30" i="94"/>
  <c r="A24" i="96"/>
  <c r="N24" i="96" s="1"/>
  <c r="A33" i="96"/>
  <c r="G33" i="96" s="1"/>
  <c r="A17" i="96"/>
  <c r="A26" i="96"/>
  <c r="O26" i="96" s="1"/>
  <c r="A27" i="96"/>
  <c r="O27" i="96" s="1"/>
  <c r="A39" i="94"/>
  <c r="G39" i="94" s="1"/>
  <c r="A39" i="96"/>
  <c r="U39" i="96" s="1"/>
  <c r="A20" i="101"/>
  <c r="A28" i="101"/>
  <c r="Y28" i="101" s="1"/>
  <c r="A29" i="101"/>
  <c r="G29" i="101" s="1"/>
  <c r="A31" i="101"/>
  <c r="A36" i="101"/>
  <c r="AM9" i="102"/>
  <c r="A36" i="102"/>
  <c r="AL36" i="102" s="1"/>
  <c r="A33" i="102"/>
  <c r="G33" i="102" s="1"/>
  <c r="A34" i="102"/>
  <c r="V34" i="102" s="1"/>
  <c r="V42" i="101"/>
  <c r="A37" i="101"/>
  <c r="L37" i="101" s="1"/>
  <c r="M37" i="101" s="1"/>
  <c r="A33" i="101"/>
  <c r="J33" i="101" s="1"/>
  <c r="A26" i="101"/>
  <c r="A39" i="102"/>
  <c r="W39" i="102" s="1"/>
  <c r="A23" i="102"/>
  <c r="A30" i="102"/>
  <c r="L30" i="102" s="1"/>
  <c r="M30" i="102" s="1"/>
  <c r="A37" i="102"/>
  <c r="W37" i="102" s="1"/>
  <c r="A21" i="102"/>
  <c r="AH21" i="102" s="1"/>
  <c r="A28" i="102"/>
  <c r="S28" i="102" s="1"/>
  <c r="O9" i="102"/>
  <c r="A18" i="107"/>
  <c r="D18" i="107" s="1"/>
  <c r="A34" i="107"/>
  <c r="G34" i="107" s="1"/>
  <c r="A25" i="107"/>
  <c r="A16" i="107"/>
  <c r="D16" i="107" s="1"/>
  <c r="A32" i="107"/>
  <c r="A27" i="107"/>
  <c r="G27" i="107" s="1"/>
  <c r="G109" i="117"/>
  <c r="A37" i="117"/>
  <c r="H37" i="117" s="1"/>
  <c r="A102" i="117"/>
  <c r="N102" i="117" s="1"/>
  <c r="A97" i="117"/>
  <c r="A88" i="117"/>
  <c r="H88" i="117" s="1"/>
  <c r="A104" i="117"/>
  <c r="U104" i="117" s="1"/>
  <c r="A95" i="117"/>
  <c r="N95" i="117" s="1"/>
  <c r="A61" i="117"/>
  <c r="G61" i="117" s="1"/>
  <c r="A60" i="117"/>
  <c r="V60" i="117" s="1"/>
  <c r="A51" i="117"/>
  <c r="H51" i="117" s="1"/>
  <c r="A67" i="117"/>
  <c r="V67" i="117" s="1"/>
  <c r="A62" i="117"/>
  <c r="H62" i="117" s="1"/>
  <c r="Q9" i="117"/>
  <c r="A32" i="117"/>
  <c r="A19" i="117"/>
  <c r="A35" i="117"/>
  <c r="N35" i="117" s="1"/>
  <c r="A26" i="117"/>
  <c r="V26" i="117" s="1"/>
  <c r="J9" i="117"/>
  <c r="A33" i="117"/>
  <c r="H33" i="117" s="1"/>
  <c r="A73" i="117"/>
  <c r="A40" i="117"/>
  <c r="H40" i="117" s="1"/>
  <c r="A90" i="117"/>
  <c r="N90" i="117" s="1"/>
  <c r="A85" i="117"/>
  <c r="O85" i="117" s="1"/>
  <c r="A101" i="117"/>
  <c r="U101" i="117" s="1"/>
  <c r="A92" i="117"/>
  <c r="O92" i="117" s="1"/>
  <c r="A99" i="117"/>
  <c r="N99" i="117" s="1"/>
  <c r="A65" i="117"/>
  <c r="G65" i="117" s="1"/>
  <c r="A53" i="117"/>
  <c r="A64" i="117"/>
  <c r="N64" i="117" s="1"/>
  <c r="A55" i="117"/>
  <c r="O55" i="117" s="1"/>
  <c r="A71" i="117"/>
  <c r="G71" i="117" s="1"/>
  <c r="A66" i="117"/>
  <c r="A20" i="117"/>
  <c r="V20" i="117" s="1"/>
  <c r="A36" i="117"/>
  <c r="N36" i="117" s="1"/>
  <c r="A23" i="117"/>
  <c r="N23" i="117" s="1"/>
  <c r="A39" i="117"/>
  <c r="G39" i="117" s="1"/>
  <c r="A30" i="117"/>
  <c r="U30" i="117" s="1"/>
  <c r="A21" i="117"/>
  <c r="V21" i="117" s="1"/>
  <c r="A106" i="117"/>
  <c r="V106" i="117" s="1"/>
  <c r="A94" i="117"/>
  <c r="V94" i="117" s="1"/>
  <c r="A89" i="117"/>
  <c r="A105" i="117"/>
  <c r="O105" i="117" s="1"/>
  <c r="A96" i="117"/>
  <c r="G96" i="117" s="1"/>
  <c r="A87" i="117"/>
  <c r="A103" i="117"/>
  <c r="A69" i="117"/>
  <c r="H69" i="117" s="1"/>
  <c r="A52" i="117"/>
  <c r="O52" i="117" s="1"/>
  <c r="A68" i="117"/>
  <c r="H68" i="117" s="1"/>
  <c r="A59" i="117"/>
  <c r="N59" i="117" s="1"/>
  <c r="A54" i="117"/>
  <c r="N54" i="117" s="1"/>
  <c r="A70" i="117"/>
  <c r="O70" i="117" s="1"/>
  <c r="A24" i="117"/>
  <c r="O24" i="117" s="1"/>
  <c r="A27" i="117"/>
  <c r="N27" i="117" s="1"/>
  <c r="A18" i="117"/>
  <c r="N18" i="117" s="1"/>
  <c r="A34" i="117"/>
  <c r="H34" i="117" s="1"/>
  <c r="A25" i="117"/>
  <c r="O25" i="117" s="1"/>
  <c r="J41" i="113"/>
  <c r="A33" i="113"/>
  <c r="G33" i="113" s="1"/>
  <c r="A36" i="113"/>
  <c r="J36" i="113" s="1"/>
  <c r="A19" i="113"/>
  <c r="J19" i="113" s="1"/>
  <c r="A23" i="113"/>
  <c r="J23" i="113" s="1"/>
  <c r="A27" i="113"/>
  <c r="D27" i="113" s="1"/>
  <c r="A30" i="113"/>
  <c r="D30" i="113" s="1"/>
  <c r="A38" i="114"/>
  <c r="A18" i="114"/>
  <c r="A22" i="114"/>
  <c r="A26" i="114"/>
  <c r="G26" i="114" s="1"/>
  <c r="A30" i="114"/>
  <c r="A34" i="114"/>
  <c r="A29" i="117"/>
  <c r="O29" i="117" s="1"/>
  <c r="A58" i="117"/>
  <c r="U58" i="117" s="1"/>
  <c r="A98" i="117"/>
  <c r="H98" i="117" s="1"/>
  <c r="A36" i="108"/>
  <c r="A32" i="108"/>
  <c r="D32" i="108" s="1"/>
  <c r="A28" i="108"/>
  <c r="D28" i="108" s="1"/>
  <c r="A24" i="108"/>
  <c r="D24" i="108" s="1"/>
  <c r="A20" i="108"/>
  <c r="A34" i="109"/>
  <c r="G34" i="109" s="1"/>
  <c r="A30" i="109"/>
  <c r="J30" i="109" s="1"/>
  <c r="A26" i="109"/>
  <c r="A22" i="109"/>
  <c r="A36" i="110"/>
  <c r="A32" i="110"/>
  <c r="G32" i="110" s="1"/>
  <c r="A28" i="110"/>
  <c r="D28" i="110" s="1"/>
  <c r="A24" i="110"/>
  <c r="A20" i="110"/>
  <c r="J20" i="110" s="1"/>
  <c r="A16" i="110"/>
  <c r="A34" i="112"/>
  <c r="J34" i="112" s="1"/>
  <c r="A30" i="112"/>
  <c r="A26" i="112"/>
  <c r="J26" i="112" s="1"/>
  <c r="A22" i="112"/>
  <c r="J22" i="112" s="1"/>
  <c r="A18" i="112"/>
  <c r="J18" i="112" s="1"/>
  <c r="A31" i="118"/>
  <c r="H31" i="118" s="1"/>
  <c r="J9" i="118"/>
  <c r="A24" i="118"/>
  <c r="A33" i="118"/>
  <c r="O33" i="118" s="1"/>
  <c r="A17" i="118"/>
  <c r="Q9" i="118"/>
  <c r="A26" i="118"/>
  <c r="H26" i="118" s="1"/>
  <c r="A20" i="118"/>
  <c r="V20" i="118" s="1"/>
  <c r="A29" i="118"/>
  <c r="A23" i="118"/>
  <c r="O23" i="118" s="1"/>
  <c r="A32" i="118"/>
  <c r="V32" i="118" s="1"/>
  <c r="A16" i="118"/>
  <c r="A25" i="118"/>
  <c r="H25" i="118" s="1"/>
  <c r="A22" i="118"/>
  <c r="O22" i="118" s="1"/>
  <c r="A34" i="118"/>
  <c r="O34" i="118" s="1"/>
  <c r="A38" i="118"/>
  <c r="V38" i="118" s="1"/>
  <c r="D100" i="71"/>
  <c r="D114" i="71"/>
  <c r="E114" i="71"/>
  <c r="G92" i="71"/>
  <c r="G94" i="71"/>
  <c r="G96" i="71"/>
  <c r="G98" i="71"/>
  <c r="G106" i="71"/>
  <c r="G108" i="71"/>
  <c r="G110" i="71"/>
  <c r="G112" i="71"/>
  <c r="L36" i="79"/>
  <c r="M36" i="79" s="1"/>
  <c r="Z37" i="79"/>
  <c r="Y21" i="79"/>
  <c r="G37" i="79"/>
  <c r="AD22" i="79"/>
  <c r="AE22" i="79" s="1"/>
  <c r="L22" i="79"/>
  <c r="M22" i="79" s="1"/>
  <c r="D37" i="79"/>
  <c r="J36" i="79"/>
  <c r="N37" i="79"/>
  <c r="O36" i="79"/>
  <c r="P36" i="79" s="1"/>
  <c r="J37" i="79"/>
  <c r="G36" i="79"/>
  <c r="L37" i="79"/>
  <c r="M37" i="79" s="1"/>
  <c r="V36" i="79"/>
  <c r="S37" i="79"/>
  <c r="AS37" i="79"/>
  <c r="AT37" i="79" s="1"/>
  <c r="O21" i="79"/>
  <c r="P21" i="79" s="1"/>
  <c r="N36" i="79"/>
  <c r="Z36" i="79"/>
  <c r="Y37" i="79"/>
  <c r="AN37" i="79"/>
  <c r="D42" i="99"/>
  <c r="V42" i="99"/>
  <c r="AJ21" i="78"/>
  <c r="AK21" i="78" s="1"/>
  <c r="AP22" i="79"/>
  <c r="AQ22" i="79" s="1"/>
  <c r="N22" i="79"/>
  <c r="K28" i="79"/>
  <c r="O42" i="99"/>
  <c r="P42" i="99" s="1"/>
  <c r="D21" i="78"/>
  <c r="Z42" i="99"/>
  <c r="AR25" i="79"/>
  <c r="AP27" i="79"/>
  <c r="AQ27" i="79" s="1"/>
  <c r="Z27" i="79"/>
  <c r="AC27" i="79"/>
  <c r="O27" i="79"/>
  <c r="P27" i="79" s="1"/>
  <c r="D27" i="79"/>
  <c r="S27" i="79"/>
  <c r="N27" i="79"/>
  <c r="AN25" i="79"/>
  <c r="V25" i="79"/>
  <c r="N25" i="79"/>
  <c r="G25" i="79"/>
  <c r="AP25" i="79"/>
  <c r="AQ25" i="79" s="1"/>
  <c r="Z25" i="79"/>
  <c r="K25" i="79"/>
  <c r="P25" i="79"/>
  <c r="O24" i="79"/>
  <c r="P24" i="79" s="1"/>
  <c r="J27" i="79"/>
  <c r="L25" i="79"/>
  <c r="M25" i="79" s="1"/>
  <c r="AD42" i="99"/>
  <c r="AE42" i="99" s="1"/>
  <c r="Y42" i="99"/>
  <c r="AP42" i="99"/>
  <c r="AQ42" i="99" s="1"/>
  <c r="AK42" i="99"/>
  <c r="K42" i="99"/>
  <c r="S42" i="99"/>
  <c r="L42" i="99"/>
  <c r="M42" i="99" s="1"/>
  <c r="N42" i="99"/>
  <c r="AN42" i="99"/>
  <c r="J42" i="99"/>
  <c r="AO42" i="99"/>
  <c r="G26" i="79"/>
  <c r="G21" i="79"/>
  <c r="O37" i="79"/>
  <c r="P37" i="79" s="1"/>
  <c r="AP37" i="79"/>
  <c r="AQ37" i="79" s="1"/>
  <c r="AD37" i="79"/>
  <c r="AE37" i="79" s="1"/>
  <c r="AA37" i="79"/>
  <c r="AB37" i="79" s="1"/>
  <c r="K37" i="79"/>
  <c r="O39" i="79"/>
  <c r="P39" i="79" s="1"/>
  <c r="AN36" i="79"/>
  <c r="S36" i="79"/>
  <c r="AA36" i="79"/>
  <c r="AB36" i="79" s="1"/>
  <c r="K36" i="79"/>
  <c r="D36" i="79"/>
  <c r="AP36" i="79"/>
  <c r="AQ36" i="79" s="1"/>
  <c r="AC36" i="79"/>
  <c r="K33" i="79"/>
  <c r="K26" i="79"/>
  <c r="AS26" i="79"/>
  <c r="AT26" i="79" s="1"/>
  <c r="Y26" i="79"/>
  <c r="N26" i="79"/>
  <c r="J26" i="79"/>
  <c r="AD26" i="79"/>
  <c r="AE26" i="79" s="1"/>
  <c r="AN21" i="78"/>
  <c r="V26" i="79"/>
  <c r="AP26" i="79"/>
  <c r="AQ26" i="79" s="1"/>
  <c r="G24" i="79"/>
  <c r="D25" i="79"/>
  <c r="K27" i="79"/>
  <c r="V27" i="79"/>
  <c r="AO27" i="79"/>
  <c r="G76" i="71"/>
  <c r="G78" i="71"/>
  <c r="G80" i="71"/>
  <c r="G82" i="71"/>
  <c r="G84" i="71"/>
  <c r="AH31" i="102"/>
  <c r="F114" i="71"/>
  <c r="AA22" i="79"/>
  <c r="AB22" i="79" s="1"/>
  <c r="J21" i="78"/>
  <c r="G21" i="78"/>
  <c r="L21" i="78"/>
  <c r="M21" i="78" s="1"/>
  <c r="AI21" i="78"/>
  <c r="AH21" i="78"/>
  <c r="G27" i="79"/>
  <c r="J25" i="79"/>
  <c r="G22" i="79"/>
  <c r="Y24" i="79"/>
  <c r="AA27" i="79"/>
  <c r="AB27" i="79" s="1"/>
  <c r="AA25" i="79"/>
  <c r="AB25" i="79" s="1"/>
  <c r="Y25" i="79"/>
  <c r="AC22" i="79"/>
  <c r="AS27" i="79"/>
  <c r="AT27" i="79" s="1"/>
  <c r="AS22" i="79"/>
  <c r="AT22" i="79" s="1"/>
  <c r="AN22" i="79"/>
  <c r="F85" i="71"/>
  <c r="V21" i="78"/>
  <c r="S21" i="78"/>
  <c r="W21" i="78"/>
  <c r="AB21" i="78"/>
  <c r="AE21" i="78"/>
  <c r="J22" i="79"/>
  <c r="O22" i="79"/>
  <c r="P22" i="79" s="1"/>
  <c r="K22" i="79"/>
  <c r="L27" i="79"/>
  <c r="M27" i="79" s="1"/>
  <c r="Y27" i="79"/>
  <c r="AD27" i="79"/>
  <c r="AE27" i="79" s="1"/>
  <c r="Y22" i="79"/>
  <c r="S22" i="79"/>
  <c r="AN27" i="79"/>
  <c r="AR22" i="79"/>
  <c r="AK22" i="79"/>
  <c r="AH21" i="79"/>
  <c r="AK37" i="79"/>
  <c r="AH37" i="79"/>
  <c r="AH36" i="79"/>
  <c r="AD36" i="79"/>
  <c r="AE36" i="79" s="1"/>
  <c r="Y36" i="79"/>
  <c r="E85" i="71"/>
  <c r="N42" i="94"/>
  <c r="H42" i="94"/>
  <c r="G42" i="96"/>
  <c r="N42" i="96"/>
  <c r="P21" i="78"/>
  <c r="K21" i="78"/>
  <c r="Y21" i="78"/>
  <c r="D22" i="79"/>
  <c r="Z22" i="79"/>
  <c r="V22" i="79"/>
  <c r="AH29" i="79"/>
  <c r="AH22" i="79"/>
  <c r="AK25" i="79"/>
  <c r="AS25" i="79"/>
  <c r="AT25" i="79" s="1"/>
  <c r="AH25" i="79"/>
  <c r="AO25" i="79"/>
  <c r="AC25" i="79"/>
  <c r="AD25" i="79"/>
  <c r="AE25" i="79" s="1"/>
  <c r="S25" i="79"/>
  <c r="AH27" i="79"/>
  <c r="AR27" i="79"/>
  <c r="D85" i="71"/>
  <c r="F100" i="71"/>
  <c r="G91" i="71"/>
  <c r="D16" i="108"/>
  <c r="V31" i="102"/>
  <c r="J31" i="102"/>
  <c r="AM31" i="102"/>
  <c r="AN31" i="102" s="1"/>
  <c r="AR42" i="99"/>
  <c r="AC42" i="99"/>
  <c r="G42" i="99"/>
  <c r="AH42" i="99"/>
  <c r="AA42" i="99"/>
  <c r="AB42" i="99" s="1"/>
  <c r="G93" i="71"/>
  <c r="G38" i="110"/>
  <c r="G95" i="71"/>
  <c r="G97" i="71"/>
  <c r="G109" i="71"/>
  <c r="G111" i="71"/>
  <c r="AH33" i="79"/>
  <c r="H42" i="96"/>
  <c r="U42" i="96"/>
  <c r="V42" i="96"/>
  <c r="D38" i="113"/>
  <c r="L26" i="79"/>
  <c r="M26" i="79" s="1"/>
  <c r="AC26" i="79"/>
  <c r="AA26" i="79"/>
  <c r="AB26" i="79" s="1"/>
  <c r="Y33" i="79"/>
  <c r="O42" i="96"/>
  <c r="AK26" i="79"/>
  <c r="AH26" i="79"/>
  <c r="AR26" i="79"/>
  <c r="AO26" i="79"/>
  <c r="Z26" i="79"/>
  <c r="U42" i="94"/>
  <c r="G42" i="94"/>
  <c r="O42" i="94"/>
  <c r="V42" i="94"/>
  <c r="H41" i="118"/>
  <c r="O41" i="118"/>
  <c r="D26" i="79"/>
  <c r="O26" i="79"/>
  <c r="P26" i="79" s="1"/>
  <c r="AC32" i="79"/>
  <c r="S26" i="79"/>
  <c r="AC17" i="79"/>
  <c r="AN26" i="79"/>
  <c r="AN21" i="79"/>
  <c r="AR37" i="79"/>
  <c r="AO37" i="79"/>
  <c r="V37" i="79"/>
  <c r="V39" i="79"/>
  <c r="AS36" i="79"/>
  <c r="AT36" i="79" s="1"/>
  <c r="AR36" i="79"/>
  <c r="AK36" i="79"/>
  <c r="AK27" i="79"/>
  <c r="J24" i="109"/>
  <c r="D24" i="109"/>
  <c r="G24" i="109"/>
  <c r="J38" i="110"/>
  <c r="R3" i="99"/>
  <c r="G50" i="105"/>
  <c r="G44" i="105"/>
  <c r="G38" i="105"/>
  <c r="G32" i="105"/>
  <c r="G26" i="105"/>
  <c r="G20" i="105"/>
  <c r="G14" i="105"/>
  <c r="G7" i="105"/>
  <c r="F52" i="105"/>
  <c r="F46" i="105"/>
  <c r="F40" i="105"/>
  <c r="F34" i="105"/>
  <c r="F28" i="105"/>
  <c r="F22" i="105"/>
  <c r="F16" i="105"/>
  <c r="F10" i="105"/>
  <c r="E52" i="105"/>
  <c r="E46" i="105"/>
  <c r="E40" i="105"/>
  <c r="E34" i="105"/>
  <c r="E28" i="105"/>
  <c r="E22" i="105"/>
  <c r="E16" i="105"/>
  <c r="E10" i="105"/>
  <c r="D55" i="105"/>
  <c r="D49" i="105"/>
  <c r="D43" i="105"/>
  <c r="D37" i="105"/>
  <c r="D31" i="105"/>
  <c r="D25" i="105"/>
  <c r="D19" i="105"/>
  <c r="D13" i="105"/>
  <c r="C11" i="130" s="1"/>
  <c r="D5" i="105"/>
  <c r="G56" i="105"/>
  <c r="J3" i="96"/>
  <c r="Q3" i="94"/>
  <c r="G55" i="105"/>
  <c r="G49" i="105"/>
  <c r="G43" i="105"/>
  <c r="G37" i="105"/>
  <c r="G31" i="105"/>
  <c r="G25" i="105"/>
  <c r="G19" i="105"/>
  <c r="G13" i="105"/>
  <c r="F56" i="105"/>
  <c r="F50" i="105"/>
  <c r="F44" i="105"/>
  <c r="F38" i="105"/>
  <c r="F32" i="105"/>
  <c r="F26" i="105"/>
  <c r="F20" i="105"/>
  <c r="F14" i="105"/>
  <c r="E56" i="105"/>
  <c r="E50" i="105"/>
  <c r="E44" i="105"/>
  <c r="E38" i="105"/>
  <c r="E32" i="105"/>
  <c r="E26" i="105"/>
  <c r="E20" i="105"/>
  <c r="E14" i="105"/>
  <c r="E7" i="105"/>
  <c r="D53" i="105"/>
  <c r="D47" i="105"/>
  <c r="D41" i="105"/>
  <c r="D35" i="105"/>
  <c r="D29" i="105"/>
  <c r="D23" i="105"/>
  <c r="D17" i="105"/>
  <c r="G5" i="105"/>
  <c r="D6" i="105"/>
  <c r="G53" i="105"/>
  <c r="G47" i="105"/>
  <c r="G41" i="105"/>
  <c r="G35" i="105"/>
  <c r="G29" i="105"/>
  <c r="G23" i="105"/>
  <c r="G17" i="105"/>
  <c r="F55" i="105"/>
  <c r="F49" i="105"/>
  <c r="F43" i="105"/>
  <c r="F37" i="105"/>
  <c r="F31" i="105"/>
  <c r="F25" i="105"/>
  <c r="F19" i="105"/>
  <c r="F13" i="105"/>
  <c r="E55" i="105"/>
  <c r="E49" i="105"/>
  <c r="E43" i="105"/>
  <c r="E37" i="105"/>
  <c r="E31" i="105"/>
  <c r="E25" i="105"/>
  <c r="E19" i="105"/>
  <c r="E13" i="105"/>
  <c r="E5" i="105"/>
  <c r="D52" i="105"/>
  <c r="D46" i="105"/>
  <c r="D40" i="105"/>
  <c r="D34" i="105"/>
  <c r="D28" i="105"/>
  <c r="D22" i="105"/>
  <c r="D16" i="105"/>
  <c r="D10" i="105"/>
  <c r="F7" i="105"/>
  <c r="F6" i="105"/>
  <c r="Q3" i="33"/>
  <c r="AA3" i="78"/>
  <c r="O3" i="78"/>
  <c r="AM3" i="90"/>
  <c r="B47" i="90"/>
  <c r="O3" i="102"/>
  <c r="AA3" i="102"/>
  <c r="Q3" i="118"/>
  <c r="O40" i="79" l="1"/>
  <c r="P40" i="79" s="1"/>
  <c r="S107" i="120"/>
  <c r="S108" i="120" s="1"/>
  <c r="R107" i="124"/>
  <c r="R108" i="124" s="1"/>
  <c r="U6" i="91"/>
  <c r="S107" i="91"/>
  <c r="S108" i="91" s="1"/>
  <c r="U107" i="120"/>
  <c r="U108" i="120" s="1"/>
  <c r="V40" i="79"/>
  <c r="V107" i="120"/>
  <c r="V108" i="120" s="1"/>
  <c r="S39" i="79"/>
  <c r="S32" i="79"/>
  <c r="N29" i="79"/>
  <c r="Z29" i="79"/>
  <c r="AC28" i="79"/>
  <c r="S24" i="79"/>
  <c r="AA32" i="79"/>
  <c r="AB32" i="79" s="1"/>
  <c r="AR24" i="79"/>
  <c r="AR28" i="79"/>
  <c r="AS32" i="79"/>
  <c r="AT32" i="79" s="1"/>
  <c r="G32" i="79"/>
  <c r="AO24" i="79"/>
  <c r="J28" i="79"/>
  <c r="G29" i="79"/>
  <c r="V29" i="79"/>
  <c r="K32" i="79"/>
  <c r="N39" i="79"/>
  <c r="J21" i="79"/>
  <c r="G33" i="79"/>
  <c r="AH24" i="79"/>
  <c r="AP39" i="79"/>
  <c r="AQ39" i="79" s="1"/>
  <c r="Z21" i="79"/>
  <c r="AD33" i="79"/>
  <c r="AE33" i="79" s="1"/>
  <c r="V33" i="79"/>
  <c r="AR33" i="79"/>
  <c r="AK24" i="79"/>
  <c r="AC29" i="79"/>
  <c r="AA28" i="79"/>
  <c r="AB28" i="79" s="1"/>
  <c r="AC24" i="79"/>
  <c r="J29" i="79"/>
  <c r="O29" i="79"/>
  <c r="P29" i="79" s="1"/>
  <c r="AA39" i="79"/>
  <c r="AB39" i="79" s="1"/>
  <c r="AO39" i="79"/>
  <c r="K21" i="79"/>
  <c r="V21" i="79"/>
  <c r="AR29" i="79"/>
  <c r="AP33" i="79"/>
  <c r="AQ33" i="79" s="1"/>
  <c r="O28" i="79"/>
  <c r="P28" i="79" s="1"/>
  <c r="D29" i="79"/>
  <c r="S44" i="90"/>
  <c r="L33" i="79"/>
  <c r="M33" i="79" s="1"/>
  <c r="AD32" i="79"/>
  <c r="AE32" i="79" s="1"/>
  <c r="Z28" i="79"/>
  <c r="AD39" i="79"/>
  <c r="AE39" i="79" s="1"/>
  <c r="S21" i="79"/>
  <c r="AS28" i="79"/>
  <c r="AT28" i="79" s="1"/>
  <c r="AP28" i="79"/>
  <c r="AQ28" i="79" s="1"/>
  <c r="AQ29" i="79"/>
  <c r="K24" i="79"/>
  <c r="AP32" i="79"/>
  <c r="AQ32" i="79" s="1"/>
  <c r="O32" i="79"/>
  <c r="P32" i="79" s="1"/>
  <c r="AK33" i="79"/>
  <c r="AC21" i="79"/>
  <c r="L21" i="79"/>
  <c r="M21" i="79" s="1"/>
  <c r="D24" i="79"/>
  <c r="AC39" i="79"/>
  <c r="AP21" i="79"/>
  <c r="AQ21" i="79" s="1"/>
  <c r="AK32" i="79"/>
  <c r="N32" i="79"/>
  <c r="AN32" i="79"/>
  <c r="O33" i="79"/>
  <c r="P33" i="79" s="1"/>
  <c r="AC33" i="79"/>
  <c r="AN33" i="79"/>
  <c r="AS24" i="79"/>
  <c r="AT24" i="79" s="1"/>
  <c r="AN29" i="79"/>
  <c r="AA29" i="79"/>
  <c r="AB29" i="79" s="1"/>
  <c r="L29" i="79"/>
  <c r="M29" i="79" s="1"/>
  <c r="AR39" i="79"/>
  <c r="AD21" i="79"/>
  <c r="AE21" i="79" s="1"/>
  <c r="Y29" i="79"/>
  <c r="S28" i="79"/>
  <c r="V24" i="79"/>
  <c r="N28" i="79"/>
  <c r="AK28" i="79"/>
  <c r="Y28" i="79"/>
  <c r="AD24" i="79"/>
  <c r="AE24" i="79" s="1"/>
  <c r="N24" i="79"/>
  <c r="V28" i="79"/>
  <c r="S29" i="79"/>
  <c r="AR32" i="79"/>
  <c r="J33" i="79"/>
  <c r="AN39" i="79"/>
  <c r="J39" i="79"/>
  <c r="AO21" i="79"/>
  <c r="AS21" i="79"/>
  <c r="AT21" i="79" s="1"/>
  <c r="AP24" i="79"/>
  <c r="AQ24" i="79" s="1"/>
  <c r="AO32" i="79"/>
  <c r="G28" i="79"/>
  <c r="Y39" i="79"/>
  <c r="AH39" i="79"/>
  <c r="AD28" i="79"/>
  <c r="AE28" i="79" s="1"/>
  <c r="AS39" i="79"/>
  <c r="AT39" i="79" s="1"/>
  <c r="AS33" i="79"/>
  <c r="AT33" i="79" s="1"/>
  <c r="Z33" i="79"/>
  <c r="L32" i="79"/>
  <c r="M32" i="79" s="1"/>
  <c r="D32" i="79"/>
  <c r="Y32" i="79"/>
  <c r="AH32" i="79"/>
  <c r="S33" i="79"/>
  <c r="V32" i="79"/>
  <c r="D33" i="79"/>
  <c r="AO33" i="79"/>
  <c r="AN28" i="79"/>
  <c r="D28" i="79"/>
  <c r="AR21" i="79"/>
  <c r="AO29" i="79"/>
  <c r="L28" i="79"/>
  <c r="M28" i="79" s="1"/>
  <c r="AN24" i="79"/>
  <c r="AK29" i="79"/>
  <c r="AD29" i="79"/>
  <c r="AE29" i="79" s="1"/>
  <c r="K29" i="79"/>
  <c r="J24" i="79"/>
  <c r="AO28" i="79"/>
  <c r="AS29" i="79"/>
  <c r="AT29" i="79" s="1"/>
  <c r="J32" i="79"/>
  <c r="K44" i="90"/>
  <c r="Z39" i="79"/>
  <c r="K39" i="79"/>
  <c r="AA21" i="79"/>
  <c r="AB21" i="79" s="1"/>
  <c r="N21" i="79"/>
  <c r="AA33" i="79"/>
  <c r="AB33" i="79" s="1"/>
  <c r="AA24" i="79"/>
  <c r="AB24" i="79" s="1"/>
  <c r="L24" i="79"/>
  <c r="M24" i="79" s="1"/>
  <c r="D39" i="79"/>
  <c r="D21" i="79"/>
  <c r="G39" i="79"/>
  <c r="AK39" i="79"/>
  <c r="AS18" i="79"/>
  <c r="AT18" i="79" s="1"/>
  <c r="G18" i="79"/>
  <c r="O25" i="101"/>
  <c r="P25" i="101" s="1"/>
  <c r="AQ40" i="79"/>
  <c r="L40" i="79"/>
  <c r="M40" i="79" s="1"/>
  <c r="AR40" i="79"/>
  <c r="AT40" i="79"/>
  <c r="AC40" i="79"/>
  <c r="AA40" i="79"/>
  <c r="AB40" i="79" s="1"/>
  <c r="J40" i="79"/>
  <c r="Z40" i="79"/>
  <c r="N40" i="79"/>
  <c r="K40" i="79"/>
  <c r="AK40" i="79"/>
  <c r="AO40" i="79"/>
  <c r="D40" i="79"/>
  <c r="AN40" i="79"/>
  <c r="AH40" i="79"/>
  <c r="Y40" i="79"/>
  <c r="Z31" i="99"/>
  <c r="AK29" i="99"/>
  <c r="G19" i="94"/>
  <c r="AS29" i="99"/>
  <c r="AT29" i="99" s="1"/>
  <c r="AA24" i="101"/>
  <c r="AB24" i="101" s="1"/>
  <c r="AS33" i="99"/>
  <c r="AT33" i="99" s="1"/>
  <c r="V30" i="118"/>
  <c r="U93" i="117"/>
  <c r="U32" i="72"/>
  <c r="AA34" i="79"/>
  <c r="AB34" i="79" s="1"/>
  <c r="O19" i="79"/>
  <c r="P19" i="79" s="1"/>
  <c r="O39" i="101"/>
  <c r="P39" i="101" s="1"/>
  <c r="Z39" i="101"/>
  <c r="J17" i="110"/>
  <c r="AA18" i="79"/>
  <c r="AB18" i="79" s="1"/>
  <c r="L18" i="79"/>
  <c r="M18" i="79" s="1"/>
  <c r="N18" i="79"/>
  <c r="AN38" i="79"/>
  <c r="L19" i="79"/>
  <c r="M19" i="79" s="1"/>
  <c r="N19" i="79"/>
  <c r="G38" i="79"/>
  <c r="J18" i="79"/>
  <c r="L34" i="78"/>
  <c r="M34" i="78" s="1"/>
  <c r="S29" i="78"/>
  <c r="AN18" i="79"/>
  <c r="AN30" i="79"/>
  <c r="AD41" i="79"/>
  <c r="AE41" i="79" s="1"/>
  <c r="D18" i="79"/>
  <c r="AI22" i="102"/>
  <c r="Z19" i="79"/>
  <c r="AK19" i="79"/>
  <c r="W57" i="90"/>
  <c r="Z18" i="79"/>
  <c r="AD18" i="79"/>
  <c r="AE18" i="79" s="1"/>
  <c r="AS41" i="79"/>
  <c r="AT41" i="79" s="1"/>
  <c r="O18" i="79"/>
  <c r="P18" i="79" s="1"/>
  <c r="S60" i="78"/>
  <c r="S41" i="79"/>
  <c r="AP18" i="79"/>
  <c r="AQ18" i="79" s="1"/>
  <c r="AH17" i="79"/>
  <c r="K17" i="79"/>
  <c r="G39" i="101"/>
  <c r="AP34" i="79"/>
  <c r="AQ34" i="79" s="1"/>
  <c r="S34" i="79"/>
  <c r="K39" i="101"/>
  <c r="Y35" i="79"/>
  <c r="N39" i="101"/>
  <c r="V17" i="79"/>
  <c r="AR23" i="79"/>
  <c r="AH23" i="79"/>
  <c r="AC35" i="79"/>
  <c r="AD39" i="101"/>
  <c r="AE39" i="101" s="1"/>
  <c r="AO33" i="99"/>
  <c r="Y39" i="101"/>
  <c r="C30" i="90"/>
  <c r="D30" i="90" s="1"/>
  <c r="R30" i="90"/>
  <c r="AA55" i="90"/>
  <c r="AM55" i="90"/>
  <c r="C24" i="90"/>
  <c r="D24" i="90" s="1"/>
  <c r="R36" i="90"/>
  <c r="S36" i="90" s="1"/>
  <c r="AG63" i="90"/>
  <c r="C36" i="90"/>
  <c r="F31" i="90"/>
  <c r="AD42" i="90"/>
  <c r="AE42" i="90" s="1"/>
  <c r="O67" i="90"/>
  <c r="AG24" i="90"/>
  <c r="AG74" i="90"/>
  <c r="F21" i="90"/>
  <c r="G21" i="90" s="1"/>
  <c r="O36" i="90"/>
  <c r="AD36" i="90"/>
  <c r="R55" i="90"/>
  <c r="S55" i="90" s="1"/>
  <c r="O41" i="90"/>
  <c r="P41" i="90" s="1"/>
  <c r="O42" i="90"/>
  <c r="AD30" i="90"/>
  <c r="F37" i="90"/>
  <c r="C21" i="90"/>
  <c r="D21" i="90" s="1"/>
  <c r="R29" i="90"/>
  <c r="AA60" i="90"/>
  <c r="R57" i="90"/>
  <c r="S57" i="90" s="1"/>
  <c r="AG41" i="90"/>
  <c r="AH41" i="90" s="1"/>
  <c r="AA30" i="90"/>
  <c r="AG21" i="90"/>
  <c r="I55" i="90"/>
  <c r="F41" i="90"/>
  <c r="AA36" i="90"/>
  <c r="AB36" i="90" s="1"/>
  <c r="O57" i="90"/>
  <c r="AD27" i="90"/>
  <c r="R76" i="90"/>
  <c r="S76" i="90" s="1"/>
  <c r="I73" i="90"/>
  <c r="F68" i="90"/>
  <c r="AD57" i="90"/>
  <c r="AE57" i="90" s="1"/>
  <c r="C55" i="90"/>
  <c r="D55" i="90" s="1"/>
  <c r="AA59" i="90"/>
  <c r="AB59" i="90" s="1"/>
  <c r="AM60" i="90"/>
  <c r="U67" i="90"/>
  <c r="I58" i="90"/>
  <c r="J58" i="90" s="1"/>
  <c r="AG35" i="90"/>
  <c r="R35" i="90"/>
  <c r="C35" i="90"/>
  <c r="AD35" i="90"/>
  <c r="AE35" i="90" s="1"/>
  <c r="F35" i="90"/>
  <c r="U35" i="90"/>
  <c r="AM35" i="90"/>
  <c r="I35" i="90"/>
  <c r="J35" i="90" s="1"/>
  <c r="AA35" i="90"/>
  <c r="AD20" i="90"/>
  <c r="AR33" i="99"/>
  <c r="F20" i="90"/>
  <c r="G20" i="90" s="1"/>
  <c r="U32" i="90"/>
  <c r="AG22" i="90"/>
  <c r="U22" i="90"/>
  <c r="V22" i="90" s="1"/>
  <c r="AM22" i="90"/>
  <c r="AN22" i="90" s="1"/>
  <c r="I22" i="90"/>
  <c r="AD22" i="90"/>
  <c r="F22" i="90"/>
  <c r="G22" i="90" s="1"/>
  <c r="R22" i="90"/>
  <c r="S22" i="90" s="1"/>
  <c r="AA22" i="90"/>
  <c r="C22" i="90"/>
  <c r="O22" i="90"/>
  <c r="P22" i="90" s="1"/>
  <c r="C39" i="90"/>
  <c r="D39" i="90" s="1"/>
  <c r="O20" i="90"/>
  <c r="AM66" i="90"/>
  <c r="AG66" i="90"/>
  <c r="I66" i="90"/>
  <c r="J66" i="90" s="1"/>
  <c r="R66" i="90"/>
  <c r="AA66" i="90"/>
  <c r="C66" i="90"/>
  <c r="F66" i="90"/>
  <c r="G66" i="90" s="1"/>
  <c r="AD66" i="90"/>
  <c r="U66" i="90"/>
  <c r="O66" i="90"/>
  <c r="K72" i="90"/>
  <c r="AM72" i="90"/>
  <c r="AG72" i="90"/>
  <c r="I72" i="90"/>
  <c r="R72" i="90"/>
  <c r="S72" i="90" s="1"/>
  <c r="AA72" i="90"/>
  <c r="C72" i="90"/>
  <c r="U72" i="90"/>
  <c r="AD72" i="90"/>
  <c r="AE72" i="90" s="1"/>
  <c r="F72" i="90"/>
  <c r="G72" i="90" s="1"/>
  <c r="O72" i="90"/>
  <c r="AM53" i="90"/>
  <c r="AN53" i="90" s="1"/>
  <c r="AG53" i="90"/>
  <c r="AH53" i="90" s="1"/>
  <c r="I53" i="90"/>
  <c r="J53" i="90" s="1"/>
  <c r="R53" i="90"/>
  <c r="AA53" i="90"/>
  <c r="AB53" i="90" s="1"/>
  <c r="C53" i="90"/>
  <c r="U53" i="90"/>
  <c r="AD53" i="90"/>
  <c r="F53" i="90"/>
  <c r="G53" i="90" s="1"/>
  <c r="O53" i="90"/>
  <c r="P53" i="90" s="1"/>
  <c r="K23" i="90"/>
  <c r="AD23" i="90"/>
  <c r="F23" i="90"/>
  <c r="G23" i="90" s="1"/>
  <c r="O23" i="90"/>
  <c r="P23" i="90" s="1"/>
  <c r="R23" i="90"/>
  <c r="AM23" i="90"/>
  <c r="AA23" i="90"/>
  <c r="AB23" i="90" s="1"/>
  <c r="C23" i="90"/>
  <c r="D23" i="90" s="1"/>
  <c r="AG23" i="90"/>
  <c r="AH23" i="90" s="1"/>
  <c r="I23" i="90"/>
  <c r="W70" i="90"/>
  <c r="AM70" i="90"/>
  <c r="AN70" i="90" s="1"/>
  <c r="AG70" i="90"/>
  <c r="I70" i="90"/>
  <c r="R70" i="90"/>
  <c r="AA70" i="90"/>
  <c r="AB70" i="90" s="1"/>
  <c r="C70" i="90"/>
  <c r="U70" i="90"/>
  <c r="AD70" i="90"/>
  <c r="F70" i="90"/>
  <c r="G70" i="90" s="1"/>
  <c r="O70" i="90"/>
  <c r="AG20" i="90"/>
  <c r="U20" i="90"/>
  <c r="V20" i="90" s="1"/>
  <c r="AM20" i="90"/>
  <c r="AN20" i="90" s="1"/>
  <c r="I20" i="90"/>
  <c r="AA20" i="90"/>
  <c r="C20" i="90"/>
  <c r="D20" i="90" s="1"/>
  <c r="AM54" i="90"/>
  <c r="AN54" i="90" s="1"/>
  <c r="AG54" i="90"/>
  <c r="AH54" i="90" s="1"/>
  <c r="I54" i="90"/>
  <c r="R54" i="90"/>
  <c r="S54" i="90" s="1"/>
  <c r="AA54" i="90"/>
  <c r="AB54" i="90" s="1"/>
  <c r="C54" i="90"/>
  <c r="U54" i="90"/>
  <c r="AD54" i="90"/>
  <c r="AE54" i="90" s="1"/>
  <c r="F54" i="90"/>
  <c r="G54" i="90" s="1"/>
  <c r="O54" i="90"/>
  <c r="AG32" i="90"/>
  <c r="I32" i="90"/>
  <c r="C32" i="90"/>
  <c r="D32" i="90" s="1"/>
  <c r="R32" i="90"/>
  <c r="AA32" i="90"/>
  <c r="AD32" i="90"/>
  <c r="F32" i="90"/>
  <c r="G32" i="90" s="1"/>
  <c r="O32" i="90"/>
  <c r="AM69" i="90"/>
  <c r="AG69" i="90"/>
  <c r="I69" i="90"/>
  <c r="J69" i="90" s="1"/>
  <c r="R69" i="90"/>
  <c r="AA69" i="90"/>
  <c r="C69" i="90"/>
  <c r="U69" i="90"/>
  <c r="V69" i="90" s="1"/>
  <c r="AD69" i="90"/>
  <c r="F69" i="90"/>
  <c r="O69" i="90"/>
  <c r="L33" i="99"/>
  <c r="M33" i="99" s="1"/>
  <c r="Y33" i="99"/>
  <c r="W39" i="90"/>
  <c r="AD39" i="90"/>
  <c r="F39" i="90"/>
  <c r="G39" i="90" s="1"/>
  <c r="O39" i="90"/>
  <c r="AM39" i="90"/>
  <c r="AA39" i="90"/>
  <c r="I39" i="90"/>
  <c r="J39" i="90" s="1"/>
  <c r="U39" i="90"/>
  <c r="V39" i="90" s="1"/>
  <c r="AI33" i="90"/>
  <c r="AG33" i="90"/>
  <c r="AH33" i="90" s="1"/>
  <c r="R33" i="90"/>
  <c r="S33" i="90" s="1"/>
  <c r="AA33" i="90"/>
  <c r="C33" i="90"/>
  <c r="I33" i="90"/>
  <c r="U33" i="90"/>
  <c r="V33" i="90" s="1"/>
  <c r="AM33" i="90"/>
  <c r="AN33" i="90" s="1"/>
  <c r="F33" i="90"/>
  <c r="J36" i="89"/>
  <c r="G36" i="89"/>
  <c r="D39" i="101"/>
  <c r="AS39" i="101"/>
  <c r="AT39" i="101" s="1"/>
  <c r="AA39" i="101"/>
  <c r="AB39" i="101" s="1"/>
  <c r="S39" i="101"/>
  <c r="AP39" i="101"/>
  <c r="AQ39" i="101" s="1"/>
  <c r="AK39" i="101"/>
  <c r="AN39" i="101"/>
  <c r="AC39" i="101"/>
  <c r="AO39" i="101"/>
  <c r="V39" i="101"/>
  <c r="AH39" i="101"/>
  <c r="AR39" i="101"/>
  <c r="D38" i="107"/>
  <c r="G38" i="107"/>
  <c r="J38" i="107"/>
  <c r="G18" i="109"/>
  <c r="D18" i="109"/>
  <c r="G38" i="112"/>
  <c r="D38" i="112"/>
  <c r="AP35" i="79"/>
  <c r="AK35" i="79"/>
  <c r="AS17" i="79"/>
  <c r="AT17" i="79" s="1"/>
  <c r="S17" i="79"/>
  <c r="AH31" i="79"/>
  <c r="O31" i="79"/>
  <c r="P31" i="79" s="1"/>
  <c r="G31" i="79"/>
  <c r="V20" i="79"/>
  <c r="G20" i="79"/>
  <c r="AO20" i="79"/>
  <c r="AN23" i="79"/>
  <c r="AC23" i="79"/>
  <c r="N23" i="79"/>
  <c r="D34" i="79"/>
  <c r="G34" i="79"/>
  <c r="J34" i="79"/>
  <c r="Y34" i="79"/>
  <c r="O34" i="79"/>
  <c r="P34" i="79" s="1"/>
  <c r="AK34" i="79"/>
  <c r="K34" i="79"/>
  <c r="AS34" i="79"/>
  <c r="AT34" i="79" s="1"/>
  <c r="AN34" i="79"/>
  <c r="AC34" i="79"/>
  <c r="AO34" i="79"/>
  <c r="Z34" i="79"/>
  <c r="AR34" i="79"/>
  <c r="AD34" i="79"/>
  <c r="AE34" i="79" s="1"/>
  <c r="AA43" i="90"/>
  <c r="AB43" i="90" s="1"/>
  <c r="AG43" i="90"/>
  <c r="AH43" i="90" s="1"/>
  <c r="AD43" i="90"/>
  <c r="F43" i="90"/>
  <c r="O43" i="90"/>
  <c r="P43" i="90" s="1"/>
  <c r="AM43" i="90"/>
  <c r="AN43" i="90" s="1"/>
  <c r="R43" i="90"/>
  <c r="S43" i="90" s="1"/>
  <c r="C43" i="90"/>
  <c r="U43" i="90"/>
  <c r="I43" i="90"/>
  <c r="J43" i="90" s="1"/>
  <c r="O77" i="90"/>
  <c r="AM77" i="90"/>
  <c r="AG77" i="90"/>
  <c r="AH77" i="90" s="1"/>
  <c r="I77" i="90"/>
  <c r="J77" i="90" s="1"/>
  <c r="R77" i="90"/>
  <c r="AA77" i="90"/>
  <c r="C77" i="90"/>
  <c r="F77" i="90"/>
  <c r="G77" i="90" s="1"/>
  <c r="U77" i="90"/>
  <c r="V77" i="90" s="1"/>
  <c r="AD77" i="90"/>
  <c r="AD33" i="90"/>
  <c r="O35" i="90"/>
  <c r="AG39" i="90"/>
  <c r="AI74" i="90"/>
  <c r="U74" i="90"/>
  <c r="V74" i="90" s="1"/>
  <c r="AD74" i="90"/>
  <c r="F74" i="90"/>
  <c r="O74" i="90"/>
  <c r="U55" i="90"/>
  <c r="V55" i="90" s="1"/>
  <c r="AD55" i="90"/>
  <c r="AE55" i="90" s="1"/>
  <c r="F55" i="90"/>
  <c r="G55" i="90" s="1"/>
  <c r="O55" i="90"/>
  <c r="W25" i="90"/>
  <c r="U25" i="90"/>
  <c r="V25" i="90" s="1"/>
  <c r="AM25" i="90"/>
  <c r="AN25" i="90" s="1"/>
  <c r="I25" i="90"/>
  <c r="U71" i="90"/>
  <c r="V71" i="90" s="1"/>
  <c r="AD71" i="90"/>
  <c r="F71" i="90"/>
  <c r="G71" i="90" s="1"/>
  <c r="O71" i="90"/>
  <c r="K61" i="90"/>
  <c r="AM61" i="90"/>
  <c r="AN61" i="90" s="1"/>
  <c r="AG61" i="90"/>
  <c r="AH61" i="90" s="1"/>
  <c r="I61" i="90"/>
  <c r="R61" i="90"/>
  <c r="S61" i="90" s="1"/>
  <c r="AA61" i="90"/>
  <c r="AB61" i="90" s="1"/>
  <c r="C61" i="90"/>
  <c r="D61" i="90" s="1"/>
  <c r="F61" i="90"/>
  <c r="W37" i="90"/>
  <c r="U37" i="90"/>
  <c r="V37" i="90" s="1"/>
  <c r="AM37" i="90"/>
  <c r="AN37" i="90" s="1"/>
  <c r="I37" i="90"/>
  <c r="O37" i="90"/>
  <c r="U41" i="90"/>
  <c r="V41" i="90" s="1"/>
  <c r="AM41" i="90"/>
  <c r="I41" i="90"/>
  <c r="U63" i="90"/>
  <c r="V63" i="90" s="1"/>
  <c r="AD63" i="90"/>
  <c r="AE63" i="90" s="1"/>
  <c r="F63" i="90"/>
  <c r="O63" i="90"/>
  <c r="U29" i="90"/>
  <c r="V29" i="90" s="1"/>
  <c r="AM29" i="90"/>
  <c r="AN29" i="90" s="1"/>
  <c r="I29" i="90"/>
  <c r="AG36" i="90"/>
  <c r="U36" i="90"/>
  <c r="V36" i="90" s="1"/>
  <c r="AM36" i="90"/>
  <c r="AN36" i="90" s="1"/>
  <c r="I36" i="90"/>
  <c r="U59" i="90"/>
  <c r="AD59" i="90"/>
  <c r="F59" i="90"/>
  <c r="G59" i="90" s="1"/>
  <c r="O59" i="90"/>
  <c r="P59" i="90" s="1"/>
  <c r="AM59" i="90"/>
  <c r="AN44" i="90"/>
  <c r="AG44" i="90"/>
  <c r="AD44" i="90"/>
  <c r="F44" i="90"/>
  <c r="O44" i="90"/>
  <c r="AM44" i="90"/>
  <c r="R44" i="90"/>
  <c r="C44" i="90"/>
  <c r="U44" i="90"/>
  <c r="I44" i="90"/>
  <c r="AA44" i="90"/>
  <c r="O21" i="90"/>
  <c r="R31" i="90"/>
  <c r="S31" i="90" s="1"/>
  <c r="F57" i="90"/>
  <c r="G57" i="90" s="1"/>
  <c r="C26" i="90"/>
  <c r="D26" i="90" s="1"/>
  <c r="C42" i="90"/>
  <c r="AA26" i="90"/>
  <c r="AB26" i="90" s="1"/>
  <c r="AA42" i="90"/>
  <c r="AB42" i="90" s="1"/>
  <c r="R26" i="90"/>
  <c r="R42" i="90"/>
  <c r="O29" i="90"/>
  <c r="P29" i="90" s="1"/>
  <c r="F29" i="90"/>
  <c r="G29" i="90" s="1"/>
  <c r="C75" i="90"/>
  <c r="I59" i="90"/>
  <c r="AM75" i="90"/>
  <c r="AN75" i="90" s="1"/>
  <c r="O34" i="90"/>
  <c r="P34" i="90" s="1"/>
  <c r="F26" i="90"/>
  <c r="F42" i="90"/>
  <c r="I27" i="90"/>
  <c r="J27" i="90" s="1"/>
  <c r="O61" i="90"/>
  <c r="P61" i="90" s="1"/>
  <c r="I63" i="90"/>
  <c r="C31" i="90"/>
  <c r="F25" i="90"/>
  <c r="G25" i="90" s="1"/>
  <c r="AG25" i="90"/>
  <c r="AH25" i="90" s="1"/>
  <c r="C37" i="90"/>
  <c r="O31" i="90"/>
  <c r="AA29" i="90"/>
  <c r="AB29" i="90" s="1"/>
  <c r="R25" i="90"/>
  <c r="AD19" i="90"/>
  <c r="AM31" i="90"/>
  <c r="I76" i="90"/>
  <c r="J76" i="90" s="1"/>
  <c r="C73" i="90"/>
  <c r="D73" i="90" s="1"/>
  <c r="I57" i="90"/>
  <c r="AG73" i="90"/>
  <c r="I34" i="90"/>
  <c r="J34" i="90" s="1"/>
  <c r="C58" i="90"/>
  <c r="D58" i="90" s="1"/>
  <c r="AA74" i="90"/>
  <c r="AD68" i="90"/>
  <c r="AG58" i="90"/>
  <c r="AH58" i="90" s="1"/>
  <c r="AM74" i="90"/>
  <c r="AN74" i="90" s="1"/>
  <c r="W60" i="90"/>
  <c r="U60" i="90"/>
  <c r="AD60" i="90"/>
  <c r="AE60" i="90" s="1"/>
  <c r="F60" i="90"/>
  <c r="G60" i="90" s="1"/>
  <c r="O60" i="90"/>
  <c r="P60" i="90" s="1"/>
  <c r="U26" i="90"/>
  <c r="AM26" i="90"/>
  <c r="AN26" i="90" s="1"/>
  <c r="I26" i="90"/>
  <c r="U75" i="90"/>
  <c r="V75" i="90" s="1"/>
  <c r="AD75" i="90"/>
  <c r="F75" i="90"/>
  <c r="O75" i="90"/>
  <c r="P75" i="90" s="1"/>
  <c r="AM65" i="90"/>
  <c r="AG65" i="90"/>
  <c r="I65" i="90"/>
  <c r="R65" i="90"/>
  <c r="AA65" i="90"/>
  <c r="C65" i="90"/>
  <c r="U65" i="90"/>
  <c r="V65" i="90" s="1"/>
  <c r="AI31" i="90"/>
  <c r="AD31" i="90"/>
  <c r="AE31" i="90" s="1"/>
  <c r="AG31" i="90"/>
  <c r="AI67" i="90"/>
  <c r="AM67" i="90"/>
  <c r="AN67" i="90" s="1"/>
  <c r="I67" i="90"/>
  <c r="AA67" i="90"/>
  <c r="AG67" i="90"/>
  <c r="AH67" i="90" s="1"/>
  <c r="R67" i="90"/>
  <c r="C67" i="90"/>
  <c r="AI27" i="90"/>
  <c r="AG27" i="90"/>
  <c r="AH27" i="90" s="1"/>
  <c r="U27" i="90"/>
  <c r="V27" i="90" s="1"/>
  <c r="U21" i="90"/>
  <c r="V21" i="90" s="1"/>
  <c r="AM21" i="90"/>
  <c r="I21" i="90"/>
  <c r="J21" i="90" s="1"/>
  <c r="U30" i="90"/>
  <c r="V30" i="90" s="1"/>
  <c r="AM30" i="90"/>
  <c r="I30" i="90"/>
  <c r="AG30" i="90"/>
  <c r="AH30" i="90" s="1"/>
  <c r="U42" i="90"/>
  <c r="V42" i="90" s="1"/>
  <c r="AM42" i="90"/>
  <c r="AN42" i="90" s="1"/>
  <c r="I42" i="90"/>
  <c r="AA19" i="90"/>
  <c r="AB19" i="90" s="1"/>
  <c r="AD25" i="90"/>
  <c r="AE25" i="90" s="1"/>
  <c r="C59" i="90"/>
  <c r="C34" i="90"/>
  <c r="O24" i="90"/>
  <c r="P24" i="90" s="1"/>
  <c r="O40" i="90"/>
  <c r="P40" i="90" s="1"/>
  <c r="AA34" i="90"/>
  <c r="AB34" i="90" s="1"/>
  <c r="F24" i="90"/>
  <c r="F40" i="90"/>
  <c r="G40" i="90" s="1"/>
  <c r="R34" i="90"/>
  <c r="AD24" i="90"/>
  <c r="AD40" i="90"/>
  <c r="AG37" i="90"/>
  <c r="AH37" i="90" s="1"/>
  <c r="C71" i="90"/>
  <c r="D71" i="90" s="1"/>
  <c r="AA71" i="90"/>
  <c r="AB71" i="90" s="1"/>
  <c r="R71" i="90"/>
  <c r="I71" i="90"/>
  <c r="J71" i="90" s="1"/>
  <c r="AG71" i="90"/>
  <c r="AH71" i="90" s="1"/>
  <c r="AM71" i="90"/>
  <c r="AA31" i="90"/>
  <c r="R27" i="90"/>
  <c r="S27" i="90" s="1"/>
  <c r="F73" i="90"/>
  <c r="G73" i="90" s="1"/>
  <c r="AG75" i="90"/>
  <c r="AH75" i="90" s="1"/>
  <c r="AA24" i="90"/>
  <c r="AA40" i="90"/>
  <c r="F34" i="90"/>
  <c r="G34" i="90" s="1"/>
  <c r="R40" i="90"/>
  <c r="AD34" i="90"/>
  <c r="AM27" i="90"/>
  <c r="AN27" i="90" s="1"/>
  <c r="R63" i="90"/>
  <c r="U61" i="90"/>
  <c r="O25" i="90"/>
  <c r="AD29" i="90"/>
  <c r="AE29" i="90" s="1"/>
  <c r="AA75" i="90"/>
  <c r="AB75" i="90" s="1"/>
  <c r="U57" i="90"/>
  <c r="V57" i="90" s="1"/>
  <c r="C25" i="90"/>
  <c r="AA21" i="90"/>
  <c r="AB21" i="90" s="1"/>
  <c r="AA41" i="90"/>
  <c r="AB41" i="90" s="1"/>
  <c r="R37" i="90"/>
  <c r="F65" i="90"/>
  <c r="C60" i="90"/>
  <c r="D60" i="90" s="1"/>
  <c r="AA76" i="90"/>
  <c r="AB76" i="90" s="1"/>
  <c r="AG60" i="90"/>
  <c r="AH60" i="90" s="1"/>
  <c r="AA57" i="90"/>
  <c r="R73" i="90"/>
  <c r="S73" i="90" s="1"/>
  <c r="AM57" i="90"/>
  <c r="AN57" i="90" s="1"/>
  <c r="O68" i="90"/>
  <c r="I74" i="90"/>
  <c r="AI62" i="90"/>
  <c r="U62" i="90"/>
  <c r="V62" i="90" s="1"/>
  <c r="AD62" i="90"/>
  <c r="F62" i="90"/>
  <c r="O62" i="90"/>
  <c r="P62" i="90" s="1"/>
  <c r="AM62" i="90"/>
  <c r="AN62" i="90" s="1"/>
  <c r="AG62" i="90"/>
  <c r="AH62" i="90" s="1"/>
  <c r="I62" i="90"/>
  <c r="R62" i="90"/>
  <c r="S62" i="90" s="1"/>
  <c r="AA62" i="90"/>
  <c r="AB62" i="90" s="1"/>
  <c r="C62" i="90"/>
  <c r="D62" i="90" s="1"/>
  <c r="U28" i="90"/>
  <c r="AM28" i="90"/>
  <c r="AN28" i="90" s="1"/>
  <c r="I28" i="90"/>
  <c r="J28" i="90" s="1"/>
  <c r="AG28" i="90"/>
  <c r="W58" i="90"/>
  <c r="U58" i="90"/>
  <c r="V58" i="90" s="1"/>
  <c r="AD58" i="90"/>
  <c r="AE58" i="90" s="1"/>
  <c r="F58" i="90"/>
  <c r="O58" i="90"/>
  <c r="U24" i="90"/>
  <c r="V24" i="90" s="1"/>
  <c r="AM24" i="90"/>
  <c r="AN24" i="90" s="1"/>
  <c r="I24" i="90"/>
  <c r="J24" i="90" s="1"/>
  <c r="AG38" i="90"/>
  <c r="U38" i="90"/>
  <c r="V38" i="90" s="1"/>
  <c r="AM38" i="90"/>
  <c r="AN38" i="90" s="1"/>
  <c r="I38" i="90"/>
  <c r="W68" i="90"/>
  <c r="AM68" i="90"/>
  <c r="AN68" i="90" s="1"/>
  <c r="AG68" i="90"/>
  <c r="AH68" i="90" s="1"/>
  <c r="I68" i="90"/>
  <c r="R68" i="90"/>
  <c r="AA68" i="90"/>
  <c r="C68" i="90"/>
  <c r="D68" i="90" s="1"/>
  <c r="K40" i="90"/>
  <c r="U40" i="90"/>
  <c r="AM40" i="90"/>
  <c r="AN40" i="90" s="1"/>
  <c r="I40" i="90"/>
  <c r="J40" i="90" s="1"/>
  <c r="C40" i="90"/>
  <c r="D40" i="90" s="1"/>
  <c r="W19" i="90"/>
  <c r="AG19" i="90"/>
  <c r="AH19" i="90" s="1"/>
  <c r="C19" i="90"/>
  <c r="D19" i="90" s="1"/>
  <c r="W56" i="90"/>
  <c r="AM56" i="90"/>
  <c r="AG56" i="90"/>
  <c r="AH56" i="90" s="1"/>
  <c r="I56" i="90"/>
  <c r="J56" i="90" s="1"/>
  <c r="R56" i="90"/>
  <c r="AA56" i="90"/>
  <c r="C56" i="90"/>
  <c r="D56" i="90" s="1"/>
  <c r="U56" i="90"/>
  <c r="V56" i="90" s="1"/>
  <c r="AD56" i="90"/>
  <c r="F56" i="90"/>
  <c r="O56" i="90"/>
  <c r="P56" i="90" s="1"/>
  <c r="U64" i="90"/>
  <c r="V64" i="90" s="1"/>
  <c r="AD64" i="90"/>
  <c r="F64" i="90"/>
  <c r="O64" i="90"/>
  <c r="P64" i="90" s="1"/>
  <c r="AM64" i="90"/>
  <c r="AN64" i="90" s="1"/>
  <c r="AG64" i="90"/>
  <c r="AH64" i="90" s="1"/>
  <c r="I64" i="90"/>
  <c r="R64" i="90"/>
  <c r="S64" i="90" s="1"/>
  <c r="AA64" i="90"/>
  <c r="AB64" i="90" s="1"/>
  <c r="C64" i="90"/>
  <c r="D64" i="90" s="1"/>
  <c r="U76" i="90"/>
  <c r="AD76" i="90"/>
  <c r="F76" i="90"/>
  <c r="O76" i="90"/>
  <c r="P76" i="90" s="1"/>
  <c r="R19" i="90"/>
  <c r="AD37" i="90"/>
  <c r="O73" i="90"/>
  <c r="P73" i="90" s="1"/>
  <c r="C38" i="90"/>
  <c r="D38" i="90" s="1"/>
  <c r="O28" i="90"/>
  <c r="AA38" i="90"/>
  <c r="AB38" i="90" s="1"/>
  <c r="F28" i="90"/>
  <c r="G28" i="90" s="1"/>
  <c r="R38" i="90"/>
  <c r="AD28" i="90"/>
  <c r="I19" i="90"/>
  <c r="J19" i="90" s="1"/>
  <c r="AM19" i="90"/>
  <c r="AN19" i="90" s="1"/>
  <c r="U19" i="90"/>
  <c r="V19" i="90" s="1"/>
  <c r="C27" i="90"/>
  <c r="R75" i="90"/>
  <c r="S75" i="90" s="1"/>
  <c r="U73" i="90"/>
  <c r="V73" i="90" s="1"/>
  <c r="O26" i="90"/>
  <c r="P26" i="90" s="1"/>
  <c r="AA28" i="90"/>
  <c r="F38" i="90"/>
  <c r="G38" i="90" s="1"/>
  <c r="R28" i="90"/>
  <c r="S28" i="90" s="1"/>
  <c r="AD38" i="90"/>
  <c r="AE38" i="90" s="1"/>
  <c r="C63" i="90"/>
  <c r="AD61" i="90"/>
  <c r="AE61" i="90" s="1"/>
  <c r="AM63" i="90"/>
  <c r="AN63" i="90" s="1"/>
  <c r="AA27" i="90"/>
  <c r="AD41" i="90"/>
  <c r="R59" i="90"/>
  <c r="S59" i="90" s="1"/>
  <c r="O30" i="90"/>
  <c r="P30" i="90" s="1"/>
  <c r="C29" i="90"/>
  <c r="D29" i="90" s="1"/>
  <c r="O27" i="90"/>
  <c r="AA25" i="90"/>
  <c r="AB25" i="90" s="1"/>
  <c r="F19" i="90"/>
  <c r="G19" i="90" s="1"/>
  <c r="R21" i="90"/>
  <c r="S21" i="90" s="1"/>
  <c r="R41" i="90"/>
  <c r="I31" i="90"/>
  <c r="J31" i="90" s="1"/>
  <c r="AD65" i="90"/>
  <c r="AE65" i="90" s="1"/>
  <c r="AG26" i="90"/>
  <c r="C76" i="90"/>
  <c r="I60" i="90"/>
  <c r="J60" i="90" s="1"/>
  <c r="AG76" i="90"/>
  <c r="AH76" i="90" s="1"/>
  <c r="C57" i="90"/>
  <c r="AA73" i="90"/>
  <c r="AD67" i="90"/>
  <c r="AG57" i="90"/>
  <c r="AH57" i="90" s="1"/>
  <c r="AM73" i="90"/>
  <c r="AN73" i="90" s="1"/>
  <c r="AM34" i="90"/>
  <c r="AA58" i="90"/>
  <c r="AB58" i="90" s="1"/>
  <c r="R74" i="90"/>
  <c r="U34" i="90"/>
  <c r="AM58" i="90"/>
  <c r="P21" i="90"/>
  <c r="D53" i="90"/>
  <c r="AH28" i="90"/>
  <c r="AO18" i="79"/>
  <c r="AP19" i="79"/>
  <c r="AQ19" i="79" s="1"/>
  <c r="S19" i="79"/>
  <c r="U27" i="94"/>
  <c r="AK18" i="79"/>
  <c r="Y18" i="79"/>
  <c r="AH18" i="79"/>
  <c r="AC18" i="79"/>
  <c r="S38" i="79"/>
  <c r="V18" i="79"/>
  <c r="J19" i="79"/>
  <c r="AP30" i="79"/>
  <c r="AQ30" i="79" s="1"/>
  <c r="S18" i="79"/>
  <c r="AR18" i="79"/>
  <c r="AK30" i="79"/>
  <c r="D27" i="101"/>
  <c r="V40" i="118"/>
  <c r="H40" i="118"/>
  <c r="O40" i="118"/>
  <c r="V108" i="117"/>
  <c r="H108" i="117"/>
  <c r="U108" i="117"/>
  <c r="G108" i="117"/>
  <c r="O108" i="117"/>
  <c r="N108" i="117"/>
  <c r="V75" i="117"/>
  <c r="H75" i="117"/>
  <c r="U75" i="117"/>
  <c r="G75" i="117"/>
  <c r="O75" i="117"/>
  <c r="N75" i="117"/>
  <c r="V42" i="117"/>
  <c r="H42" i="117"/>
  <c r="U42" i="117"/>
  <c r="G42" i="117"/>
  <c r="O42" i="117"/>
  <c r="N42" i="117"/>
  <c r="V40" i="72"/>
  <c r="H40" i="72"/>
  <c r="U40" i="72"/>
  <c r="G40" i="72"/>
  <c r="N40" i="72"/>
  <c r="O40" i="72"/>
  <c r="G19" i="114"/>
  <c r="D19" i="114"/>
  <c r="J40" i="114"/>
  <c r="D40" i="114"/>
  <c r="G40" i="114"/>
  <c r="J40" i="113"/>
  <c r="G40" i="113"/>
  <c r="D40" i="113"/>
  <c r="G38" i="113"/>
  <c r="J40" i="112"/>
  <c r="G40" i="112"/>
  <c r="D40" i="112"/>
  <c r="J40" i="110"/>
  <c r="G40" i="110"/>
  <c r="D40" i="110"/>
  <c r="G38" i="109"/>
  <c r="J40" i="109"/>
  <c r="D40" i="109"/>
  <c r="G40" i="109"/>
  <c r="G16" i="108"/>
  <c r="J40" i="108"/>
  <c r="D40" i="108"/>
  <c r="G40" i="108"/>
  <c r="J40" i="107"/>
  <c r="G40" i="107"/>
  <c r="D40" i="107"/>
  <c r="AP41" i="101"/>
  <c r="AQ41" i="101" s="1"/>
  <c r="AH41" i="101"/>
  <c r="V41" i="101"/>
  <c r="N41" i="101"/>
  <c r="J41" i="101"/>
  <c r="Y41" i="101"/>
  <c r="K41" i="101"/>
  <c r="AS41" i="101"/>
  <c r="AT41" i="101" s="1"/>
  <c r="AO41" i="101"/>
  <c r="AA41" i="101"/>
  <c r="AB41" i="101" s="1"/>
  <c r="S41" i="101"/>
  <c r="G41" i="101"/>
  <c r="AR41" i="101"/>
  <c r="AN41" i="101"/>
  <c r="AD41" i="101"/>
  <c r="AE41" i="101" s="1"/>
  <c r="Z41" i="101"/>
  <c r="L41" i="101"/>
  <c r="M41" i="101" s="1"/>
  <c r="D41" i="101"/>
  <c r="AK41" i="101"/>
  <c r="AC41" i="101"/>
  <c r="O41" i="101"/>
  <c r="P41" i="101" s="1"/>
  <c r="V24" i="101"/>
  <c r="AP41" i="99"/>
  <c r="AQ41" i="99" s="1"/>
  <c r="AH41" i="99"/>
  <c r="V41" i="99"/>
  <c r="N41" i="99"/>
  <c r="J41" i="99"/>
  <c r="S41" i="99"/>
  <c r="G41" i="99"/>
  <c r="AR41" i="99"/>
  <c r="AN41" i="99"/>
  <c r="Z41" i="99"/>
  <c r="D41" i="99"/>
  <c r="AS41" i="99"/>
  <c r="AT41" i="99" s="1"/>
  <c r="AO41" i="99"/>
  <c r="AA41" i="99"/>
  <c r="AB41" i="99" s="1"/>
  <c r="AD41" i="99"/>
  <c r="AE41" i="99" s="1"/>
  <c r="L41" i="99"/>
  <c r="M41" i="99" s="1"/>
  <c r="AK41" i="99"/>
  <c r="AC41" i="99"/>
  <c r="Y41" i="99"/>
  <c r="O41" i="99"/>
  <c r="P41" i="99" s="1"/>
  <c r="K41" i="99"/>
  <c r="H23" i="96"/>
  <c r="V41" i="96"/>
  <c r="U41" i="96"/>
  <c r="G41" i="96"/>
  <c r="O41" i="96"/>
  <c r="N41" i="96"/>
  <c r="H41" i="96"/>
  <c r="AN77" i="90"/>
  <c r="AI77" i="90"/>
  <c r="S77" i="90"/>
  <c r="D77" i="90"/>
  <c r="AB77" i="90"/>
  <c r="W77" i="90"/>
  <c r="P77" i="90"/>
  <c r="K77" i="90"/>
  <c r="AE77" i="90"/>
  <c r="V41" i="94"/>
  <c r="H41" i="94"/>
  <c r="G41" i="94"/>
  <c r="N41" i="94"/>
  <c r="U41" i="94"/>
  <c r="O41" i="94"/>
  <c r="AI44" i="90"/>
  <c r="AE44" i="90"/>
  <c r="P44" i="90"/>
  <c r="AB44" i="90"/>
  <c r="J44" i="90"/>
  <c r="AH44" i="90"/>
  <c r="W44" i="90"/>
  <c r="G44" i="90"/>
  <c r="V44" i="90"/>
  <c r="W43" i="90"/>
  <c r="G43" i="90"/>
  <c r="AE43" i="90"/>
  <c r="D43" i="90"/>
  <c r="V43" i="90"/>
  <c r="K43" i="90"/>
  <c r="AI43" i="90"/>
  <c r="X43" i="90"/>
  <c r="Y43" i="90" s="1"/>
  <c r="D36" i="89"/>
  <c r="J41" i="89"/>
  <c r="D41" i="89"/>
  <c r="G41" i="89"/>
  <c r="AH24" i="101"/>
  <c r="O24" i="101"/>
  <c r="P24" i="101" s="1"/>
  <c r="AP30" i="99"/>
  <c r="AQ30" i="99" s="1"/>
  <c r="N33" i="94"/>
  <c r="O23" i="96"/>
  <c r="AC31" i="79"/>
  <c r="D20" i="79"/>
  <c r="J31" i="99"/>
  <c r="Y31" i="99"/>
  <c r="V31" i="79"/>
  <c r="AA29" i="99"/>
  <c r="AB29" i="99" s="1"/>
  <c r="G29" i="99"/>
  <c r="N34" i="79"/>
  <c r="L34" i="79"/>
  <c r="M34" i="79" s="1"/>
  <c r="AH34" i="79"/>
  <c r="AK31" i="99"/>
  <c r="L29" i="99"/>
  <c r="M29" i="99" s="1"/>
  <c r="K20" i="79"/>
  <c r="U28" i="96"/>
  <c r="AE31" i="102"/>
  <c r="K31" i="102"/>
  <c r="AL31" i="102"/>
  <c r="AC30" i="79"/>
  <c r="D31" i="102"/>
  <c r="Y30" i="79"/>
  <c r="AA19" i="79"/>
  <c r="AB19" i="79" s="1"/>
  <c r="G19" i="79"/>
  <c r="V19" i="79"/>
  <c r="AR19" i="79"/>
  <c r="L66" i="78"/>
  <c r="M66" i="78" s="1"/>
  <c r="P31" i="102"/>
  <c r="L31" i="102"/>
  <c r="M31" i="102" s="1"/>
  <c r="AJ31" i="102"/>
  <c r="AK31" i="102" s="1"/>
  <c r="AO38" i="79"/>
  <c r="AH30" i="79"/>
  <c r="AH38" i="79"/>
  <c r="AA41" i="79"/>
  <c r="AB41" i="79" s="1"/>
  <c r="AR38" i="79"/>
  <c r="AC41" i="79"/>
  <c r="L38" i="79"/>
  <c r="M38" i="79" s="1"/>
  <c r="AP38" i="79"/>
  <c r="AQ38" i="79" s="1"/>
  <c r="S31" i="102"/>
  <c r="L41" i="79"/>
  <c r="M41" i="79" s="1"/>
  <c r="L30" i="79"/>
  <c r="M30" i="79" s="1"/>
  <c r="AA30" i="79"/>
  <c r="AB30" i="79" s="1"/>
  <c r="AC19" i="79"/>
  <c r="J41" i="79"/>
  <c r="N41" i="79"/>
  <c r="N30" i="79"/>
  <c r="Z38" i="79"/>
  <c r="O30" i="79"/>
  <c r="P30" i="79" s="1"/>
  <c r="X31" i="102"/>
  <c r="Y31" i="102" s="1"/>
  <c r="AK41" i="79"/>
  <c r="AA38" i="79"/>
  <c r="AB38" i="79" s="1"/>
  <c r="K38" i="79"/>
  <c r="AD30" i="79"/>
  <c r="AE30" i="79" s="1"/>
  <c r="O38" i="79"/>
  <c r="P38" i="79" s="1"/>
  <c r="V38" i="79"/>
  <c r="K41" i="79"/>
  <c r="Y38" i="79"/>
  <c r="AB31" i="102"/>
  <c r="D30" i="79"/>
  <c r="K19" i="79"/>
  <c r="G41" i="79"/>
  <c r="AR41" i="79"/>
  <c r="AO41" i="79"/>
  <c r="AO30" i="79"/>
  <c r="K30" i="79"/>
  <c r="J30" i="79"/>
  <c r="AN19" i="79"/>
  <c r="AO19" i="79"/>
  <c r="AN41" i="79"/>
  <c r="AH19" i="79"/>
  <c r="W31" i="102"/>
  <c r="AP41" i="79"/>
  <c r="AQ41" i="79" s="1"/>
  <c r="AC38" i="79"/>
  <c r="N38" i="79"/>
  <c r="J38" i="79"/>
  <c r="V30" i="79"/>
  <c r="Z41" i="79"/>
  <c r="AK38" i="79"/>
  <c r="AD38" i="79"/>
  <c r="AE38" i="79" s="1"/>
  <c r="O41" i="79"/>
  <c r="P41" i="79" s="1"/>
  <c r="AS38" i="79"/>
  <c r="AT38" i="79" s="1"/>
  <c r="AI31" i="102"/>
  <c r="D19" i="79"/>
  <c r="AS19" i="79"/>
  <c r="AT19" i="79" s="1"/>
  <c r="Z30" i="79"/>
  <c r="AD19" i="79"/>
  <c r="AE19" i="79" s="1"/>
  <c r="S30" i="79"/>
  <c r="V41" i="79"/>
  <c r="D41" i="79"/>
  <c r="AH41" i="79"/>
  <c r="AS30" i="79"/>
  <c r="AT30" i="79" s="1"/>
  <c r="G30" i="79"/>
  <c r="G100" i="117"/>
  <c r="AK17" i="79"/>
  <c r="AA17" i="79"/>
  <c r="AB17" i="79" s="1"/>
  <c r="AN17" i="79"/>
  <c r="AS35" i="79"/>
  <c r="AT35" i="79" s="1"/>
  <c r="J35" i="79"/>
  <c r="Z35" i="79"/>
  <c r="AH35" i="79"/>
  <c r="AP31" i="79"/>
  <c r="AQ31" i="79" s="1"/>
  <c r="L31" i="79"/>
  <c r="M31" i="79" s="1"/>
  <c r="J20" i="79"/>
  <c r="AO23" i="79"/>
  <c r="L20" i="79"/>
  <c r="M20" i="79" s="1"/>
  <c r="AS31" i="79"/>
  <c r="AT31" i="79" s="1"/>
  <c r="Y31" i="79"/>
  <c r="AA31" i="79"/>
  <c r="AB31" i="79" s="1"/>
  <c r="AA20" i="79"/>
  <c r="AB20" i="79" s="1"/>
  <c r="AP20" i="79"/>
  <c r="AQ20" i="79" s="1"/>
  <c r="N17" i="79"/>
  <c r="D35" i="79"/>
  <c r="O35" i="79"/>
  <c r="P35" i="79" s="1"/>
  <c r="AR17" i="79"/>
  <c r="L23" i="79"/>
  <c r="M23" i="79" s="1"/>
  <c r="AK23" i="79"/>
  <c r="V54" i="78"/>
  <c r="AD23" i="79"/>
  <c r="AE23" i="79" s="1"/>
  <c r="G23" i="79"/>
  <c r="AD31" i="79"/>
  <c r="AE31" i="79" s="1"/>
  <c r="K23" i="79"/>
  <c r="J31" i="79"/>
  <c r="L17" i="79"/>
  <c r="M17" i="79" s="1"/>
  <c r="G33" i="99"/>
  <c r="S33" i="99"/>
  <c r="D33" i="99"/>
  <c r="N93" i="117"/>
  <c r="J38" i="109"/>
  <c r="AC33" i="99"/>
  <c r="AK33" i="99"/>
  <c r="AH33" i="99"/>
  <c r="AA23" i="79"/>
  <c r="AB23" i="79" s="1"/>
  <c r="AR35" i="79"/>
  <c r="AP17" i="79"/>
  <c r="AQ17" i="79" s="1"/>
  <c r="Z17" i="79"/>
  <c r="N35" i="79"/>
  <c r="D17" i="79"/>
  <c r="S35" i="79"/>
  <c r="G93" i="117"/>
  <c r="AS20" i="79"/>
  <c r="AT20" i="79" s="1"/>
  <c r="AO31" i="79"/>
  <c r="Z31" i="79"/>
  <c r="AP23" i="79"/>
  <c r="AQ23" i="79" s="1"/>
  <c r="AR20" i="79"/>
  <c r="AK31" i="79"/>
  <c r="K31" i="79"/>
  <c r="AR31" i="79"/>
  <c r="Y20" i="79"/>
  <c r="AN20" i="79"/>
  <c r="G35" i="79"/>
  <c r="L35" i="79"/>
  <c r="M35" i="79" s="1"/>
  <c r="AS23" i="79"/>
  <c r="AT23" i="79" s="1"/>
  <c r="S23" i="79"/>
  <c r="Z23" i="79"/>
  <c r="N20" i="79"/>
  <c r="D23" i="79"/>
  <c r="H93" i="117"/>
  <c r="AP33" i="99"/>
  <c r="AQ33" i="99" s="1"/>
  <c r="N33" i="99"/>
  <c r="Z33" i="99"/>
  <c r="V35" i="79"/>
  <c r="O17" i="79"/>
  <c r="P17" i="79" s="1"/>
  <c r="G17" i="79"/>
  <c r="Y17" i="79"/>
  <c r="AO17" i="79"/>
  <c r="AA35" i="79"/>
  <c r="AB35" i="79" s="1"/>
  <c r="K35" i="79"/>
  <c r="AQ35" i="79"/>
  <c r="V93" i="117"/>
  <c r="AK20" i="79"/>
  <c r="AC20" i="79"/>
  <c r="N31" i="79"/>
  <c r="Y23" i="79"/>
  <c r="AN31" i="79"/>
  <c r="S31" i="79"/>
  <c r="O20" i="79"/>
  <c r="P20" i="79" s="1"/>
  <c r="Z20" i="79"/>
  <c r="D31" i="79"/>
  <c r="AD20" i="79"/>
  <c r="AE20" i="79" s="1"/>
  <c r="AD35" i="79"/>
  <c r="AE35" i="79" s="1"/>
  <c r="AN35" i="79"/>
  <c r="AD17" i="79"/>
  <c r="AE17" i="79" s="1"/>
  <c r="J23" i="79"/>
  <c r="J17" i="79"/>
  <c r="O23" i="79"/>
  <c r="P23" i="79" s="1"/>
  <c r="S20" i="79"/>
  <c r="O30" i="118"/>
  <c r="V39" i="118"/>
  <c r="O39" i="118"/>
  <c r="H39" i="118"/>
  <c r="V107" i="117"/>
  <c r="H107" i="117"/>
  <c r="U107" i="117"/>
  <c r="G107" i="117"/>
  <c r="O107" i="117"/>
  <c r="N107" i="117"/>
  <c r="N84" i="117"/>
  <c r="U57" i="117"/>
  <c r="V84" i="117"/>
  <c r="G57" i="117"/>
  <c r="V74" i="117"/>
  <c r="H74" i="117"/>
  <c r="N74" i="117"/>
  <c r="U74" i="117"/>
  <c r="G74" i="117"/>
  <c r="O74" i="117"/>
  <c r="U84" i="117"/>
  <c r="N57" i="117"/>
  <c r="O91" i="117"/>
  <c r="V41" i="117"/>
  <c r="H41" i="117"/>
  <c r="O41" i="117"/>
  <c r="U41" i="117"/>
  <c r="G41" i="117"/>
  <c r="N41" i="117"/>
  <c r="V39" i="72"/>
  <c r="H39" i="72"/>
  <c r="O39" i="72"/>
  <c r="U39" i="72"/>
  <c r="G39" i="72"/>
  <c r="N39" i="72"/>
  <c r="J39" i="114"/>
  <c r="D39" i="114"/>
  <c r="G39" i="114"/>
  <c r="J39" i="113"/>
  <c r="G39" i="113"/>
  <c r="D39" i="113"/>
  <c r="J39" i="112"/>
  <c r="D39" i="112"/>
  <c r="G39" i="112"/>
  <c r="J39" i="110"/>
  <c r="D39" i="110"/>
  <c r="G39" i="110"/>
  <c r="D34" i="110"/>
  <c r="J39" i="109"/>
  <c r="D39" i="109"/>
  <c r="G39" i="109"/>
  <c r="J39" i="108"/>
  <c r="G39" i="108"/>
  <c r="D39" i="108"/>
  <c r="J39" i="107"/>
  <c r="G39" i="107"/>
  <c r="D39" i="107"/>
  <c r="AJ40" i="102"/>
  <c r="AK40" i="102" s="1"/>
  <c r="AB40" i="102"/>
  <c r="V40" i="102"/>
  <c r="L40" i="102"/>
  <c r="M40" i="102" s="1"/>
  <c r="D40" i="102"/>
  <c r="W40" i="102"/>
  <c r="G40" i="102"/>
  <c r="AM40" i="102"/>
  <c r="AN40" i="102" s="1"/>
  <c r="AI40" i="102"/>
  <c r="S40" i="102"/>
  <c r="K40" i="102"/>
  <c r="AE40" i="102"/>
  <c r="AL40" i="102"/>
  <c r="AH40" i="102"/>
  <c r="X40" i="102"/>
  <c r="Y40" i="102" s="1"/>
  <c r="P40" i="102"/>
  <c r="J40" i="102"/>
  <c r="AP40" i="101"/>
  <c r="AQ40" i="101" s="1"/>
  <c r="AH40" i="101"/>
  <c r="V40" i="101"/>
  <c r="N40" i="101"/>
  <c r="J40" i="101"/>
  <c r="AR40" i="101"/>
  <c r="AN40" i="101"/>
  <c r="Z40" i="101"/>
  <c r="D40" i="101"/>
  <c r="AS40" i="101"/>
  <c r="AT40" i="101" s="1"/>
  <c r="AO40" i="101"/>
  <c r="AA40" i="101"/>
  <c r="AB40" i="101" s="1"/>
  <c r="S40" i="101"/>
  <c r="G40" i="101"/>
  <c r="AD40" i="101"/>
  <c r="AE40" i="101" s="1"/>
  <c r="L40" i="101"/>
  <c r="M40" i="101" s="1"/>
  <c r="AK40" i="101"/>
  <c r="AC40" i="101"/>
  <c r="Y40" i="101"/>
  <c r="O40" i="101"/>
  <c r="P40" i="101" s="1"/>
  <c r="K40" i="101"/>
  <c r="AP40" i="99"/>
  <c r="AQ40" i="99" s="1"/>
  <c r="AH40" i="99"/>
  <c r="V40" i="99"/>
  <c r="N40" i="99"/>
  <c r="J40" i="99"/>
  <c r="AC40" i="99"/>
  <c r="O40" i="99"/>
  <c r="P40" i="99" s="1"/>
  <c r="AS40" i="99"/>
  <c r="AT40" i="99" s="1"/>
  <c r="AO40" i="99"/>
  <c r="AA40" i="99"/>
  <c r="AB40" i="99" s="1"/>
  <c r="S40" i="99"/>
  <c r="G40" i="99"/>
  <c r="AK40" i="99"/>
  <c r="K40" i="99"/>
  <c r="AR40" i="99"/>
  <c r="AN40" i="99"/>
  <c r="AD40" i="99"/>
  <c r="AE40" i="99" s="1"/>
  <c r="Z40" i="99"/>
  <c r="L40" i="99"/>
  <c r="M40" i="99" s="1"/>
  <c r="D40" i="99"/>
  <c r="Y40" i="99"/>
  <c r="V40" i="96"/>
  <c r="H40" i="96"/>
  <c r="G40" i="96"/>
  <c r="U40" i="96"/>
  <c r="N40" i="96"/>
  <c r="O40" i="96"/>
  <c r="U18" i="94"/>
  <c r="V40" i="94"/>
  <c r="H40" i="94"/>
  <c r="N40" i="94"/>
  <c r="U40" i="94"/>
  <c r="G40" i="94"/>
  <c r="O40" i="94"/>
  <c r="V18" i="94"/>
  <c r="AI76" i="90"/>
  <c r="AN76" i="90"/>
  <c r="W76" i="90"/>
  <c r="V76" i="90"/>
  <c r="D76" i="90"/>
  <c r="K76" i="90"/>
  <c r="W61" i="90"/>
  <c r="W42" i="90"/>
  <c r="S42" i="90"/>
  <c r="J42" i="90"/>
  <c r="AH42" i="90"/>
  <c r="K42" i="90"/>
  <c r="G42" i="90"/>
  <c r="P42" i="90"/>
  <c r="AI42" i="90"/>
  <c r="D42" i="90"/>
  <c r="AN75" i="78"/>
  <c r="AH75" i="78"/>
  <c r="X75" i="78"/>
  <c r="Y75" i="78" s="1"/>
  <c r="P75" i="78"/>
  <c r="J75" i="78"/>
  <c r="AE75" i="78"/>
  <c r="W75" i="78"/>
  <c r="G75" i="78"/>
  <c r="K75" i="78"/>
  <c r="AJ75" i="78"/>
  <c r="AK75" i="78" s="1"/>
  <c r="AB75" i="78"/>
  <c r="V75" i="78"/>
  <c r="L75" i="78"/>
  <c r="M75" i="78" s="1"/>
  <c r="D75" i="78"/>
  <c r="AI75" i="78"/>
  <c r="S75" i="78"/>
  <c r="AN42" i="78"/>
  <c r="AH42" i="78"/>
  <c r="X42" i="78"/>
  <c r="Y42" i="78" s="1"/>
  <c r="P42" i="78"/>
  <c r="J42" i="78"/>
  <c r="AI42" i="78"/>
  <c r="S42" i="78"/>
  <c r="AE42" i="78"/>
  <c r="W42" i="78"/>
  <c r="G42" i="78"/>
  <c r="AJ42" i="78"/>
  <c r="AK42" i="78" s="1"/>
  <c r="AB42" i="78"/>
  <c r="V42" i="78"/>
  <c r="L42" i="78"/>
  <c r="M42" i="78" s="1"/>
  <c r="D42" i="78"/>
  <c r="K42" i="78"/>
  <c r="J40" i="89"/>
  <c r="G40" i="89"/>
  <c r="D40" i="89"/>
  <c r="J60" i="78"/>
  <c r="G34" i="78"/>
  <c r="AN60" i="78"/>
  <c r="AH29" i="78"/>
  <c r="V34" i="78"/>
  <c r="L17" i="102"/>
  <c r="M17" i="102" s="1"/>
  <c r="AE60" i="78"/>
  <c r="AI29" i="78"/>
  <c r="P66" i="78"/>
  <c r="AJ44" i="90"/>
  <c r="V27" i="117"/>
  <c r="N32" i="96"/>
  <c r="AI76" i="78"/>
  <c r="P43" i="78"/>
  <c r="AA22" i="99"/>
  <c r="AB22" i="99" s="1"/>
  <c r="K76" i="78"/>
  <c r="D25" i="112"/>
  <c r="AK44" i="90"/>
  <c r="AI72" i="90"/>
  <c r="K22" i="99"/>
  <c r="U29" i="94"/>
  <c r="AI68" i="78"/>
  <c r="J58" i="78"/>
  <c r="V58" i="78"/>
  <c r="Z22" i="99"/>
  <c r="V19" i="102"/>
  <c r="AN58" i="78"/>
  <c r="X44" i="90"/>
  <c r="Y44" i="90" s="1"/>
  <c r="AJ58" i="78"/>
  <c r="AK58" i="78" s="1"/>
  <c r="S22" i="99"/>
  <c r="AH43" i="78"/>
  <c r="D22" i="99"/>
  <c r="U31" i="96"/>
  <c r="W23" i="90"/>
  <c r="AS22" i="99"/>
  <c r="AT22" i="99" s="1"/>
  <c r="H35" i="96"/>
  <c r="L44" i="90"/>
  <c r="M44" i="90" s="1"/>
  <c r="J19" i="102"/>
  <c r="O29" i="94"/>
  <c r="AB43" i="78"/>
  <c r="AO32" i="99"/>
  <c r="J28" i="112"/>
  <c r="G20" i="112"/>
  <c r="D17" i="107"/>
  <c r="N88" i="117"/>
  <c r="J32" i="99"/>
  <c r="H20" i="117"/>
  <c r="U25" i="117"/>
  <c r="G18" i="113"/>
  <c r="V32" i="99"/>
  <c r="L65" i="78"/>
  <c r="M65" i="78" s="1"/>
  <c r="J31" i="107"/>
  <c r="J37" i="113"/>
  <c r="G19" i="113"/>
  <c r="S32" i="99"/>
  <c r="AK32" i="99"/>
  <c r="AS32" i="99"/>
  <c r="AT32" i="99" s="1"/>
  <c r="K32" i="99"/>
  <c r="D28" i="112"/>
  <c r="AR32" i="99"/>
  <c r="AA32" i="99"/>
  <c r="AB32" i="99" s="1"/>
  <c r="G32" i="99"/>
  <c r="O31" i="72"/>
  <c r="D31" i="107"/>
  <c r="AI34" i="78"/>
  <c r="D37" i="113"/>
  <c r="O18" i="94"/>
  <c r="N40" i="117"/>
  <c r="O60" i="117"/>
  <c r="J20" i="112"/>
  <c r="J17" i="107"/>
  <c r="Z32" i="99"/>
  <c r="L32" i="99"/>
  <c r="M32" i="99" s="1"/>
  <c r="V24" i="117"/>
  <c r="AB68" i="78"/>
  <c r="K43" i="78"/>
  <c r="J22" i="99"/>
  <c r="AR22" i="99"/>
  <c r="AN43" i="78"/>
  <c r="O56" i="117"/>
  <c r="G22" i="108"/>
  <c r="AB24" i="102"/>
  <c r="AO22" i="99"/>
  <c r="W72" i="90"/>
  <c r="AI53" i="90"/>
  <c r="D68" i="78"/>
  <c r="Y22" i="99"/>
  <c r="L22" i="99"/>
  <c r="M22" i="99" s="1"/>
  <c r="AH22" i="99"/>
  <c r="AC22" i="99"/>
  <c r="D43" i="78"/>
  <c r="V35" i="96"/>
  <c r="G32" i="96"/>
  <c r="H29" i="94"/>
  <c r="L76" i="78"/>
  <c r="M76" i="78" s="1"/>
  <c r="X43" i="78"/>
  <c r="Y43" i="78" s="1"/>
  <c r="G19" i="102"/>
  <c r="AJ19" i="102"/>
  <c r="AK19" i="102" s="1"/>
  <c r="L58" i="78"/>
  <c r="M58" i="78" s="1"/>
  <c r="AJ32" i="78"/>
  <c r="AK32" i="78" s="1"/>
  <c r="V22" i="99"/>
  <c r="AN22" i="99"/>
  <c r="H32" i="96"/>
  <c r="X58" i="78"/>
  <c r="Y58" i="78" s="1"/>
  <c r="L68" i="78"/>
  <c r="M68" i="78" s="1"/>
  <c r="V43" i="78"/>
  <c r="G36" i="117"/>
  <c r="G23" i="110"/>
  <c r="AI23" i="90"/>
  <c r="W76" i="78"/>
  <c r="W68" i="78"/>
  <c r="J41" i="112"/>
  <c r="O22" i="99"/>
  <c r="P22" i="99" s="1"/>
  <c r="N22" i="99"/>
  <c r="AP22" i="99"/>
  <c r="AQ22" i="99" s="1"/>
  <c r="G21" i="96"/>
  <c r="AK43" i="78"/>
  <c r="O35" i="96"/>
  <c r="U32" i="96"/>
  <c r="G29" i="94"/>
  <c r="X76" i="78"/>
  <c r="Y76" i="78" s="1"/>
  <c r="X68" i="78"/>
  <c r="Y68" i="78" s="1"/>
  <c r="AE43" i="78"/>
  <c r="G43" i="78"/>
  <c r="J20" i="89"/>
  <c r="W19" i="102"/>
  <c r="AH19" i="102"/>
  <c r="S58" i="78"/>
  <c r="K58" i="78"/>
  <c r="G35" i="96"/>
  <c r="J76" i="78"/>
  <c r="AH58" i="78"/>
  <c r="G58" i="78"/>
  <c r="AH68" i="78"/>
  <c r="G31" i="110"/>
  <c r="N51" i="117"/>
  <c r="G36" i="114"/>
  <c r="AJ24" i="102"/>
  <c r="AK24" i="102" s="1"/>
  <c r="W53" i="90"/>
  <c r="AK22" i="99"/>
  <c r="AD22" i="99"/>
  <c r="AE22" i="99" s="1"/>
  <c r="G32" i="89"/>
  <c r="N35" i="96"/>
  <c r="O32" i="96"/>
  <c r="N29" i="94"/>
  <c r="K35" i="90"/>
  <c r="AE76" i="78"/>
  <c r="AE68" i="78"/>
  <c r="AI43" i="78"/>
  <c r="J43" i="78"/>
  <c r="W43" i="78"/>
  <c r="S19" i="102"/>
  <c r="X19" i="102"/>
  <c r="Y19" i="102" s="1"/>
  <c r="AE58" i="78"/>
  <c r="W58" i="78"/>
  <c r="G42" i="89"/>
  <c r="D42" i="89"/>
  <c r="J68" i="78"/>
  <c r="L43" i="78"/>
  <c r="M43" i="78" s="1"/>
  <c r="D58" i="78"/>
  <c r="AJ68" i="78"/>
  <c r="AK68" i="78" s="1"/>
  <c r="O100" i="117"/>
  <c r="V104" i="117"/>
  <c r="L25" i="99"/>
  <c r="M25" i="99" s="1"/>
  <c r="AD30" i="99"/>
  <c r="AE30" i="99" s="1"/>
  <c r="H91" i="117"/>
  <c r="V63" i="117"/>
  <c r="N21" i="117"/>
  <c r="J17" i="114"/>
  <c r="D34" i="102"/>
  <c r="N25" i="99"/>
  <c r="N30" i="96"/>
  <c r="H100" i="117"/>
  <c r="D33" i="114"/>
  <c r="J23" i="107"/>
  <c r="O51" i="117"/>
  <c r="U27" i="117"/>
  <c r="AL34" i="102"/>
  <c r="AH18" i="101"/>
  <c r="O25" i="99"/>
  <c r="P25" i="99" s="1"/>
  <c r="V33" i="94"/>
  <c r="N35" i="72"/>
  <c r="H33" i="94"/>
  <c r="G27" i="94"/>
  <c r="D30" i="99"/>
  <c r="U19" i="94"/>
  <c r="H18" i="94"/>
  <c r="G22" i="96"/>
  <c r="K67" i="90"/>
  <c r="AH60" i="78"/>
  <c r="J29" i="78"/>
  <c r="X60" i="78"/>
  <c r="Y60" i="78" s="1"/>
  <c r="AE29" i="78"/>
  <c r="W34" i="78"/>
  <c r="P29" i="78"/>
  <c r="L60" i="78"/>
  <c r="M60" i="78" s="1"/>
  <c r="AN34" i="78"/>
  <c r="AJ29" i="78"/>
  <c r="AK29" i="78" s="1"/>
  <c r="K34" i="78"/>
  <c r="D34" i="78"/>
  <c r="K27" i="90"/>
  <c r="K60" i="78"/>
  <c r="AR18" i="101"/>
  <c r="N28" i="96"/>
  <c r="H27" i="94"/>
  <c r="G28" i="96"/>
  <c r="G16" i="72"/>
  <c r="AC30" i="99"/>
  <c r="N37" i="96"/>
  <c r="W17" i="102"/>
  <c r="AN25" i="99"/>
  <c r="K57" i="90"/>
  <c r="X29" i="78"/>
  <c r="Y29" i="78" s="1"/>
  <c r="V60" i="78"/>
  <c r="AB34" i="78"/>
  <c r="P34" i="78"/>
  <c r="W60" i="78"/>
  <c r="AE34" i="78"/>
  <c r="D29" i="78"/>
  <c r="G60" i="78"/>
  <c r="G18" i="94"/>
  <c r="H27" i="117"/>
  <c r="G26" i="113"/>
  <c r="G18" i="101"/>
  <c r="O27" i="94"/>
  <c r="O16" i="72"/>
  <c r="V27" i="94"/>
  <c r="G17" i="94"/>
  <c r="N30" i="99"/>
  <c r="V22" i="96"/>
  <c r="D60" i="78"/>
  <c r="K29" i="78"/>
  <c r="AN29" i="78"/>
  <c r="AI60" i="78"/>
  <c r="W29" i="78"/>
  <c r="L29" i="78"/>
  <c r="M29" i="78" s="1"/>
  <c r="J34" i="78"/>
  <c r="S23" i="78"/>
  <c r="N20" i="72"/>
  <c r="G20" i="72"/>
  <c r="J29" i="113"/>
  <c r="D29" i="113"/>
  <c r="J37" i="110"/>
  <c r="D37" i="110"/>
  <c r="G31" i="113"/>
  <c r="D31" i="113"/>
  <c r="J20" i="113"/>
  <c r="G20" i="113"/>
  <c r="D20" i="113"/>
  <c r="J16" i="109"/>
  <c r="G16" i="109"/>
  <c r="J37" i="107"/>
  <c r="G37" i="107"/>
  <c r="G20" i="107"/>
  <c r="J20" i="107"/>
  <c r="D20" i="107"/>
  <c r="J21" i="112"/>
  <c r="D23" i="110"/>
  <c r="J20" i="114"/>
  <c r="J20" i="109"/>
  <c r="D22" i="108"/>
  <c r="J31" i="113"/>
  <c r="G21" i="112"/>
  <c r="D31" i="110"/>
  <c r="D20" i="114"/>
  <c r="G20" i="109"/>
  <c r="U21" i="96"/>
  <c r="G21" i="107"/>
  <c r="J26" i="110"/>
  <c r="J32" i="109"/>
  <c r="G20" i="89"/>
  <c r="D41" i="112"/>
  <c r="J32" i="89"/>
  <c r="O37" i="96"/>
  <c r="K25" i="90"/>
  <c r="H37" i="96"/>
  <c r="J35" i="107"/>
  <c r="G37" i="110"/>
  <c r="D16" i="109"/>
  <c r="AM25" i="102"/>
  <c r="AN25" i="102" s="1"/>
  <c r="K25" i="102"/>
  <c r="H21" i="96"/>
  <c r="O21" i="96"/>
  <c r="G16" i="113"/>
  <c r="D16" i="113"/>
  <c r="D31" i="112"/>
  <c r="J31" i="112"/>
  <c r="G31" i="112"/>
  <c r="J26" i="108"/>
  <c r="G26" i="108"/>
  <c r="D31" i="114"/>
  <c r="J31" i="114"/>
  <c r="J37" i="108"/>
  <c r="G37" i="108"/>
  <c r="D37" i="108"/>
  <c r="N104" i="117"/>
  <c r="H104" i="117"/>
  <c r="AB37" i="102"/>
  <c r="X37" i="102"/>
  <c r="Y37" i="102" s="1"/>
  <c r="AH37" i="102"/>
  <c r="P34" i="102"/>
  <c r="AB34" i="102"/>
  <c r="U26" i="96"/>
  <c r="N26" i="96"/>
  <c r="V26" i="96"/>
  <c r="O30" i="94"/>
  <c r="U30" i="94"/>
  <c r="N21" i="94"/>
  <c r="O21" i="94"/>
  <c r="U21" i="94"/>
  <c r="G91" i="117"/>
  <c r="V91" i="117"/>
  <c r="N91" i="117"/>
  <c r="AE41" i="102"/>
  <c r="AB41" i="102"/>
  <c r="P41" i="102"/>
  <c r="X41" i="102"/>
  <c r="G41" i="102"/>
  <c r="L38" i="101"/>
  <c r="M38" i="101" s="1"/>
  <c r="V38" i="101"/>
  <c r="AD38" i="101"/>
  <c r="AC38" i="101"/>
  <c r="AA38" i="101"/>
  <c r="AB38" i="101" s="1"/>
  <c r="N38" i="101"/>
  <c r="V28" i="96"/>
  <c r="H28" i="96"/>
  <c r="H19" i="94"/>
  <c r="V19" i="94"/>
  <c r="N19" i="94"/>
  <c r="K74" i="90"/>
  <c r="W74" i="90"/>
  <c r="W55" i="90"/>
  <c r="AI55" i="90"/>
  <c r="K55" i="90"/>
  <c r="AH57" i="78"/>
  <c r="V57" i="78"/>
  <c r="AI31" i="78"/>
  <c r="D31" i="78"/>
  <c r="AJ25" i="78"/>
  <c r="AK25" i="78" s="1"/>
  <c r="AH25" i="78"/>
  <c r="AJ20" i="102"/>
  <c r="AK20" i="102" s="1"/>
  <c r="V20" i="102"/>
  <c r="O30" i="99"/>
  <c r="P30" i="99" s="1"/>
  <c r="G30" i="99"/>
  <c r="Z30" i="99"/>
  <c r="AH30" i="99"/>
  <c r="AA30" i="99"/>
  <c r="AB30" i="99" s="1"/>
  <c r="K30" i="99"/>
  <c r="J30" i="99"/>
  <c r="K71" i="90"/>
  <c r="W71" i="90"/>
  <c r="K37" i="90"/>
  <c r="AI37" i="90"/>
  <c r="K28" i="78"/>
  <c r="X28" i="78"/>
  <c r="Y28" i="78" s="1"/>
  <c r="J71" i="78"/>
  <c r="G71" i="78"/>
  <c r="G27" i="72"/>
  <c r="V27" i="72"/>
  <c r="H27" i="72"/>
  <c r="O27" i="72"/>
  <c r="U27" i="72"/>
  <c r="O32" i="72"/>
  <c r="H32" i="72"/>
  <c r="N32" i="72"/>
  <c r="G32" i="72"/>
  <c r="X22" i="102"/>
  <c r="Y22" i="102" s="1"/>
  <c r="D22" i="102"/>
  <c r="K20" i="90"/>
  <c r="K69" i="90"/>
  <c r="AI69" i="90"/>
  <c r="W69" i="90"/>
  <c r="O33" i="99"/>
  <c r="P33" i="99" s="1"/>
  <c r="AA33" i="99"/>
  <c r="AB33" i="99" s="1"/>
  <c r="AD33" i="99"/>
  <c r="AE33" i="99" s="1"/>
  <c r="AN33" i="99"/>
  <c r="K33" i="99"/>
  <c r="V33" i="99"/>
  <c r="H84" i="117"/>
  <c r="O84" i="117"/>
  <c r="O29" i="99"/>
  <c r="P29" i="99" s="1"/>
  <c r="K29" i="99"/>
  <c r="AP29" i="99"/>
  <c r="AQ29" i="99" s="1"/>
  <c r="D29" i="99"/>
  <c r="AH29" i="99"/>
  <c r="N29" i="99"/>
  <c r="AO29" i="99"/>
  <c r="Z29" i="99"/>
  <c r="J29" i="99"/>
  <c r="V29" i="99"/>
  <c r="Y29" i="99"/>
  <c r="AC29" i="99"/>
  <c r="S29" i="99"/>
  <c r="AD29" i="99"/>
  <c r="AE29" i="99" s="1"/>
  <c r="AN29" i="99"/>
  <c r="O31" i="99"/>
  <c r="P31" i="99" s="1"/>
  <c r="K31" i="99"/>
  <c r="AA31" i="99"/>
  <c r="AB31" i="99" s="1"/>
  <c r="V31" i="99"/>
  <c r="L31" i="99"/>
  <c r="M31" i="99" s="1"/>
  <c r="G31" i="99"/>
  <c r="AP31" i="99"/>
  <c r="AQ31" i="99" s="1"/>
  <c r="AC31" i="99"/>
  <c r="AD31" i="99"/>
  <c r="AE31" i="99" s="1"/>
  <c r="AR31" i="99"/>
  <c r="AS31" i="99"/>
  <c r="AT31" i="99" s="1"/>
  <c r="AO31" i="99"/>
  <c r="D31" i="99"/>
  <c r="AH31" i="99"/>
  <c r="N31" i="99"/>
  <c r="AN31" i="99"/>
  <c r="L24" i="101"/>
  <c r="M24" i="101" s="1"/>
  <c r="S24" i="101"/>
  <c r="AP24" i="101"/>
  <c r="AQ24" i="101" s="1"/>
  <c r="AR24" i="101"/>
  <c r="AC24" i="101"/>
  <c r="J24" i="101"/>
  <c r="AN24" i="101"/>
  <c r="AD24" i="101"/>
  <c r="AE24" i="101" s="1"/>
  <c r="AS24" i="101"/>
  <c r="AT24" i="101" s="1"/>
  <c r="D24" i="101"/>
  <c r="Z24" i="101"/>
  <c r="AK24" i="101"/>
  <c r="N24" i="101"/>
  <c r="K24" i="101"/>
  <c r="AO24" i="101"/>
  <c r="Y24" i="101"/>
  <c r="V23" i="96"/>
  <c r="U23" i="96"/>
  <c r="N23" i="96"/>
  <c r="V31" i="72"/>
  <c r="H31" i="72"/>
  <c r="N31" i="72"/>
  <c r="U31" i="72"/>
  <c r="Y32" i="99"/>
  <c r="AH32" i="99"/>
  <c r="N32" i="99"/>
  <c r="AN32" i="99"/>
  <c r="AD32" i="99"/>
  <c r="AE32" i="99" s="1"/>
  <c r="O32" i="99"/>
  <c r="P32" i="99" s="1"/>
  <c r="AP32" i="99"/>
  <c r="AQ32" i="99" s="1"/>
  <c r="D32" i="99"/>
  <c r="D24" i="78"/>
  <c r="S24" i="78"/>
  <c r="D39" i="89"/>
  <c r="J39" i="89"/>
  <c r="D24" i="114"/>
  <c r="J24" i="114"/>
  <c r="D21" i="108"/>
  <c r="G21" i="108"/>
  <c r="J25" i="112"/>
  <c r="J21" i="107"/>
  <c r="D36" i="114"/>
  <c r="J19" i="107"/>
  <c r="AI24" i="78"/>
  <c r="D26" i="110"/>
  <c r="D32" i="109"/>
  <c r="G19" i="107"/>
  <c r="G39" i="89"/>
  <c r="N21" i="96"/>
  <c r="G35" i="107"/>
  <c r="K37" i="102"/>
  <c r="H21" i="94"/>
  <c r="AJ57" i="78"/>
  <c r="AK57" i="78" s="1"/>
  <c r="S38" i="101"/>
  <c r="AM19" i="102"/>
  <c r="AN19" i="102" s="1"/>
  <c r="W32" i="102"/>
  <c r="AB26" i="78"/>
  <c r="G33" i="78"/>
  <c r="AE70" i="78"/>
  <c r="AH70" i="78"/>
  <c r="D26" i="78"/>
  <c r="J35" i="102"/>
  <c r="AI39" i="78"/>
  <c r="G21" i="113"/>
  <c r="G32" i="114"/>
  <c r="D26" i="107"/>
  <c r="N25" i="96"/>
  <c r="D17" i="109"/>
  <c r="G21" i="72"/>
  <c r="J41" i="109"/>
  <c r="J30" i="107"/>
  <c r="D36" i="112"/>
  <c r="D33" i="107"/>
  <c r="H21" i="72"/>
  <c r="G19" i="96"/>
  <c r="N21" i="72"/>
  <c r="U21" i="72"/>
  <c r="AL26" i="102"/>
  <c r="G70" i="78"/>
  <c r="AI54" i="78"/>
  <c r="X23" i="78"/>
  <c r="Y23" i="78" s="1"/>
  <c r="J25" i="114"/>
  <c r="J19" i="108"/>
  <c r="D32" i="114"/>
  <c r="AE27" i="102"/>
  <c r="W35" i="102"/>
  <c r="V69" i="117"/>
  <c r="AB70" i="78"/>
  <c r="W23" i="78"/>
  <c r="G31" i="108"/>
  <c r="P27" i="102"/>
  <c r="H27" i="118"/>
  <c r="AE35" i="102"/>
  <c r="J31" i="109"/>
  <c r="G37" i="72"/>
  <c r="H20" i="94"/>
  <c r="AJ73" i="78"/>
  <c r="AK73" i="78" s="1"/>
  <c r="AE39" i="78"/>
  <c r="V25" i="96"/>
  <c r="S35" i="102"/>
  <c r="D17" i="114"/>
  <c r="G25" i="113"/>
  <c r="G17" i="110"/>
  <c r="G36" i="107"/>
  <c r="AB41" i="78"/>
  <c r="L41" i="78"/>
  <c r="M41" i="78" s="1"/>
  <c r="D41" i="108"/>
  <c r="G21" i="114"/>
  <c r="D26" i="113"/>
  <c r="G37" i="89"/>
  <c r="D35" i="114"/>
  <c r="G33" i="108"/>
  <c r="D36" i="107"/>
  <c r="D35" i="89"/>
  <c r="P38" i="78"/>
  <c r="J29" i="109"/>
  <c r="N67" i="117"/>
  <c r="D37" i="112"/>
  <c r="G25" i="109"/>
  <c r="V95" i="117"/>
  <c r="J24" i="112"/>
  <c r="L70" i="78"/>
  <c r="M70" i="78" s="1"/>
  <c r="D29" i="89"/>
  <c r="D39" i="78"/>
  <c r="AI35" i="102"/>
  <c r="AH35" i="102"/>
  <c r="AM26" i="102"/>
  <c r="AN26" i="102" s="1"/>
  <c r="AS26" i="99"/>
  <c r="AT26" i="99" s="1"/>
  <c r="P29" i="102"/>
  <c r="D19" i="112"/>
  <c r="D23" i="114"/>
  <c r="D17" i="108"/>
  <c r="D22" i="107"/>
  <c r="AE56" i="78"/>
  <c r="AN26" i="78"/>
  <c r="H19" i="96"/>
  <c r="P54" i="78"/>
  <c r="O26" i="72"/>
  <c r="W33" i="78"/>
  <c r="AI70" i="78"/>
  <c r="K23" i="78"/>
  <c r="AB54" i="78"/>
  <c r="O21" i="72"/>
  <c r="G26" i="89"/>
  <c r="AI26" i="102"/>
  <c r="L23" i="78"/>
  <c r="M23" i="78" s="1"/>
  <c r="D33" i="113"/>
  <c r="W29" i="102"/>
  <c r="D19" i="110"/>
  <c r="J35" i="110"/>
  <c r="H102" i="117"/>
  <c r="D16" i="112"/>
  <c r="J36" i="112"/>
  <c r="G28" i="114"/>
  <c r="AM32" i="102"/>
  <c r="AN32" i="102" s="1"/>
  <c r="J24" i="99"/>
  <c r="J21" i="89"/>
  <c r="X39" i="78"/>
  <c r="Y39" i="78" s="1"/>
  <c r="U25" i="96"/>
  <c r="J39" i="78"/>
  <c r="P39" i="78"/>
  <c r="V23" i="117"/>
  <c r="G31" i="94"/>
  <c r="G25" i="114"/>
  <c r="J19" i="110"/>
  <c r="J17" i="109"/>
  <c r="D31" i="108"/>
  <c r="O95" i="117"/>
  <c r="U67" i="117"/>
  <c r="G24" i="112"/>
  <c r="S27" i="102"/>
  <c r="G21" i="89"/>
  <c r="AN39" i="78"/>
  <c r="O19" i="96"/>
  <c r="O25" i="96"/>
  <c r="AN70" i="78"/>
  <c r="W39" i="78"/>
  <c r="AL35" i="102"/>
  <c r="X29" i="102"/>
  <c r="Y29" i="102" s="1"/>
  <c r="G19" i="112"/>
  <c r="J23" i="114"/>
  <c r="G31" i="109"/>
  <c r="J22" i="107"/>
  <c r="K29" i="102"/>
  <c r="U19" i="96"/>
  <c r="AB39" i="78"/>
  <c r="P26" i="78"/>
  <c r="V26" i="72"/>
  <c r="V39" i="102"/>
  <c r="AE54" i="78"/>
  <c r="K54" i="78"/>
  <c r="L32" i="101"/>
  <c r="K35" i="102"/>
  <c r="V70" i="78"/>
  <c r="J23" i="78"/>
  <c r="U106" i="117"/>
  <c r="G37" i="112"/>
  <c r="D35" i="110"/>
  <c r="J25" i="109"/>
  <c r="G19" i="108"/>
  <c r="G30" i="107"/>
  <c r="V102" i="117"/>
  <c r="G16" i="112"/>
  <c r="J28" i="114"/>
  <c r="G26" i="107"/>
  <c r="J33" i="107"/>
  <c r="K39" i="78"/>
  <c r="V33" i="78"/>
  <c r="O18" i="118"/>
  <c r="N19" i="96"/>
  <c r="V39" i="78"/>
  <c r="J70" i="78"/>
  <c r="AE26" i="78"/>
  <c r="AE33" i="78"/>
  <c r="G29" i="89"/>
  <c r="G35" i="102"/>
  <c r="AM35" i="102"/>
  <c r="AN35" i="102" s="1"/>
  <c r="D21" i="113"/>
  <c r="J17" i="108"/>
  <c r="S19" i="78"/>
  <c r="D41" i="110"/>
  <c r="D41" i="109"/>
  <c r="S54" i="78"/>
  <c r="P23" i="78"/>
  <c r="D26" i="89"/>
  <c r="AH54" i="78"/>
  <c r="H25" i="96"/>
  <c r="D23" i="78"/>
  <c r="AG11" i="79"/>
  <c r="J25" i="107"/>
  <c r="D25" i="107"/>
  <c r="D19" i="113"/>
  <c r="U24" i="117"/>
  <c r="D24" i="113"/>
  <c r="J24" i="113"/>
  <c r="V41" i="78"/>
  <c r="AE38" i="78"/>
  <c r="AN38" i="78"/>
  <c r="L38" i="78"/>
  <c r="M38" i="78" s="1"/>
  <c r="AJ38" i="78"/>
  <c r="AK38" i="78" s="1"/>
  <c r="G19" i="109"/>
  <c r="J19" i="109"/>
  <c r="N30" i="117"/>
  <c r="U68" i="117"/>
  <c r="V98" i="117"/>
  <c r="V30" i="117"/>
  <c r="U40" i="117"/>
  <c r="U88" i="117"/>
  <c r="H60" i="117"/>
  <c r="G24" i="117"/>
  <c r="L33" i="102"/>
  <c r="M33" i="102" s="1"/>
  <c r="N19" i="117"/>
  <c r="O19" i="117"/>
  <c r="J39" i="102"/>
  <c r="AJ39" i="102"/>
  <c r="AK39" i="102" s="1"/>
  <c r="G27" i="96"/>
  <c r="N27" i="96"/>
  <c r="AI27" i="102"/>
  <c r="AL27" i="102"/>
  <c r="AB27" i="102"/>
  <c r="AH26" i="102"/>
  <c r="P26" i="102"/>
  <c r="AJ26" i="102"/>
  <c r="AK26" i="102" s="1"/>
  <c r="L24" i="99"/>
  <c r="M24" i="99" s="1"/>
  <c r="Y24" i="99"/>
  <c r="AI39" i="90"/>
  <c r="G17" i="89"/>
  <c r="J17" i="89"/>
  <c r="W70" i="78"/>
  <c r="D70" i="78"/>
  <c r="AJ70" i="78"/>
  <c r="AK70" i="78" s="1"/>
  <c r="X70" i="78"/>
  <c r="Y70" i="78" s="1"/>
  <c r="H23" i="72"/>
  <c r="U23" i="72"/>
  <c r="V23" i="72"/>
  <c r="W33" i="90"/>
  <c r="K33" i="90"/>
  <c r="H37" i="72"/>
  <c r="V37" i="72"/>
  <c r="O37" i="72"/>
  <c r="N37" i="72"/>
  <c r="P35" i="102"/>
  <c r="L35" i="102"/>
  <c r="M35" i="102" s="1"/>
  <c r="AB35" i="102"/>
  <c r="V35" i="102"/>
  <c r="L54" i="78"/>
  <c r="M54" i="78" s="1"/>
  <c r="J54" i="78"/>
  <c r="W54" i="78"/>
  <c r="AJ54" i="78"/>
  <c r="AK54" i="78" s="1"/>
  <c r="X54" i="78"/>
  <c r="Y54" i="78" s="1"/>
  <c r="D18" i="110"/>
  <c r="G18" i="110"/>
  <c r="AH23" i="78"/>
  <c r="V23" i="78"/>
  <c r="AE23" i="78"/>
  <c r="AN23" i="78"/>
  <c r="D41" i="114"/>
  <c r="G41" i="114"/>
  <c r="J30" i="110"/>
  <c r="G30" i="110"/>
  <c r="D36" i="109"/>
  <c r="J36" i="109"/>
  <c r="S39" i="78"/>
  <c r="AJ39" i="78"/>
  <c r="AK39" i="78" s="1"/>
  <c r="L39" i="78"/>
  <c r="M39" i="78" s="1"/>
  <c r="AH39" i="78"/>
  <c r="O98" i="117"/>
  <c r="V88" i="117"/>
  <c r="N60" i="117"/>
  <c r="G25" i="117"/>
  <c r="O20" i="117"/>
  <c r="N25" i="117"/>
  <c r="N98" i="117"/>
  <c r="D34" i="112"/>
  <c r="J36" i="110"/>
  <c r="G36" i="110"/>
  <c r="AL21" i="102"/>
  <c r="W21" i="102"/>
  <c r="O42" i="101"/>
  <c r="P42" i="101" s="1"/>
  <c r="AH42" i="101"/>
  <c r="K42" i="101"/>
  <c r="AA28" i="101"/>
  <c r="AB28" i="101" s="1"/>
  <c r="AH28" i="101"/>
  <c r="G24" i="96"/>
  <c r="V24" i="96"/>
  <c r="X32" i="102"/>
  <c r="Y32" i="102" s="1"/>
  <c r="AB32" i="102"/>
  <c r="L32" i="102"/>
  <c r="M32" i="102" s="1"/>
  <c r="D73" i="78"/>
  <c r="J73" i="78"/>
  <c r="AB29" i="102"/>
  <c r="AI29" i="102"/>
  <c r="O23" i="117"/>
  <c r="AH29" i="102"/>
  <c r="H24" i="117"/>
  <c r="D32" i="102"/>
  <c r="G88" i="117"/>
  <c r="G60" i="117"/>
  <c r="U60" i="117"/>
  <c r="G67" i="117"/>
  <c r="N24" i="117"/>
  <c r="H25" i="117"/>
  <c r="V25" i="117"/>
  <c r="J27" i="102"/>
  <c r="AJ32" i="102"/>
  <c r="AK32" i="102" s="1"/>
  <c r="AI26" i="78"/>
  <c r="S26" i="78"/>
  <c r="V109" i="117"/>
  <c r="H106" i="117"/>
  <c r="D21" i="102"/>
  <c r="D26" i="102"/>
  <c r="K33" i="101"/>
  <c r="H26" i="117"/>
  <c r="G28" i="110"/>
  <c r="S56" i="78"/>
  <c r="G41" i="110"/>
  <c r="K70" i="78"/>
  <c r="AI23" i="78"/>
  <c r="H24" i="96"/>
  <c r="N23" i="72"/>
  <c r="P70" i="78"/>
  <c r="AJ23" i="78"/>
  <c r="AK23" i="78" s="1"/>
  <c r="G54" i="78"/>
  <c r="D54" i="78"/>
  <c r="G23" i="72"/>
  <c r="K39" i="90"/>
  <c r="N31" i="94"/>
  <c r="D35" i="102"/>
  <c r="X35" i="102"/>
  <c r="Y35" i="102" s="1"/>
  <c r="AB23" i="78"/>
  <c r="AJ76" i="78"/>
  <c r="AK76" i="78" s="1"/>
  <c r="AI19" i="102"/>
  <c r="D76" i="78"/>
  <c r="P58" i="78"/>
  <c r="AN68" i="78"/>
  <c r="S43" i="78"/>
  <c r="AI58" i="78"/>
  <c r="V68" i="78"/>
  <c r="X38" i="102"/>
  <c r="Y38" i="102" s="1"/>
  <c r="AB38" i="102"/>
  <c r="AE22" i="78"/>
  <c r="K22" i="78"/>
  <c r="V31" i="117"/>
  <c r="G31" i="117"/>
  <c r="V34" i="101"/>
  <c r="G34" i="101"/>
  <c r="AN30" i="78"/>
  <c r="K30" i="78"/>
  <c r="J27" i="112"/>
  <c r="G27" i="112"/>
  <c r="D35" i="112"/>
  <c r="G35" i="112"/>
  <c r="H97" i="117"/>
  <c r="N97" i="117"/>
  <c r="AB23" i="102"/>
  <c r="L23" i="102"/>
  <c r="M23" i="102" s="1"/>
  <c r="AR22" i="101"/>
  <c r="Y22" i="101"/>
  <c r="N22" i="101"/>
  <c r="AO19" i="99"/>
  <c r="AR19" i="99"/>
  <c r="K38" i="102"/>
  <c r="K18" i="102"/>
  <c r="O67" i="117"/>
  <c r="W27" i="102"/>
  <c r="G32" i="102"/>
  <c r="AE32" i="102"/>
  <c r="O36" i="96"/>
  <c r="D64" i="78"/>
  <c r="X26" i="78"/>
  <c r="Y26" i="78" s="1"/>
  <c r="V18" i="118"/>
  <c r="K33" i="78"/>
  <c r="W73" i="90"/>
  <c r="S33" i="78"/>
  <c r="V27" i="118"/>
  <c r="W26" i="102"/>
  <c r="K26" i="102"/>
  <c r="N105" i="117"/>
  <c r="V31" i="94"/>
  <c r="V29" i="96"/>
  <c r="U37" i="94"/>
  <c r="W19" i="78"/>
  <c r="AN19" i="78"/>
  <c r="AB73" i="78"/>
  <c r="W26" i="78"/>
  <c r="AP37" i="99"/>
  <c r="AQ37" i="99" s="1"/>
  <c r="J42" i="101"/>
  <c r="G29" i="102"/>
  <c r="W36" i="90"/>
  <c r="AJ26" i="78"/>
  <c r="AK26" i="78" s="1"/>
  <c r="D33" i="89"/>
  <c r="H27" i="96"/>
  <c r="S64" i="78"/>
  <c r="U26" i="72"/>
  <c r="Y23" i="101"/>
  <c r="J23" i="101"/>
  <c r="AE29" i="102"/>
  <c r="N26" i="99"/>
  <c r="J27" i="113"/>
  <c r="U102" i="117"/>
  <c r="G95" i="117"/>
  <c r="U18" i="117"/>
  <c r="K27" i="102"/>
  <c r="G27" i="102"/>
  <c r="J32" i="102"/>
  <c r="AH24" i="99"/>
  <c r="AA21" i="99"/>
  <c r="AB21" i="99" s="1"/>
  <c r="V64" i="78"/>
  <c r="K26" i="78"/>
  <c r="Z28" i="101"/>
  <c r="G33" i="117"/>
  <c r="S29" i="102"/>
  <c r="AL29" i="102"/>
  <c r="J33" i="113"/>
  <c r="V29" i="102"/>
  <c r="P32" i="102"/>
  <c r="O102" i="117"/>
  <c r="U95" i="117"/>
  <c r="X27" i="102"/>
  <c r="Y27" i="102" s="1"/>
  <c r="V27" i="102"/>
  <c r="L27" i="102"/>
  <c r="M27" i="102" s="1"/>
  <c r="V32" i="102"/>
  <c r="AL32" i="102"/>
  <c r="AH32" i="102"/>
  <c r="AA24" i="99"/>
  <c r="AB24" i="99" s="1"/>
  <c r="X33" i="78"/>
  <c r="Y33" i="78" s="1"/>
  <c r="G26" i="78"/>
  <c r="Y21" i="99"/>
  <c r="AN33" i="78"/>
  <c r="K73" i="90"/>
  <c r="AI28" i="90"/>
  <c r="L26" i="78"/>
  <c r="M26" i="78" s="1"/>
  <c r="G39" i="102"/>
  <c r="X26" i="102"/>
  <c r="Y26" i="102" s="1"/>
  <c r="L26" i="102"/>
  <c r="M26" i="102" s="1"/>
  <c r="L29" i="102"/>
  <c r="M29" i="102" s="1"/>
  <c r="H54" i="117"/>
  <c r="D36" i="110"/>
  <c r="AJ29" i="102"/>
  <c r="AK29" i="102" s="1"/>
  <c r="D29" i="102"/>
  <c r="L56" i="78"/>
  <c r="M56" i="78" s="1"/>
  <c r="AC37" i="99"/>
  <c r="AH28" i="99"/>
  <c r="X39" i="102"/>
  <c r="Y39" i="102" s="1"/>
  <c r="J29" i="102"/>
  <c r="AH56" i="78"/>
  <c r="H26" i="72"/>
  <c r="N26" i="72"/>
  <c r="U24" i="96"/>
  <c r="K21" i="102"/>
  <c r="H29" i="117"/>
  <c r="V19" i="72"/>
  <c r="X22" i="78"/>
  <c r="Y22" i="78" s="1"/>
  <c r="AI30" i="78"/>
  <c r="AB36" i="102"/>
  <c r="D37" i="109"/>
  <c r="X30" i="78"/>
  <c r="Y30" i="78" s="1"/>
  <c r="J30" i="78"/>
  <c r="G22" i="78"/>
  <c r="AE52" i="78"/>
  <c r="V23" i="118"/>
  <c r="AE38" i="102"/>
  <c r="K61" i="78"/>
  <c r="S36" i="102"/>
  <c r="J23" i="108"/>
  <c r="H18" i="117"/>
  <c r="D69" i="78"/>
  <c r="L40" i="78"/>
  <c r="M40" i="78" s="1"/>
  <c r="AE28" i="102"/>
  <c r="V43" i="117"/>
  <c r="J21" i="109"/>
  <c r="O18" i="117"/>
  <c r="K40" i="78"/>
  <c r="AE65" i="78"/>
  <c r="AI22" i="78"/>
  <c r="U28" i="94"/>
  <c r="AH65" i="78"/>
  <c r="AE30" i="78"/>
  <c r="AI40" i="78"/>
  <c r="D22" i="78"/>
  <c r="V30" i="78"/>
  <c r="V33" i="96"/>
  <c r="D36" i="113"/>
  <c r="G27" i="113"/>
  <c r="D28" i="107"/>
  <c r="J52" i="78"/>
  <c r="P30" i="78"/>
  <c r="J65" i="78"/>
  <c r="G37" i="101"/>
  <c r="AJ38" i="102"/>
  <c r="AK38" i="102" s="1"/>
  <c r="P67" i="78"/>
  <c r="AH52" i="78"/>
  <c r="AH69" i="78"/>
  <c r="V36" i="102"/>
  <c r="L38" i="102"/>
  <c r="M38" i="102" s="1"/>
  <c r="D17" i="112"/>
  <c r="D27" i="110"/>
  <c r="G29" i="109"/>
  <c r="G35" i="108"/>
  <c r="J41" i="78"/>
  <c r="P69" i="78"/>
  <c r="H76" i="117"/>
  <c r="V58" i="117"/>
  <c r="N39" i="117"/>
  <c r="AM36" i="102"/>
  <c r="AN36" i="102" s="1"/>
  <c r="S38" i="102"/>
  <c r="G17" i="112"/>
  <c r="J21" i="114"/>
  <c r="G33" i="114"/>
  <c r="G27" i="110"/>
  <c r="G23" i="107"/>
  <c r="V61" i="117"/>
  <c r="J41" i="108"/>
  <c r="J16" i="114"/>
  <c r="G30" i="108"/>
  <c r="S18" i="102"/>
  <c r="AS19" i="99"/>
  <c r="AT19" i="99" s="1"/>
  <c r="G27" i="99"/>
  <c r="L23" i="99"/>
  <c r="M23" i="99" s="1"/>
  <c r="J35" i="89"/>
  <c r="AH41" i="78"/>
  <c r="AB69" i="78"/>
  <c r="AB64" i="78"/>
  <c r="D52" i="78"/>
  <c r="S22" i="78"/>
  <c r="J37" i="89"/>
  <c r="K64" i="78"/>
  <c r="V17" i="94"/>
  <c r="K41" i="78"/>
  <c r="AI41" i="78"/>
  <c r="AE69" i="78"/>
  <c r="AI52" i="78"/>
  <c r="AH22" i="78"/>
  <c r="J22" i="78"/>
  <c r="G43" i="117"/>
  <c r="AH23" i="102"/>
  <c r="D28" i="102"/>
  <c r="L29" i="101"/>
  <c r="M29" i="101" s="1"/>
  <c r="AN59" i="90"/>
  <c r="U70" i="117"/>
  <c r="AL38" i="102"/>
  <c r="P38" i="102"/>
  <c r="P36" i="102"/>
  <c r="G24" i="113"/>
  <c r="J26" i="114"/>
  <c r="J35" i="114"/>
  <c r="D25" i="110"/>
  <c r="D19" i="109"/>
  <c r="G35" i="109"/>
  <c r="G25" i="108"/>
  <c r="AH35" i="78"/>
  <c r="AN37" i="78"/>
  <c r="D32" i="113"/>
  <c r="V38" i="102"/>
  <c r="W78" i="90"/>
  <c r="D41" i="78"/>
  <c r="J64" i="78"/>
  <c r="J38" i="78"/>
  <c r="AI36" i="90"/>
  <c r="U28" i="72"/>
  <c r="J37" i="101"/>
  <c r="AJ41" i="78"/>
  <c r="AK41" i="78" s="1"/>
  <c r="L64" i="78"/>
  <c r="M64" i="78" s="1"/>
  <c r="AI59" i="90"/>
  <c r="N17" i="94"/>
  <c r="AJ69" i="78"/>
  <c r="AK69" i="78" s="1"/>
  <c r="U72" i="117"/>
  <c r="AJ36" i="102"/>
  <c r="AK36" i="102" s="1"/>
  <c r="D38" i="102"/>
  <c r="J29" i="112"/>
  <c r="G33" i="109"/>
  <c r="D35" i="108"/>
  <c r="V34" i="117"/>
  <c r="D32" i="112"/>
  <c r="J22" i="110"/>
  <c r="G34" i="110"/>
  <c r="D30" i="108"/>
  <c r="AA19" i="99"/>
  <c r="AB19" i="99" s="1"/>
  <c r="P41" i="78"/>
  <c r="K69" i="78"/>
  <c r="X64" i="78"/>
  <c r="Y64" i="78" s="1"/>
  <c r="S52" i="78"/>
  <c r="H19" i="118"/>
  <c r="AH64" i="78"/>
  <c r="U17" i="94"/>
  <c r="G24" i="89"/>
  <c r="G41" i="78"/>
  <c r="AE64" i="78"/>
  <c r="AN22" i="78"/>
  <c r="L22" i="78"/>
  <c r="M22" i="78" s="1"/>
  <c r="H19" i="72"/>
  <c r="AJ23" i="102"/>
  <c r="AK23" i="102" s="1"/>
  <c r="K28" i="102"/>
  <c r="Y37" i="101"/>
  <c r="AA17" i="99"/>
  <c r="AB17" i="99" s="1"/>
  <c r="U96" i="117"/>
  <c r="H35" i="117"/>
  <c r="AI38" i="102"/>
  <c r="AH38" i="102"/>
  <c r="G38" i="102"/>
  <c r="K36" i="102"/>
  <c r="AI36" i="102"/>
  <c r="AC22" i="101"/>
  <c r="AD19" i="101"/>
  <c r="AE19" i="101" s="1"/>
  <c r="J25" i="113"/>
  <c r="J25" i="110"/>
  <c r="J25" i="108"/>
  <c r="J33" i="108"/>
  <c r="S61" i="78"/>
  <c r="J32" i="113"/>
  <c r="W28" i="102"/>
  <c r="G38" i="108"/>
  <c r="AN41" i="78"/>
  <c r="X38" i="78"/>
  <c r="Y38" i="78" s="1"/>
  <c r="J24" i="89"/>
  <c r="O28" i="72"/>
  <c r="W41" i="78"/>
  <c r="K36" i="90"/>
  <c r="U19" i="72"/>
  <c r="H28" i="72"/>
  <c r="W52" i="78"/>
  <c r="AN52" i="78"/>
  <c r="X52" i="78"/>
  <c r="Y52" i="78" s="1"/>
  <c r="D59" i="90"/>
  <c r="AH59" i="90"/>
  <c r="J36" i="102"/>
  <c r="AP17" i="99"/>
  <c r="AQ17" i="99" s="1"/>
  <c r="D29" i="112"/>
  <c r="D33" i="109"/>
  <c r="G62" i="117"/>
  <c r="G32" i="112"/>
  <c r="D16" i="114"/>
  <c r="G22" i="110"/>
  <c r="L18" i="102"/>
  <c r="M18" i="102" s="1"/>
  <c r="N19" i="99"/>
  <c r="G64" i="78"/>
  <c r="G52" i="78"/>
  <c r="G33" i="89"/>
  <c r="AI64" i="78"/>
  <c r="W64" i="78"/>
  <c r="N19" i="72"/>
  <c r="K23" i="99"/>
  <c r="D38" i="108"/>
  <c r="O58" i="117"/>
  <c r="J23" i="102"/>
  <c r="AO29" i="101"/>
  <c r="K37" i="101"/>
  <c r="AM38" i="102"/>
  <c r="AN38" i="102" s="1"/>
  <c r="W36" i="102"/>
  <c r="AO22" i="101"/>
  <c r="D32" i="110"/>
  <c r="D35" i="109"/>
  <c r="K68" i="90"/>
  <c r="K59" i="90"/>
  <c r="AN64" i="78"/>
  <c r="W59" i="90"/>
  <c r="N28" i="72"/>
  <c r="S41" i="78"/>
  <c r="V28" i="72"/>
  <c r="O17" i="94"/>
  <c r="AB38" i="78"/>
  <c r="D38" i="78"/>
  <c r="AE41" i="78"/>
  <c r="AH22" i="102"/>
  <c r="J34" i="102"/>
  <c r="AI34" i="102"/>
  <c r="K34" i="102"/>
  <c r="S34" i="102"/>
  <c r="L25" i="102"/>
  <c r="M25" i="102" s="1"/>
  <c r="AJ25" i="102"/>
  <c r="AK25" i="102" s="1"/>
  <c r="X71" i="78"/>
  <c r="Y71" i="78" s="1"/>
  <c r="P24" i="78"/>
  <c r="D25" i="78"/>
  <c r="AE71" i="78"/>
  <c r="AN24" i="78"/>
  <c r="D71" i="78"/>
  <c r="AI28" i="78"/>
  <c r="L31" i="78"/>
  <c r="M31" i="78" s="1"/>
  <c r="V28" i="78"/>
  <c r="P25" i="78"/>
  <c r="W24" i="78"/>
  <c r="D37" i="102"/>
  <c r="AH41" i="102"/>
  <c r="D41" i="102"/>
  <c r="L41" i="102"/>
  <c r="M41" i="102" s="1"/>
  <c r="AE22" i="102"/>
  <c r="AB20" i="102"/>
  <c r="AE57" i="78"/>
  <c r="J25" i="78"/>
  <c r="AE37" i="102"/>
  <c r="G57" i="78"/>
  <c r="J57" i="78"/>
  <c r="J22" i="102"/>
  <c r="AE34" i="102"/>
  <c r="W34" i="102"/>
  <c r="G34" i="102"/>
  <c r="G25" i="102"/>
  <c r="AL25" i="102"/>
  <c r="AH66" i="78"/>
  <c r="AE28" i="78"/>
  <c r="G31" i="78"/>
  <c r="J24" i="78"/>
  <c r="AJ71" i="78"/>
  <c r="AK71" i="78" s="1"/>
  <c r="AH71" i="78"/>
  <c r="AH28" i="78"/>
  <c r="W31" i="78"/>
  <c r="L25" i="78"/>
  <c r="M25" i="78" s="1"/>
  <c r="V24" i="78"/>
  <c r="S71" i="78"/>
  <c r="AI37" i="102"/>
  <c r="AB22" i="102"/>
  <c r="AJ41" i="102"/>
  <c r="AK41" i="102" s="1"/>
  <c r="S41" i="102"/>
  <c r="Y41" i="102"/>
  <c r="W22" i="102"/>
  <c r="K22" i="102"/>
  <c r="S22" i="102"/>
  <c r="G20" i="102"/>
  <c r="S57" i="78"/>
  <c r="AE31" i="78"/>
  <c r="K31" i="78"/>
  <c r="W25" i="78"/>
  <c r="J37" i="102"/>
  <c r="AM22" i="102"/>
  <c r="AN22" i="102" s="1"/>
  <c r="L59" i="78"/>
  <c r="M59" i="78" s="1"/>
  <c r="X25" i="78"/>
  <c r="Y25" i="78" s="1"/>
  <c r="AH34" i="102"/>
  <c r="X34" i="102"/>
  <c r="Y34" i="102" s="1"/>
  <c r="V71" i="78"/>
  <c r="X31" i="78"/>
  <c r="Y31" i="78" s="1"/>
  <c r="AN28" i="78"/>
  <c r="L71" i="78"/>
  <c r="M71" i="78" s="1"/>
  <c r="X24" i="78"/>
  <c r="Y24" i="78" s="1"/>
  <c r="S31" i="78"/>
  <c r="P22" i="102"/>
  <c r="J41" i="102"/>
  <c r="AL41" i="102"/>
  <c r="K41" i="102"/>
  <c r="AL22" i="102"/>
  <c r="V22" i="102"/>
  <c r="L22" i="102"/>
  <c r="M22" i="102" s="1"/>
  <c r="X20" i="102"/>
  <c r="Y20" i="102" s="1"/>
  <c r="D74" i="78"/>
  <c r="G37" i="102"/>
  <c r="AN41" i="102"/>
  <c r="AJ22" i="102"/>
  <c r="AK22" i="102" s="1"/>
  <c r="AB57" i="78"/>
  <c r="AB31" i="78"/>
  <c r="V25" i="78"/>
  <c r="W57" i="78"/>
  <c r="N72" i="117"/>
  <c r="G58" i="117"/>
  <c r="U39" i="117"/>
  <c r="N34" i="99"/>
  <c r="S17" i="99"/>
  <c r="G27" i="108"/>
  <c r="U97" i="117"/>
  <c r="U61" i="117"/>
  <c r="U62" i="117"/>
  <c r="G18" i="108"/>
  <c r="J34" i="108"/>
  <c r="D19" i="99"/>
  <c r="L19" i="99"/>
  <c r="M19" i="99" s="1"/>
  <c r="K19" i="99"/>
  <c r="O76" i="117"/>
  <c r="H18" i="96"/>
  <c r="J27" i="99"/>
  <c r="Z23" i="99"/>
  <c r="O43" i="117"/>
  <c r="H72" i="117"/>
  <c r="N58" i="117"/>
  <c r="D27" i="108"/>
  <c r="J28" i="107"/>
  <c r="V97" i="117"/>
  <c r="O61" i="117"/>
  <c r="O62" i="117"/>
  <c r="N34" i="117"/>
  <c r="AC19" i="99"/>
  <c r="Z19" i="99"/>
  <c r="AP19" i="99"/>
  <c r="AQ19" i="99" s="1"/>
  <c r="O19" i="99"/>
  <c r="P19" i="99" s="1"/>
  <c r="AI65" i="90"/>
  <c r="V76" i="117"/>
  <c r="H58" i="117"/>
  <c r="V39" i="117"/>
  <c r="AC29" i="101"/>
  <c r="AP37" i="101"/>
  <c r="AQ37" i="101" s="1"/>
  <c r="V37" i="101"/>
  <c r="AN37" i="101"/>
  <c r="N96" i="117"/>
  <c r="V52" i="117"/>
  <c r="G70" i="117"/>
  <c r="U35" i="117"/>
  <c r="G35" i="117"/>
  <c r="D30" i="109"/>
  <c r="AK22" i="101"/>
  <c r="AH22" i="101"/>
  <c r="D26" i="114"/>
  <c r="J32" i="110"/>
  <c r="G28" i="108"/>
  <c r="D27" i="112"/>
  <c r="G34" i="113"/>
  <c r="J27" i="114"/>
  <c r="G29" i="108"/>
  <c r="J28" i="89"/>
  <c r="AC34" i="101"/>
  <c r="AR38" i="101"/>
  <c r="AQ38" i="101"/>
  <c r="V21" i="94"/>
  <c r="U31" i="117"/>
  <c r="H43" i="117"/>
  <c r="H39" i="117"/>
  <c r="K17" i="99"/>
  <c r="G36" i="113"/>
  <c r="G29" i="114"/>
  <c r="D37" i="114"/>
  <c r="G37" i="109"/>
  <c r="G23" i="108"/>
  <c r="N61" i="117"/>
  <c r="H61" i="117"/>
  <c r="U34" i="117"/>
  <c r="G22" i="113"/>
  <c r="S19" i="99"/>
  <c r="AK19" i="99"/>
  <c r="V19" i="99"/>
  <c r="G19" i="99"/>
  <c r="N76" i="117"/>
  <c r="V34" i="118"/>
  <c r="O32" i="118"/>
  <c r="V18" i="96"/>
  <c r="Y27" i="99"/>
  <c r="U76" i="117"/>
  <c r="O39" i="117"/>
  <c r="U43" i="117"/>
  <c r="AP29" i="101"/>
  <c r="AQ29" i="101" s="1"/>
  <c r="AN29" i="101"/>
  <c r="D22" i="112"/>
  <c r="AO37" i="101"/>
  <c r="AD37" i="101"/>
  <c r="AE37" i="101" s="1"/>
  <c r="AC37" i="101"/>
  <c r="AR17" i="99"/>
  <c r="O96" i="117"/>
  <c r="N52" i="117"/>
  <c r="O35" i="117"/>
  <c r="J22" i="101"/>
  <c r="L22" i="101"/>
  <c r="M22" i="101" s="1"/>
  <c r="Z22" i="101"/>
  <c r="AC19" i="101"/>
  <c r="J30" i="113"/>
  <c r="J17" i="113"/>
  <c r="J35" i="112"/>
  <c r="D21" i="110"/>
  <c r="J29" i="110"/>
  <c r="V35" i="118"/>
  <c r="AI68" i="90"/>
  <c r="N36" i="72"/>
  <c r="J38" i="101"/>
  <c r="D29" i="114"/>
  <c r="H34" i="118"/>
  <c r="O72" i="117"/>
  <c r="J27" i="107"/>
  <c r="N37" i="101"/>
  <c r="S37" i="101"/>
  <c r="V35" i="117"/>
  <c r="AA22" i="101"/>
  <c r="AB22" i="101" s="1"/>
  <c r="G22" i="112"/>
  <c r="G30" i="113"/>
  <c r="J23" i="112"/>
  <c r="J34" i="113"/>
  <c r="G27" i="114"/>
  <c r="D29" i="110"/>
  <c r="O35" i="118"/>
  <c r="H31" i="117"/>
  <c r="L57" i="78"/>
  <c r="M57" i="78" s="1"/>
  <c r="V31" i="78"/>
  <c r="P37" i="102"/>
  <c r="S37" i="102"/>
  <c r="AJ37" i="102"/>
  <c r="AK37" i="102" s="1"/>
  <c r="W41" i="102"/>
  <c r="AI41" i="102"/>
  <c r="AH38" i="101"/>
  <c r="G38" i="101"/>
  <c r="Y38" i="101"/>
  <c r="G30" i="94"/>
  <c r="H26" i="96"/>
  <c r="X57" i="78"/>
  <c r="Y57" i="78" s="1"/>
  <c r="AE25" i="78"/>
  <c r="AL37" i="102"/>
  <c r="Y41" i="78"/>
  <c r="AJ64" i="78"/>
  <c r="AK64" i="78" s="1"/>
  <c r="AI38" i="78"/>
  <c r="G31" i="89"/>
  <c r="O31" i="117"/>
  <c r="AI25" i="90"/>
  <c r="AH31" i="78"/>
  <c r="P57" i="78"/>
  <c r="AI25" i="78"/>
  <c r="AI57" i="78"/>
  <c r="D38" i="101"/>
  <c r="AJ31" i="78"/>
  <c r="AK31" i="78" s="1"/>
  <c r="P68" i="78"/>
  <c r="G68" i="78"/>
  <c r="K68" i="78"/>
  <c r="G38" i="78"/>
  <c r="O19" i="72"/>
  <c r="P36" i="90"/>
  <c r="J36" i="90"/>
  <c r="J59" i="90"/>
  <c r="V37" i="102"/>
  <c r="V41" i="102"/>
  <c r="AE38" i="101"/>
  <c r="O38" i="101"/>
  <c r="P38" i="101" s="1"/>
  <c r="AO38" i="101"/>
  <c r="N30" i="94"/>
  <c r="AK38" i="101"/>
  <c r="G26" i="96"/>
  <c r="K57" i="78"/>
  <c r="AB25" i="78"/>
  <c r="J31" i="78"/>
  <c r="L37" i="102"/>
  <c r="M37" i="102" s="1"/>
  <c r="N31" i="117"/>
  <c r="K25" i="78"/>
  <c r="AN57" i="78"/>
  <c r="AN31" i="78"/>
  <c r="D57" i="78"/>
  <c r="Z38" i="101"/>
  <c r="G25" i="78"/>
  <c r="S38" i="78"/>
  <c r="AH38" i="78"/>
  <c r="D33" i="90"/>
  <c r="AH36" i="90"/>
  <c r="V59" i="90"/>
  <c r="AM37" i="102"/>
  <c r="AN37" i="102" s="1"/>
  <c r="J31" i="89"/>
  <c r="K38" i="101"/>
  <c r="AN25" i="78"/>
  <c r="P31" i="78"/>
  <c r="V38" i="78"/>
  <c r="K38" i="78"/>
  <c r="AE36" i="90"/>
  <c r="K19" i="90"/>
  <c r="AN35" i="78"/>
  <c r="X35" i="78"/>
  <c r="Y35" i="78" s="1"/>
  <c r="AE35" i="78"/>
  <c r="V35" i="78"/>
  <c r="AJ35" i="78"/>
  <c r="AK35" i="78" s="1"/>
  <c r="K35" i="78"/>
  <c r="J35" i="78"/>
  <c r="AB35" i="78"/>
  <c r="AD18" i="101"/>
  <c r="AE18" i="101" s="1"/>
  <c r="J18" i="101"/>
  <c r="AK18" i="101"/>
  <c r="AA25" i="99"/>
  <c r="AB25" i="99" s="1"/>
  <c r="AO25" i="99"/>
  <c r="AS25" i="99"/>
  <c r="AT25" i="99" s="1"/>
  <c r="V36" i="96"/>
  <c r="D27" i="78"/>
  <c r="V19" i="118"/>
  <c r="AN38" i="99"/>
  <c r="H28" i="94"/>
  <c r="P27" i="78"/>
  <c r="AJ61" i="78"/>
  <c r="AK61" i="78" s="1"/>
  <c r="AE61" i="78"/>
  <c r="D20" i="102"/>
  <c r="S20" i="102"/>
  <c r="AL20" i="102"/>
  <c r="AM20" i="102"/>
  <c r="AN20" i="102" s="1"/>
  <c r="AI20" i="102"/>
  <c r="AK34" i="101"/>
  <c r="AA34" i="101"/>
  <c r="AB34" i="101" s="1"/>
  <c r="Z34" i="101"/>
  <c r="K34" i="101"/>
  <c r="AP34" i="101"/>
  <c r="AQ34" i="101" s="1"/>
  <c r="AR34" i="101"/>
  <c r="L34" i="101"/>
  <c r="M34" i="101" s="1"/>
  <c r="N34" i="101"/>
  <c r="D34" i="101"/>
  <c r="AD34" i="101"/>
  <c r="AE34" i="101" s="1"/>
  <c r="J34" i="101"/>
  <c r="O34" i="101"/>
  <c r="P34" i="101" s="1"/>
  <c r="AS34" i="101"/>
  <c r="AT34" i="101" s="1"/>
  <c r="S34" i="101"/>
  <c r="Y34" i="101"/>
  <c r="AH34" i="101"/>
  <c r="AJ30" i="78"/>
  <c r="AK30" i="78" s="1"/>
  <c r="W30" i="78"/>
  <c r="AH30" i="78"/>
  <c r="G30" i="78"/>
  <c r="D30" i="78"/>
  <c r="S30" i="78"/>
  <c r="G28" i="109"/>
  <c r="J28" i="109"/>
  <c r="J64" i="90"/>
  <c r="AI64" i="90"/>
  <c r="W64" i="90"/>
  <c r="W65" i="78"/>
  <c r="D65" i="78"/>
  <c r="K65" i="78"/>
  <c r="AJ65" i="78"/>
  <c r="AK65" i="78" s="1"/>
  <c r="P65" i="78"/>
  <c r="G25" i="89"/>
  <c r="D25" i="89"/>
  <c r="G35" i="113"/>
  <c r="J35" i="113"/>
  <c r="D35" i="113"/>
  <c r="D33" i="110"/>
  <c r="G33" i="110"/>
  <c r="J30" i="89"/>
  <c r="D30" i="89"/>
  <c r="AJ40" i="78"/>
  <c r="AK40" i="78" s="1"/>
  <c r="S40" i="78"/>
  <c r="D40" i="78"/>
  <c r="G33" i="112"/>
  <c r="G37" i="114"/>
  <c r="G21" i="109"/>
  <c r="AA18" i="101"/>
  <c r="AB18" i="101" s="1"/>
  <c r="D18" i="113"/>
  <c r="D18" i="108"/>
  <c r="AS18" i="101"/>
  <c r="AT18" i="101" s="1"/>
  <c r="V18" i="101"/>
  <c r="AC18" i="101"/>
  <c r="AH25" i="99"/>
  <c r="Y25" i="99"/>
  <c r="AP25" i="99"/>
  <c r="AQ25" i="99" s="1"/>
  <c r="N28" i="94"/>
  <c r="X65" i="78"/>
  <c r="Y65" i="78" s="1"/>
  <c r="AB30" i="78"/>
  <c r="AB40" i="78"/>
  <c r="J40" i="78"/>
  <c r="V38" i="99"/>
  <c r="AN40" i="78"/>
  <c r="V28" i="94"/>
  <c r="G65" i="78"/>
  <c r="AI65" i="78"/>
  <c r="L30" i="78"/>
  <c r="M30" i="78" s="1"/>
  <c r="V40" i="78"/>
  <c r="N24" i="72"/>
  <c r="P40" i="78"/>
  <c r="O24" i="94"/>
  <c r="AE20" i="102"/>
  <c r="P20" i="102"/>
  <c r="G23" i="112"/>
  <c r="J33" i="110"/>
  <c r="G27" i="109"/>
  <c r="J29" i="108"/>
  <c r="AI78" i="90"/>
  <c r="K78" i="90"/>
  <c r="L37" i="78"/>
  <c r="M37" i="78" s="1"/>
  <c r="G37" i="78"/>
  <c r="AB37" i="78"/>
  <c r="L35" i="78"/>
  <c r="M35" i="78" s="1"/>
  <c r="AO34" i="101"/>
  <c r="AH40" i="78"/>
  <c r="K19" i="102"/>
  <c r="AL19" i="102"/>
  <c r="D19" i="102"/>
  <c r="AE19" i="102"/>
  <c r="P19" i="102"/>
  <c r="AB19" i="102"/>
  <c r="AH32" i="78"/>
  <c r="D32" i="78"/>
  <c r="L32" i="78"/>
  <c r="M32" i="78" s="1"/>
  <c r="K32" i="78"/>
  <c r="X32" i="78"/>
  <c r="Y32" i="78" s="1"/>
  <c r="P32" i="78"/>
  <c r="AB32" i="78"/>
  <c r="S32" i="78"/>
  <c r="V32" i="78"/>
  <c r="J32" i="78"/>
  <c r="AE32" i="78"/>
  <c r="W32" i="78"/>
  <c r="G32" i="78"/>
  <c r="AN32" i="78"/>
  <c r="AB76" i="78"/>
  <c r="AN76" i="78"/>
  <c r="S76" i="78"/>
  <c r="G76" i="78"/>
  <c r="AH76" i="78"/>
  <c r="V76" i="78"/>
  <c r="AI40" i="90"/>
  <c r="V61" i="78"/>
  <c r="G61" i="78"/>
  <c r="L61" i="78"/>
  <c r="M61" i="78" s="1"/>
  <c r="D61" i="78"/>
  <c r="P61" i="78"/>
  <c r="AI61" i="78"/>
  <c r="J61" i="78"/>
  <c r="AH61" i="78"/>
  <c r="AB61" i="78"/>
  <c r="V37" i="78"/>
  <c r="S37" i="78"/>
  <c r="AI37" i="78"/>
  <c r="W37" i="78"/>
  <c r="K37" i="78"/>
  <c r="AH37" i="78"/>
  <c r="AJ37" i="78"/>
  <c r="AK37" i="78" s="1"/>
  <c r="D37" i="78"/>
  <c r="P37" i="78"/>
  <c r="D25" i="99"/>
  <c r="P35" i="78"/>
  <c r="AI35" i="78"/>
  <c r="X37" i="78"/>
  <c r="Y37" i="78" s="1"/>
  <c r="D24" i="107"/>
  <c r="G24" i="107"/>
  <c r="D33" i="112"/>
  <c r="N18" i="101"/>
  <c r="D22" i="113"/>
  <c r="D34" i="108"/>
  <c r="O18" i="101"/>
  <c r="P18" i="101" s="1"/>
  <c r="K18" i="101"/>
  <c r="AN18" i="101"/>
  <c r="V25" i="99"/>
  <c r="AK25" i="99"/>
  <c r="U36" i="96"/>
  <c r="S65" i="78"/>
  <c r="U36" i="72"/>
  <c r="V28" i="118"/>
  <c r="X40" i="78"/>
  <c r="Y40" i="78" s="1"/>
  <c r="G36" i="72"/>
  <c r="G28" i="94"/>
  <c r="V65" i="78"/>
  <c r="W40" i="78"/>
  <c r="G40" i="78"/>
  <c r="V36" i="72"/>
  <c r="AN65" i="78"/>
  <c r="W20" i="102"/>
  <c r="AH20" i="102"/>
  <c r="L20" i="102"/>
  <c r="M20" i="102" s="1"/>
  <c r="D17" i="113"/>
  <c r="G21" i="110"/>
  <c r="D27" i="109"/>
  <c r="W40" i="90"/>
  <c r="AI19" i="90"/>
  <c r="J37" i="78"/>
  <c r="AN61" i="78"/>
  <c r="S35" i="78"/>
  <c r="W61" i="78"/>
  <c r="W35" i="78"/>
  <c r="G35" i="78"/>
  <c r="D28" i="109"/>
  <c r="K64" i="90"/>
  <c r="AN34" i="101"/>
  <c r="N70" i="117"/>
  <c r="H70" i="117"/>
  <c r="V70" i="117"/>
  <c r="U52" i="117"/>
  <c r="G52" i="117"/>
  <c r="H52" i="117"/>
  <c r="V96" i="117"/>
  <c r="H96" i="117"/>
  <c r="AB28" i="102"/>
  <c r="AM28" i="102"/>
  <c r="AN28" i="102" s="1"/>
  <c r="K23" i="102"/>
  <c r="G23" i="102"/>
  <c r="L36" i="102"/>
  <c r="M36" i="102" s="1"/>
  <c r="AE36" i="102"/>
  <c r="D36" i="102"/>
  <c r="N29" i="101"/>
  <c r="AR29" i="101"/>
  <c r="G64" i="90"/>
  <c r="D36" i="90"/>
  <c r="P33" i="90"/>
  <c r="AB33" i="90"/>
  <c r="J33" i="90"/>
  <c r="G33" i="90"/>
  <c r="E14" i="104"/>
  <c r="G8" i="104"/>
  <c r="F53" i="104"/>
  <c r="F47" i="104"/>
  <c r="E20" i="104"/>
  <c r="E38" i="104"/>
  <c r="G33" i="104"/>
  <c r="F23" i="104"/>
  <c r="E44" i="104"/>
  <c r="G39" i="104"/>
  <c r="F29" i="104"/>
  <c r="E50" i="104"/>
  <c r="E26" i="104"/>
  <c r="G45" i="104"/>
  <c r="G21" i="104"/>
  <c r="F35" i="104"/>
  <c r="E11" i="104"/>
  <c r="E56" i="104"/>
  <c r="E32" i="104"/>
  <c r="G51" i="104"/>
  <c r="G27" i="104"/>
  <c r="F41" i="104"/>
  <c r="F17" i="104"/>
  <c r="C11" i="85"/>
  <c r="C11" i="102"/>
  <c r="AA11" i="102" s="1"/>
  <c r="C11" i="98"/>
  <c r="C11" i="118"/>
  <c r="Q11" i="118" s="1"/>
  <c r="G7" i="104"/>
  <c r="E54" i="104"/>
  <c r="E48" i="104"/>
  <c r="E42" i="104"/>
  <c r="E36" i="104"/>
  <c r="E30" i="104"/>
  <c r="E24" i="104"/>
  <c r="E18" i="104"/>
  <c r="D12" i="104"/>
  <c r="G56" i="104"/>
  <c r="G50" i="104"/>
  <c r="G44" i="104"/>
  <c r="G38" i="104"/>
  <c r="G32" i="104"/>
  <c r="G26" i="104"/>
  <c r="F57" i="104"/>
  <c r="F51" i="104"/>
  <c r="F45" i="104"/>
  <c r="F39" i="104"/>
  <c r="F33" i="104"/>
  <c r="F27" i="104"/>
  <c r="F21" i="104"/>
  <c r="F15" i="104"/>
  <c r="D8" i="104"/>
  <c r="C11" i="89"/>
  <c r="C11" i="79"/>
  <c r="E53" i="104"/>
  <c r="E47" i="104"/>
  <c r="E41" i="104"/>
  <c r="E35" i="104"/>
  <c r="E29" i="104"/>
  <c r="E23" i="104"/>
  <c r="E17" i="104"/>
  <c r="D11" i="104"/>
  <c r="G54" i="104"/>
  <c r="G48" i="104"/>
  <c r="G42" i="104"/>
  <c r="G36" i="104"/>
  <c r="G30" i="104"/>
  <c r="G24" i="104"/>
  <c r="F56" i="104"/>
  <c r="F50" i="104"/>
  <c r="F44" i="104"/>
  <c r="F38" i="104"/>
  <c r="F32" i="104"/>
  <c r="F26" i="104"/>
  <c r="F20" i="104"/>
  <c r="F14" i="104"/>
  <c r="D6" i="104"/>
  <c r="C11" i="97"/>
  <c r="E57" i="104"/>
  <c r="E51" i="104"/>
  <c r="E45" i="104"/>
  <c r="E39" i="104"/>
  <c r="E33" i="104"/>
  <c r="E27" i="104"/>
  <c r="E21" i="104"/>
  <c r="E15" i="104"/>
  <c r="G6" i="104"/>
  <c r="G12" i="104"/>
  <c r="G53" i="104"/>
  <c r="G47" i="104"/>
  <c r="G41" i="104"/>
  <c r="G35" i="104"/>
  <c r="G29" i="104"/>
  <c r="G23" i="104"/>
  <c r="F54" i="104"/>
  <c r="F48" i="104"/>
  <c r="F42" i="104"/>
  <c r="F36" i="104"/>
  <c r="F30" i="104"/>
  <c r="F24" i="104"/>
  <c r="F18" i="104"/>
  <c r="Z46" i="78"/>
  <c r="AL46" i="78"/>
  <c r="G57" i="104"/>
  <c r="D53" i="104"/>
  <c r="D47" i="104"/>
  <c r="D41" i="104"/>
  <c r="D35" i="104"/>
  <c r="D29" i="104"/>
  <c r="D23" i="104"/>
  <c r="G18" i="104"/>
  <c r="G15" i="104"/>
  <c r="F12" i="104"/>
  <c r="E8" i="104"/>
  <c r="D57" i="104"/>
  <c r="D51" i="104"/>
  <c r="D45" i="104"/>
  <c r="D39" i="104"/>
  <c r="D33" i="104"/>
  <c r="D27" i="104"/>
  <c r="D21" i="104"/>
  <c r="D18" i="104"/>
  <c r="D15" i="104"/>
  <c r="G11" i="104"/>
  <c r="F6" i="104"/>
  <c r="D56" i="104"/>
  <c r="D50" i="104"/>
  <c r="D44" i="104"/>
  <c r="D38" i="104"/>
  <c r="D32" i="104"/>
  <c r="D26" i="104"/>
  <c r="G20" i="104"/>
  <c r="G17" i="104"/>
  <c r="G14" i="104"/>
  <c r="F11" i="104"/>
  <c r="E6" i="104"/>
  <c r="D54" i="104"/>
  <c r="D48" i="104"/>
  <c r="D42" i="104"/>
  <c r="D36" i="104"/>
  <c r="D30" i="104"/>
  <c r="D24" i="104"/>
  <c r="D20" i="104"/>
  <c r="D17" i="104"/>
  <c r="D14" i="104"/>
  <c r="F8" i="104"/>
  <c r="R11" i="79"/>
  <c r="G106" i="117"/>
  <c r="G23" i="117"/>
  <c r="G102" i="117"/>
  <c r="H95" i="117"/>
  <c r="H67" i="117"/>
  <c r="G18" i="117"/>
  <c r="V22" i="118"/>
  <c r="L30" i="99"/>
  <c r="M30" i="99" s="1"/>
  <c r="Y30" i="99"/>
  <c r="V72" i="117"/>
  <c r="U23" i="117"/>
  <c r="N106" i="117"/>
  <c r="L39" i="102"/>
  <c r="M39" i="102" s="1"/>
  <c r="S21" i="102"/>
  <c r="AK28" i="101"/>
  <c r="V54" i="117"/>
  <c r="V19" i="117"/>
  <c r="Z32" i="101"/>
  <c r="X21" i="102"/>
  <c r="Y21" i="102" s="1"/>
  <c r="AD28" i="101"/>
  <c r="AE28" i="101" s="1"/>
  <c r="G22" i="89"/>
  <c r="V18" i="117"/>
  <c r="H22" i="118"/>
  <c r="H23" i="118"/>
  <c r="H23" i="117"/>
  <c r="O106" i="117"/>
  <c r="J19" i="99"/>
  <c r="AH19" i="99"/>
  <c r="AH17" i="99"/>
  <c r="D17" i="99"/>
  <c r="AD17" i="99"/>
  <c r="AE17" i="99" s="1"/>
  <c r="G17" i="99"/>
  <c r="D34" i="99"/>
  <c r="AK34" i="99"/>
  <c r="AO34" i="99"/>
  <c r="AN21" i="90"/>
  <c r="K21" i="90"/>
  <c r="W21" i="90"/>
  <c r="AB25" i="102"/>
  <c r="J25" i="102"/>
  <c r="AB24" i="78"/>
  <c r="AE24" i="78"/>
  <c r="L24" i="78"/>
  <c r="M24" i="78" s="1"/>
  <c r="V20" i="72"/>
  <c r="H20" i="72"/>
  <c r="U20" i="72"/>
  <c r="O20" i="72"/>
  <c r="S30" i="90"/>
  <c r="K30" i="90"/>
  <c r="G28" i="113"/>
  <c r="D28" i="113"/>
  <c r="G23" i="109"/>
  <c r="D23" i="109"/>
  <c r="D29" i="107"/>
  <c r="G29" i="107"/>
  <c r="D26" i="112"/>
  <c r="G26" i="112"/>
  <c r="D20" i="110"/>
  <c r="G20" i="110"/>
  <c r="D34" i="109"/>
  <c r="J34" i="109"/>
  <c r="J32" i="108"/>
  <c r="G32" i="108"/>
  <c r="G29" i="117"/>
  <c r="V29" i="117"/>
  <c r="N29" i="117"/>
  <c r="U29" i="117"/>
  <c r="D22" i="114"/>
  <c r="J22" i="114"/>
  <c r="G22" i="114"/>
  <c r="U54" i="117"/>
  <c r="O54" i="117"/>
  <c r="G54" i="117"/>
  <c r="U69" i="117"/>
  <c r="N69" i="117"/>
  <c r="G69" i="117"/>
  <c r="O69" i="117"/>
  <c r="U105" i="117"/>
  <c r="H105" i="117"/>
  <c r="V105" i="117"/>
  <c r="G105" i="117"/>
  <c r="N71" i="117"/>
  <c r="U71" i="117"/>
  <c r="O71" i="117"/>
  <c r="V71" i="117"/>
  <c r="H71" i="117"/>
  <c r="U65" i="117"/>
  <c r="O65" i="117"/>
  <c r="N65" i="117"/>
  <c r="H65" i="117"/>
  <c r="V65" i="117"/>
  <c r="N85" i="117"/>
  <c r="G85" i="117"/>
  <c r="H85" i="117"/>
  <c r="V85" i="117"/>
  <c r="U85" i="117"/>
  <c r="O33" i="117"/>
  <c r="V33" i="117"/>
  <c r="N33" i="117"/>
  <c r="U33" i="117"/>
  <c r="U19" i="117"/>
  <c r="H19" i="117"/>
  <c r="G19" i="117"/>
  <c r="G32" i="107"/>
  <c r="D32" i="107"/>
  <c r="J32" i="107"/>
  <c r="J18" i="107"/>
  <c r="G18" i="107"/>
  <c r="P21" i="102"/>
  <c r="L21" i="102"/>
  <c r="M21" i="102" s="1"/>
  <c r="AE21" i="102"/>
  <c r="AM21" i="102"/>
  <c r="AN21" i="102" s="1"/>
  <c r="AI21" i="102"/>
  <c r="AJ21" i="102"/>
  <c r="AK21" i="102" s="1"/>
  <c r="J21" i="102"/>
  <c r="G21" i="102"/>
  <c r="V21" i="102"/>
  <c r="AB21" i="102"/>
  <c r="AE39" i="102"/>
  <c r="D39" i="102"/>
  <c r="AM39" i="102"/>
  <c r="AN39" i="102" s="1"/>
  <c r="K39" i="102"/>
  <c r="AI39" i="102"/>
  <c r="AH39" i="102"/>
  <c r="AL39" i="102"/>
  <c r="P39" i="102"/>
  <c r="AB39" i="102"/>
  <c r="S39" i="102"/>
  <c r="AN42" i="101"/>
  <c r="AO42" i="101"/>
  <c r="G42" i="101"/>
  <c r="AD42" i="101"/>
  <c r="AE42" i="101" s="1"/>
  <c r="Y42" i="101"/>
  <c r="Z42" i="101"/>
  <c r="S42" i="101"/>
  <c r="L42" i="101"/>
  <c r="M42" i="101" s="1"/>
  <c r="AC42" i="101"/>
  <c r="AR42" i="101"/>
  <c r="AP42" i="101"/>
  <c r="AQ42" i="101" s="1"/>
  <c r="AK42" i="101"/>
  <c r="N42" i="101"/>
  <c r="D42" i="101"/>
  <c r="AA42" i="101"/>
  <c r="AB42" i="101" s="1"/>
  <c r="AS42" i="101"/>
  <c r="AT42" i="101" s="1"/>
  <c r="D28" i="101"/>
  <c r="L28" i="101"/>
  <c r="M28" i="101" s="1"/>
  <c r="N28" i="101"/>
  <c r="AO28" i="101"/>
  <c r="AN28" i="101"/>
  <c r="AS28" i="101"/>
  <c r="AT28" i="101" s="1"/>
  <c r="S28" i="101"/>
  <c r="G28" i="101"/>
  <c r="V28" i="101"/>
  <c r="K28" i="101"/>
  <c r="O28" i="101"/>
  <c r="P28" i="101" s="1"/>
  <c r="AP28" i="101"/>
  <c r="AQ28" i="101" s="1"/>
  <c r="J28" i="101"/>
  <c r="AR28" i="101"/>
  <c r="AC28" i="101"/>
  <c r="S30" i="99"/>
  <c r="AR30" i="99"/>
  <c r="V30" i="99"/>
  <c r="AS30" i="99"/>
  <c r="AT30" i="99" s="1"/>
  <c r="AK30" i="99"/>
  <c r="AN30" i="99"/>
  <c r="G37" i="96"/>
  <c r="V37" i="96"/>
  <c r="U33" i="94"/>
  <c r="O33" i="94"/>
  <c r="AE74" i="78"/>
  <c r="V74" i="78"/>
  <c r="P74" i="78"/>
  <c r="X74" i="78"/>
  <c r="Y74" i="78" s="1"/>
  <c r="W74" i="78"/>
  <c r="L74" i="78"/>
  <c r="M74" i="78" s="1"/>
  <c r="W71" i="78"/>
  <c r="AB71" i="78"/>
  <c r="H33" i="72"/>
  <c r="G33" i="72"/>
  <c r="AI70" i="90"/>
  <c r="K70" i="90"/>
  <c r="S32" i="101"/>
  <c r="AA32" i="101"/>
  <c r="AB32" i="101" s="1"/>
  <c r="D32" i="101"/>
  <c r="AS32" i="101"/>
  <c r="AT32" i="101" s="1"/>
  <c r="N32" i="101"/>
  <c r="O32" i="101"/>
  <c r="P32" i="101" s="1"/>
  <c r="AR32" i="101"/>
  <c r="AH32" i="101"/>
  <c r="AP32" i="101"/>
  <c r="AQ32" i="101" s="1"/>
  <c r="AK32" i="101"/>
  <c r="AB33" i="78"/>
  <c r="D33" i="78"/>
  <c r="L33" i="78"/>
  <c r="M33" i="78" s="1"/>
  <c r="J33" i="78"/>
  <c r="J36" i="78"/>
  <c r="W36" i="78"/>
  <c r="AB36" i="78"/>
  <c r="G36" i="78"/>
  <c r="D36" i="78"/>
  <c r="K36" i="78"/>
  <c r="L36" i="78"/>
  <c r="M36" i="78" s="1"/>
  <c r="V36" i="78"/>
  <c r="AI36" i="78"/>
  <c r="X36" i="78"/>
  <c r="Y36" i="78" s="1"/>
  <c r="K19" i="78"/>
  <c r="AE19" i="78"/>
  <c r="G19" i="78"/>
  <c r="V19" i="78"/>
  <c r="AI19" i="78"/>
  <c r="J19" i="78"/>
  <c r="AB19" i="78"/>
  <c r="X19" i="78"/>
  <c r="Y19" i="78" s="1"/>
  <c r="G32" i="94"/>
  <c r="U32" i="94"/>
  <c r="AN19" i="101"/>
  <c r="V19" i="101"/>
  <c r="N19" i="101"/>
  <c r="L19" i="101"/>
  <c r="M19" i="101" s="1"/>
  <c r="S19" i="101"/>
  <c r="AS19" i="101"/>
  <c r="AT19" i="101" s="1"/>
  <c r="K19" i="101"/>
  <c r="Y19" i="101"/>
  <c r="Z36" i="99"/>
  <c r="AS36" i="99"/>
  <c r="AT36" i="99" s="1"/>
  <c r="O36" i="99"/>
  <c r="P36" i="99" s="1"/>
  <c r="O20" i="96"/>
  <c r="U20" i="96"/>
  <c r="V20" i="96"/>
  <c r="J22" i="90"/>
  <c r="V34" i="96"/>
  <c r="O34" i="96"/>
  <c r="U34" i="96"/>
  <c r="W26" i="90"/>
  <c r="G26" i="90"/>
  <c r="AE55" i="78"/>
  <c r="AJ55" i="78"/>
  <c r="AK55" i="78" s="1"/>
  <c r="J55" i="78"/>
  <c r="S55" i="78"/>
  <c r="X55" i="78"/>
  <c r="Y55" i="78" s="1"/>
  <c r="D18" i="102"/>
  <c r="H16" i="118"/>
  <c r="V16" i="118"/>
  <c r="D26" i="109"/>
  <c r="J26" i="109"/>
  <c r="U98" i="117"/>
  <c r="G98" i="117"/>
  <c r="N87" i="117"/>
  <c r="H87" i="117"/>
  <c r="O94" i="117"/>
  <c r="N94" i="117"/>
  <c r="G20" i="117"/>
  <c r="N20" i="117"/>
  <c r="U20" i="117"/>
  <c r="O109" i="117"/>
  <c r="U109" i="117"/>
  <c r="H109" i="117"/>
  <c r="N109" i="117"/>
  <c r="D30" i="102"/>
  <c r="W30" i="102"/>
  <c r="AI30" i="102"/>
  <c r="AR33" i="101"/>
  <c r="G33" i="101"/>
  <c r="V33" i="101"/>
  <c r="Z33" i="101"/>
  <c r="AN33" i="101"/>
  <c r="AO33" i="101"/>
  <c r="AK33" i="101"/>
  <c r="AC33" i="101"/>
  <c r="J33" i="102"/>
  <c r="AH33" i="102"/>
  <c r="P33" i="102"/>
  <c r="AB33" i="102"/>
  <c r="V33" i="102"/>
  <c r="AM33" i="102"/>
  <c r="X33" i="102"/>
  <c r="Y33" i="102" s="1"/>
  <c r="W24" i="102"/>
  <c r="O25" i="94"/>
  <c r="V25" i="94"/>
  <c r="N25" i="94"/>
  <c r="G25" i="94"/>
  <c r="AN66" i="78"/>
  <c r="AE66" i="78"/>
  <c r="K66" i="78"/>
  <c r="X66" i="78"/>
  <c r="Y66" i="78" s="1"/>
  <c r="AJ66" i="78"/>
  <c r="AK66" i="78" s="1"/>
  <c r="D66" i="78"/>
  <c r="G66" i="78"/>
  <c r="AI66" i="78"/>
  <c r="AB66" i="78"/>
  <c r="V66" i="78"/>
  <c r="V26" i="94"/>
  <c r="G26" i="94"/>
  <c r="N26" i="94"/>
  <c r="H26" i="94"/>
  <c r="AB62" i="78"/>
  <c r="V62" i="78"/>
  <c r="P24" i="102"/>
  <c r="J24" i="102"/>
  <c r="AH18" i="102"/>
  <c r="AH24" i="102"/>
  <c r="G18" i="102"/>
  <c r="AE18" i="102"/>
  <c r="AB18" i="102"/>
  <c r="V18" i="102"/>
  <c r="W55" i="78"/>
  <c r="O26" i="94"/>
  <c r="K26" i="90"/>
  <c r="L55" i="78"/>
  <c r="M55" i="78" s="1"/>
  <c r="O20" i="118"/>
  <c r="J38" i="90"/>
  <c r="P38" i="90"/>
  <c r="V21" i="118"/>
  <c r="O21" i="118"/>
  <c r="AE17" i="102"/>
  <c r="D17" i="102"/>
  <c r="AB17" i="102"/>
  <c r="S17" i="102"/>
  <c r="V17" i="102"/>
  <c r="AI17" i="102"/>
  <c r="AH17" i="102"/>
  <c r="X17" i="102"/>
  <c r="Y17" i="102" s="1"/>
  <c r="G17" i="102"/>
  <c r="O27" i="101"/>
  <c r="P27" i="101" s="1"/>
  <c r="AA27" i="101"/>
  <c r="AB27" i="101" s="1"/>
  <c r="AP27" i="101"/>
  <c r="AQ27" i="101" s="1"/>
  <c r="N27" i="101"/>
  <c r="G27" i="101"/>
  <c r="AH27" i="101"/>
  <c r="AD27" i="101"/>
  <c r="AE27" i="101" s="1"/>
  <c r="V27" i="101"/>
  <c r="V37" i="118"/>
  <c r="H37" i="118"/>
  <c r="O37" i="118"/>
  <c r="L21" i="101"/>
  <c r="M21" i="101" s="1"/>
  <c r="AS21" i="101"/>
  <c r="AT21" i="101" s="1"/>
  <c r="D21" i="101"/>
  <c r="AN60" i="90"/>
  <c r="K60" i="90"/>
  <c r="S60" i="90"/>
  <c r="AE24" i="102"/>
  <c r="AM18" i="102"/>
  <c r="AN18" i="102" s="1"/>
  <c r="H34" i="96"/>
  <c r="K24" i="102"/>
  <c r="AL24" i="102"/>
  <c r="AI18" i="102"/>
  <c r="L24" i="102"/>
  <c r="M24" i="102" s="1"/>
  <c r="D24" i="102"/>
  <c r="AM24" i="102"/>
  <c r="AN24" i="102" s="1"/>
  <c r="AL18" i="102"/>
  <c r="X18" i="102"/>
  <c r="Y18" i="102" s="1"/>
  <c r="W18" i="102"/>
  <c r="K55" i="78"/>
  <c r="O16" i="118"/>
  <c r="U26" i="94"/>
  <c r="AR21" i="101"/>
  <c r="J38" i="99"/>
  <c r="N38" i="99"/>
  <c r="Y38" i="99"/>
  <c r="Z38" i="99"/>
  <c r="AO38" i="99"/>
  <c r="AC38" i="99"/>
  <c r="AP38" i="99"/>
  <c r="AQ38" i="99" s="1"/>
  <c r="K38" i="99"/>
  <c r="AS38" i="99"/>
  <c r="AT38" i="99" s="1"/>
  <c r="D38" i="99"/>
  <c r="AK38" i="99"/>
  <c r="AD38" i="99"/>
  <c r="AE38" i="99" s="1"/>
  <c r="L38" i="99"/>
  <c r="M38" i="99" s="1"/>
  <c r="S38" i="99"/>
  <c r="AR38" i="99"/>
  <c r="H38" i="96"/>
  <c r="V38" i="96"/>
  <c r="H24" i="94"/>
  <c r="V24" i="94"/>
  <c r="K58" i="90"/>
  <c r="W24" i="90"/>
  <c r="AB24" i="90"/>
  <c r="AN53" i="78"/>
  <c r="AJ53" i="78"/>
  <c r="AK53" i="78" s="1"/>
  <c r="AE53" i="78"/>
  <c r="P53" i="78"/>
  <c r="J53" i="78"/>
  <c r="W27" i="78"/>
  <c r="K27" i="78"/>
  <c r="AH27" i="78"/>
  <c r="V27" i="78"/>
  <c r="X27" i="78"/>
  <c r="Y27" i="78" s="1"/>
  <c r="J27" i="78"/>
  <c r="L27" i="78"/>
  <c r="M27" i="78" s="1"/>
  <c r="AE27" i="78"/>
  <c r="S27" i="78"/>
  <c r="AO21" i="99"/>
  <c r="V20" i="94"/>
  <c r="AR24" i="99"/>
  <c r="V59" i="78"/>
  <c r="H18" i="72"/>
  <c r="L37" i="99"/>
  <c r="M37" i="99" s="1"/>
  <c r="L28" i="99"/>
  <c r="M28" i="99" s="1"/>
  <c r="O28" i="99"/>
  <c r="P28" i="99" s="1"/>
  <c r="AI30" i="90"/>
  <c r="D22" i="89"/>
  <c r="O18" i="72"/>
  <c r="V18" i="72"/>
  <c r="AI25" i="102"/>
  <c r="S25" i="102"/>
  <c r="P25" i="102"/>
  <c r="W25" i="102"/>
  <c r="J30" i="90"/>
  <c r="Z21" i="99"/>
  <c r="G63" i="117"/>
  <c r="K20" i="78"/>
  <c r="V37" i="99"/>
  <c r="AK28" i="99"/>
  <c r="G34" i="89"/>
  <c r="G18" i="72"/>
  <c r="AH25" i="102"/>
  <c r="AE25" i="102"/>
  <c r="V25" i="102"/>
  <c r="G30" i="90"/>
  <c r="AB30" i="90"/>
  <c r="N20" i="94"/>
  <c r="AH26" i="99"/>
  <c r="AJ20" i="78"/>
  <c r="AK20" i="78" s="1"/>
  <c r="AR28" i="99"/>
  <c r="AH37" i="99"/>
  <c r="AS37" i="99"/>
  <c r="AT37" i="99" s="1"/>
  <c r="Z28" i="99"/>
  <c r="K24" i="78"/>
  <c r="D34" i="89"/>
  <c r="W30" i="90"/>
  <c r="AI21" i="90"/>
  <c r="AD26" i="99"/>
  <c r="AE26" i="99" s="1"/>
  <c r="D25" i="102"/>
  <c r="AJ24" i="78"/>
  <c r="AK24" i="78" s="1"/>
  <c r="G24" i="78"/>
  <c r="N18" i="72"/>
  <c r="AE30" i="90"/>
  <c r="AN30" i="90"/>
  <c r="V35" i="90"/>
  <c r="AH21" i="90"/>
  <c r="N21" i="99"/>
  <c r="V21" i="99"/>
  <c r="S21" i="99"/>
  <c r="Y26" i="99"/>
  <c r="S26" i="99"/>
  <c r="AO26" i="99"/>
  <c r="AP26" i="99"/>
  <c r="AQ26" i="99" s="1"/>
  <c r="G26" i="99"/>
  <c r="L26" i="99"/>
  <c r="M26" i="99" s="1"/>
  <c r="AK26" i="99"/>
  <c r="V26" i="99"/>
  <c r="AC26" i="99"/>
  <c r="AA26" i="99"/>
  <c r="AB26" i="99" s="1"/>
  <c r="H38" i="117"/>
  <c r="N38" i="117"/>
  <c r="U38" i="117"/>
  <c r="AN56" i="90"/>
  <c r="S56" i="90"/>
  <c r="G56" i="90"/>
  <c r="AB56" i="90"/>
  <c r="AH67" i="78"/>
  <c r="AJ67" i="78"/>
  <c r="AK67" i="78" s="1"/>
  <c r="W67" i="78"/>
  <c r="G67" i="78"/>
  <c r="AN67" i="78"/>
  <c r="V67" i="78"/>
  <c r="S67" i="78"/>
  <c r="AB67" i="78"/>
  <c r="V24" i="72"/>
  <c r="U24" i="72"/>
  <c r="H24" i="72"/>
  <c r="J18" i="89"/>
  <c r="G18" i="89"/>
  <c r="O41" i="72"/>
  <c r="N41" i="72"/>
  <c r="K26" i="99"/>
  <c r="G28" i="89"/>
  <c r="O30" i="72"/>
  <c r="AO37" i="99"/>
  <c r="AD37" i="99"/>
  <c r="AE37" i="99" s="1"/>
  <c r="G37" i="99"/>
  <c r="Y37" i="99"/>
  <c r="S37" i="99"/>
  <c r="AP28" i="99"/>
  <c r="AQ28" i="99" s="1"/>
  <c r="G28" i="99"/>
  <c r="K28" i="99"/>
  <c r="J28" i="99"/>
  <c r="AS21" i="99"/>
  <c r="AT21" i="99" s="1"/>
  <c r="X67" i="78"/>
  <c r="Y67" i="78" s="1"/>
  <c r="AE67" i="78"/>
  <c r="V38" i="117"/>
  <c r="O24" i="72"/>
  <c r="J26" i="99"/>
  <c r="N66" i="117"/>
  <c r="V66" i="117"/>
  <c r="O53" i="117"/>
  <c r="G53" i="117"/>
  <c r="N62" i="117"/>
  <c r="V62" i="117"/>
  <c r="AK37" i="101"/>
  <c r="AA37" i="101"/>
  <c r="AB37" i="101" s="1"/>
  <c r="V27" i="96"/>
  <c r="U27" i="96"/>
  <c r="O31" i="94"/>
  <c r="H31" i="94"/>
  <c r="N22" i="117"/>
  <c r="H22" i="117"/>
  <c r="V22" i="117"/>
  <c r="Z23" i="101"/>
  <c r="AD23" i="101"/>
  <c r="AE23" i="101" s="1"/>
  <c r="AR23" i="101"/>
  <c r="AK23" i="101"/>
  <c r="D23" i="101"/>
  <c r="AN23" i="101"/>
  <c r="AC23" i="101"/>
  <c r="AO23" i="101"/>
  <c r="N23" i="101"/>
  <c r="S23" i="101"/>
  <c r="L23" i="101"/>
  <c r="M23" i="101" s="1"/>
  <c r="AS23" i="101"/>
  <c r="AT23" i="101" s="1"/>
  <c r="AA23" i="101"/>
  <c r="AB23" i="101" s="1"/>
  <c r="K23" i="101"/>
  <c r="AP23" i="101"/>
  <c r="AQ23" i="101" s="1"/>
  <c r="AH23" i="101"/>
  <c r="O29" i="96"/>
  <c r="H29" i="96"/>
  <c r="U29" i="96"/>
  <c r="N29" i="96"/>
  <c r="O37" i="94"/>
  <c r="V37" i="94"/>
  <c r="N37" i="94"/>
  <c r="H37" i="94"/>
  <c r="AH73" i="90"/>
  <c r="J73" i="90"/>
  <c r="AE73" i="90"/>
  <c r="AB73" i="90"/>
  <c r="AE62" i="90"/>
  <c r="G62" i="90"/>
  <c r="J62" i="90"/>
  <c r="K62" i="90"/>
  <c r="V28" i="90"/>
  <c r="AE28" i="90"/>
  <c r="AB28" i="90"/>
  <c r="P28" i="90"/>
  <c r="W28" i="90"/>
  <c r="K28" i="90"/>
  <c r="W73" i="78"/>
  <c r="V73" i="78"/>
  <c r="L73" i="78"/>
  <c r="S73" i="78"/>
  <c r="K73" i="78"/>
  <c r="AN73" i="78"/>
  <c r="AI73" i="78"/>
  <c r="G73" i="78"/>
  <c r="D56" i="78"/>
  <c r="X56" i="78"/>
  <c r="Y56" i="78" s="1"/>
  <c r="P56" i="78"/>
  <c r="G56" i="78"/>
  <c r="AI56" i="78"/>
  <c r="AB56" i="78"/>
  <c r="K56" i="78"/>
  <c r="AJ56" i="78"/>
  <c r="AK56" i="78" s="1"/>
  <c r="V26" i="78"/>
  <c r="AH26" i="78"/>
  <c r="W38" i="102"/>
  <c r="J38" i="102"/>
  <c r="V22" i="101"/>
  <c r="AS22" i="101"/>
  <c r="AT22" i="101" s="1"/>
  <c r="AP22" i="101"/>
  <c r="AQ22" i="101" s="1"/>
  <c r="AN22" i="101"/>
  <c r="O22" i="101"/>
  <c r="P22" i="101" s="1"/>
  <c r="D22" i="101"/>
  <c r="G22" i="101"/>
  <c r="K22" i="101"/>
  <c r="AN71" i="90"/>
  <c r="P71" i="90"/>
  <c r="V61" i="90"/>
  <c r="G61" i="90"/>
  <c r="J61" i="90"/>
  <c r="AI61" i="90"/>
  <c r="J37" i="90"/>
  <c r="S37" i="90"/>
  <c r="AB37" i="90"/>
  <c r="P37" i="90"/>
  <c r="D37" i="90"/>
  <c r="AI74" i="78"/>
  <c r="S74" i="78"/>
  <c r="AJ74" i="78"/>
  <c r="AK74" i="78" s="1"/>
  <c r="AH74" i="78"/>
  <c r="G74" i="78"/>
  <c r="AB74" i="78"/>
  <c r="AJ28" i="78"/>
  <c r="AK28" i="78" s="1"/>
  <c r="AB28" i="78"/>
  <c r="L28" i="78"/>
  <c r="M28" i="78" s="1"/>
  <c r="S28" i="78"/>
  <c r="G28" i="78"/>
  <c r="D28" i="78"/>
  <c r="AN71" i="78"/>
  <c r="K71" i="78"/>
  <c r="P71" i="78"/>
  <c r="V33" i="72"/>
  <c r="O33" i="72"/>
  <c r="N33" i="72"/>
  <c r="J67" i="90"/>
  <c r="S67" i="90"/>
  <c r="AB67" i="90"/>
  <c r="V67" i="90"/>
  <c r="G67" i="90"/>
  <c r="P67" i="90"/>
  <c r="W67" i="90"/>
  <c r="P57" i="90"/>
  <c r="D57" i="90"/>
  <c r="J57" i="90"/>
  <c r="G27" i="90"/>
  <c r="D27" i="90"/>
  <c r="AB27" i="90"/>
  <c r="W27" i="90"/>
  <c r="P27" i="90"/>
  <c r="G29" i="78"/>
  <c r="V29" i="78"/>
  <c r="P60" i="78"/>
  <c r="AB60" i="78"/>
  <c r="AJ34" i="78"/>
  <c r="AK34" i="78" s="1"/>
  <c r="S34" i="78"/>
  <c r="AH34" i="78"/>
  <c r="U63" i="117"/>
  <c r="AO24" i="99"/>
  <c r="L21" i="99"/>
  <c r="M21" i="99" s="1"/>
  <c r="AP21" i="99"/>
  <c r="AQ21" i="99" s="1"/>
  <c r="K21" i="99"/>
  <c r="H63" i="117"/>
  <c r="AH21" i="99"/>
  <c r="N24" i="99"/>
  <c r="AC24" i="99"/>
  <c r="K24" i="99"/>
  <c r="AK24" i="99"/>
  <c r="U41" i="72"/>
  <c r="AK21" i="99"/>
  <c r="J21" i="99"/>
  <c r="AC21" i="99"/>
  <c r="H36" i="72"/>
  <c r="H30" i="72"/>
  <c r="O63" i="117"/>
  <c r="AN26" i="99"/>
  <c r="O26" i="99"/>
  <c r="P26" i="99" s="1"/>
  <c r="J28" i="108"/>
  <c r="AA37" i="99"/>
  <c r="AB37" i="99" s="1"/>
  <c r="AR37" i="99"/>
  <c r="O37" i="99"/>
  <c r="P37" i="99" s="1"/>
  <c r="Z37" i="99"/>
  <c r="K37" i="99"/>
  <c r="Y28" i="99"/>
  <c r="AO28" i="99"/>
  <c r="AA28" i="99"/>
  <c r="AB28" i="99" s="1"/>
  <c r="AD28" i="99"/>
  <c r="AE28" i="99" s="1"/>
  <c r="AN28" i="99"/>
  <c r="X23" i="102"/>
  <c r="Y23" i="102" s="1"/>
  <c r="AE23" i="102"/>
  <c r="AH28" i="102"/>
  <c r="D21" i="99"/>
  <c r="G30" i="109"/>
  <c r="D29" i="101"/>
  <c r="D67" i="78"/>
  <c r="X73" i="78"/>
  <c r="Y73" i="78" s="1"/>
  <c r="J56" i="78"/>
  <c r="W62" i="90"/>
  <c r="J67" i="78"/>
  <c r="O38" i="117"/>
  <c r="AI56" i="90"/>
  <c r="H41" i="72"/>
  <c r="G22" i="117"/>
  <c r="S22" i="101"/>
  <c r="Z24" i="99"/>
  <c r="AI73" i="90"/>
  <c r="D26" i="99"/>
  <c r="P73" i="78"/>
  <c r="W56" i="78"/>
  <c r="V23" i="101"/>
  <c r="P28" i="78"/>
  <c r="D67" i="90"/>
  <c r="AB57" i="90"/>
  <c r="V24" i="99"/>
  <c r="S24" i="99"/>
  <c r="AD21" i="99"/>
  <c r="AE21" i="99" s="1"/>
  <c r="G20" i="94"/>
  <c r="O24" i="99"/>
  <c r="P24" i="99" s="1"/>
  <c r="G30" i="72"/>
  <c r="U20" i="94"/>
  <c r="D24" i="99"/>
  <c r="AD24" i="99"/>
  <c r="AE24" i="99" s="1"/>
  <c r="AN24" i="99"/>
  <c r="G21" i="99"/>
  <c r="AN21" i="99"/>
  <c r="O21" i="99"/>
  <c r="P21" i="99" s="1"/>
  <c r="V41" i="72"/>
  <c r="V30" i="72"/>
  <c r="AR26" i="99"/>
  <c r="AP24" i="99"/>
  <c r="AQ24" i="99" s="1"/>
  <c r="G24" i="99"/>
  <c r="S28" i="99"/>
  <c r="U30" i="72"/>
  <c r="D37" i="99"/>
  <c r="AN37" i="99"/>
  <c r="J37" i="99"/>
  <c r="N37" i="99"/>
  <c r="V28" i="99"/>
  <c r="AC28" i="99"/>
  <c r="D28" i="99"/>
  <c r="AS28" i="99"/>
  <c r="AT28" i="99" s="1"/>
  <c r="S23" i="102"/>
  <c r="AL23" i="102"/>
  <c r="L28" i="102"/>
  <c r="M28" i="102" s="1"/>
  <c r="D27" i="107"/>
  <c r="AH36" i="102"/>
  <c r="AK29" i="101"/>
  <c r="O24" i="96"/>
  <c r="K67" i="78"/>
  <c r="K56" i="90"/>
  <c r="M73" i="78"/>
  <c r="V56" i="78"/>
  <c r="L67" i="78"/>
  <c r="M67" i="78" s="1"/>
  <c r="G38" i="117"/>
  <c r="O22" i="117"/>
  <c r="V101" i="117"/>
  <c r="AD22" i="101"/>
  <c r="AE22" i="101" s="1"/>
  <c r="D18" i="89"/>
  <c r="AN74" i="78"/>
  <c r="AE73" i="78"/>
  <c r="O23" i="101"/>
  <c r="P23" i="101" s="1"/>
  <c r="J74" i="78"/>
  <c r="W28" i="78"/>
  <c r="D28" i="90"/>
  <c r="D74" i="90"/>
  <c r="AH74" i="90"/>
  <c r="J74" i="90"/>
  <c r="P74" i="90"/>
  <c r="AB74" i="90"/>
  <c r="AN55" i="90"/>
  <c r="P55" i="90"/>
  <c r="P25" i="90"/>
  <c r="D25" i="90"/>
  <c r="AN72" i="90"/>
  <c r="AB72" i="90"/>
  <c r="P72" i="90"/>
  <c r="K53" i="90"/>
  <c r="S53" i="90"/>
  <c r="V53" i="90"/>
  <c r="AE53" i="90"/>
  <c r="J23" i="90"/>
  <c r="S23" i="90"/>
  <c r="AN23" i="90"/>
  <c r="V23" i="90"/>
  <c r="AE23" i="90"/>
  <c r="AH70" i="90"/>
  <c r="J70" i="90"/>
  <c r="S70" i="90"/>
  <c r="D70" i="90"/>
  <c r="V70" i="90"/>
  <c r="AE70" i="90"/>
  <c r="AN78" i="90"/>
  <c r="AH78" i="90"/>
  <c r="V78" i="90"/>
  <c r="J78" i="90"/>
  <c r="AE78" i="90"/>
  <c r="S78" i="90"/>
  <c r="G78" i="90"/>
  <c r="AB78" i="90"/>
  <c r="P78" i="90"/>
  <c r="D78" i="90"/>
  <c r="P68" i="90"/>
  <c r="V68" i="90"/>
  <c r="G68" i="90"/>
  <c r="J68" i="90"/>
  <c r="AH40" i="90"/>
  <c r="AB40" i="90"/>
  <c r="V40" i="90"/>
  <c r="S40" i="90"/>
  <c r="AH69" i="90"/>
  <c r="AB69" i="90"/>
  <c r="P69" i="90"/>
  <c r="D69" i="90"/>
  <c r="AN69" i="90"/>
  <c r="G69" i="90"/>
  <c r="P20" i="90"/>
  <c r="P70" i="90"/>
  <c r="S38" i="90"/>
  <c r="J72" i="90"/>
  <c r="P19" i="90"/>
  <c r="AE66" i="90"/>
  <c r="G63" i="90"/>
  <c r="J25" i="90"/>
  <c r="AH55" i="90"/>
  <c r="S66" i="90"/>
  <c r="AB66" i="90"/>
  <c r="P66" i="90"/>
  <c r="D66" i="90"/>
  <c r="AH35" i="90"/>
  <c r="S35" i="90"/>
  <c r="AB35" i="90"/>
  <c r="D35" i="90"/>
  <c r="AJ22" i="90"/>
  <c r="D22" i="90"/>
  <c r="J75" i="90"/>
  <c r="AE75" i="90"/>
  <c r="D75" i="90"/>
  <c r="AH65" i="90"/>
  <c r="J65" i="90"/>
  <c r="AB65" i="90"/>
  <c r="P65" i="90"/>
  <c r="D65" i="90"/>
  <c r="AN31" i="90"/>
  <c r="V31" i="90"/>
  <c r="G31" i="90"/>
  <c r="AB31" i="90"/>
  <c r="AH34" i="90"/>
  <c r="AN34" i="90"/>
  <c r="D34" i="90"/>
  <c r="AN41" i="90"/>
  <c r="J41" i="90"/>
  <c r="AE41" i="90"/>
  <c r="S41" i="90"/>
  <c r="G41" i="90"/>
  <c r="D41" i="90"/>
  <c r="D63" i="90"/>
  <c r="AH63" i="90"/>
  <c r="AB63" i="90"/>
  <c r="AH29" i="90"/>
  <c r="J29" i="90"/>
  <c r="S29" i="90"/>
  <c r="D72" i="90"/>
  <c r="AE68" i="90"/>
  <c r="P35" i="90"/>
  <c r="AB22" i="90"/>
  <c r="S68" i="90"/>
  <c r="G35" i="90"/>
  <c r="AN65" i="90"/>
  <c r="AI60" i="90"/>
  <c r="AI26" i="90"/>
  <c r="AH26" i="90"/>
  <c r="V26" i="90"/>
  <c r="AE26" i="90"/>
  <c r="AN58" i="90"/>
  <c r="AH24" i="90"/>
  <c r="G24" i="90"/>
  <c r="AI38" i="90"/>
  <c r="AH38" i="90"/>
  <c r="AH20" i="90"/>
  <c r="J20" i="90"/>
  <c r="S20" i="90"/>
  <c r="AB20" i="90"/>
  <c r="J54" i="90"/>
  <c r="D54" i="90"/>
  <c r="V54" i="90"/>
  <c r="W32" i="90"/>
  <c r="AN32" i="90"/>
  <c r="V32" i="90"/>
  <c r="AE32" i="90"/>
  <c r="P32" i="90"/>
  <c r="AH32" i="90"/>
  <c r="J32" i="90"/>
  <c r="S32" i="90"/>
  <c r="AB32" i="90"/>
  <c r="AB60" i="90"/>
  <c r="D31" i="90"/>
  <c r="P58" i="90"/>
  <c r="AB68" i="90"/>
  <c r="V60" i="90"/>
  <c r="P31" i="90"/>
  <c r="G65" i="90"/>
  <c r="AE20" i="90"/>
  <c r="P63" i="90"/>
  <c r="AB55" i="90"/>
  <c r="J55" i="90"/>
  <c r="AN39" i="90"/>
  <c r="AH39" i="90"/>
  <c r="AE39" i="90"/>
  <c r="AB39" i="90"/>
  <c r="P39" i="90"/>
  <c r="H29" i="118"/>
  <c r="O29" i="118"/>
  <c r="V29" i="118"/>
  <c r="J30" i="112"/>
  <c r="G30" i="112"/>
  <c r="G22" i="109"/>
  <c r="J22" i="109"/>
  <c r="G36" i="108"/>
  <c r="D36" i="108"/>
  <c r="D18" i="114"/>
  <c r="G18" i="114"/>
  <c r="V59" i="117"/>
  <c r="U59" i="117"/>
  <c r="G59" i="117"/>
  <c r="O59" i="117"/>
  <c r="N89" i="117"/>
  <c r="O89" i="117"/>
  <c r="U89" i="117"/>
  <c r="G89" i="117"/>
  <c r="AR36" i="101"/>
  <c r="AC36" i="101"/>
  <c r="N36" i="101"/>
  <c r="AK36" i="101"/>
  <c r="K36" i="101"/>
  <c r="J36" i="101"/>
  <c r="AH36" i="101"/>
  <c r="V36" i="101"/>
  <c r="O22" i="94"/>
  <c r="N22" i="94"/>
  <c r="H22" i="94"/>
  <c r="D38" i="89"/>
  <c r="G38" i="89"/>
  <c r="G30" i="101"/>
  <c r="Y30" i="101"/>
  <c r="K30" i="101"/>
  <c r="AK30" i="101"/>
  <c r="D30" i="101"/>
  <c r="AN30" i="101"/>
  <c r="V36" i="94"/>
  <c r="U36" i="94"/>
  <c r="O36" i="94"/>
  <c r="AI66" i="90"/>
  <c r="W66" i="90"/>
  <c r="AN66" i="90"/>
  <c r="O27" i="99"/>
  <c r="P27" i="99" s="1"/>
  <c r="L27" i="99"/>
  <c r="M27" i="99" s="1"/>
  <c r="AK27" i="99"/>
  <c r="AO27" i="99"/>
  <c r="Z27" i="99"/>
  <c r="K27" i="99"/>
  <c r="V27" i="99"/>
  <c r="AA27" i="99"/>
  <c r="AB27" i="99" s="1"/>
  <c r="AH27" i="99"/>
  <c r="AS27" i="99"/>
  <c r="AT27" i="99" s="1"/>
  <c r="D27" i="99"/>
  <c r="AC27" i="99"/>
  <c r="S25" i="101"/>
  <c r="G25" i="101"/>
  <c r="AN25" i="101"/>
  <c r="AR25" i="101"/>
  <c r="AS25" i="101"/>
  <c r="AT25" i="101" s="1"/>
  <c r="L25" i="101"/>
  <c r="M25" i="101" s="1"/>
  <c r="AC25" i="101"/>
  <c r="Z25" i="101"/>
  <c r="K25" i="101"/>
  <c r="AO25" i="101"/>
  <c r="K63" i="90"/>
  <c r="O36" i="118"/>
  <c r="V36" i="118"/>
  <c r="H36" i="118"/>
  <c r="AR25" i="99"/>
  <c r="AD25" i="99"/>
  <c r="AE25" i="99" s="1"/>
  <c r="U30" i="96"/>
  <c r="V30" i="96"/>
  <c r="H30" i="96"/>
  <c r="O30" i="96"/>
  <c r="G17" i="72"/>
  <c r="U17" i="72"/>
  <c r="V86" i="117"/>
  <c r="G86" i="117"/>
  <c r="N86" i="117"/>
  <c r="O35" i="99"/>
  <c r="P35" i="99" s="1"/>
  <c r="AA35" i="99"/>
  <c r="AB35" i="99" s="1"/>
  <c r="AR35" i="99"/>
  <c r="K35" i="99"/>
  <c r="Y35" i="99"/>
  <c r="AS35" i="99"/>
  <c r="AT35" i="99" s="1"/>
  <c r="S35" i="99"/>
  <c r="J35" i="99"/>
  <c r="N35" i="99"/>
  <c r="U100" i="117"/>
  <c r="N100" i="117"/>
  <c r="AC20" i="99"/>
  <c r="D20" i="99"/>
  <c r="L20" i="99"/>
  <c r="M20" i="99" s="1"/>
  <c r="AK20" i="99"/>
  <c r="AH20" i="99"/>
  <c r="AP20" i="99"/>
  <c r="AQ20" i="99" s="1"/>
  <c r="G20" i="99"/>
  <c r="AR20" i="99"/>
  <c r="N25" i="72"/>
  <c r="H25" i="72"/>
  <c r="O17" i="118"/>
  <c r="V17" i="118"/>
  <c r="J24" i="110"/>
  <c r="G24" i="110"/>
  <c r="G20" i="108"/>
  <c r="D20" i="108"/>
  <c r="J34" i="114"/>
  <c r="D34" i="114"/>
  <c r="G34" i="114"/>
  <c r="N103" i="117"/>
  <c r="V103" i="117"/>
  <c r="H103" i="117"/>
  <c r="G103" i="117"/>
  <c r="O103" i="117"/>
  <c r="O36" i="117"/>
  <c r="V36" i="117"/>
  <c r="G32" i="117"/>
  <c r="N32" i="117"/>
  <c r="O32" i="117"/>
  <c r="D26" i="101"/>
  <c r="AN26" i="101"/>
  <c r="J26" i="101"/>
  <c r="G26" i="101"/>
  <c r="Z26" i="101"/>
  <c r="L26" i="101"/>
  <c r="M26" i="101" s="1"/>
  <c r="AD26" i="101"/>
  <c r="AE26" i="101" s="1"/>
  <c r="Y26" i="101"/>
  <c r="AK26" i="101"/>
  <c r="V26" i="101"/>
  <c r="D20" i="101"/>
  <c r="J20" i="101"/>
  <c r="AD20" i="101"/>
  <c r="AE20" i="101" s="1"/>
  <c r="N20" i="101"/>
  <c r="K20" i="101"/>
  <c r="V20" i="101"/>
  <c r="AC20" i="101"/>
  <c r="O17" i="96"/>
  <c r="U17" i="96"/>
  <c r="U56" i="117"/>
  <c r="H56" i="117"/>
  <c r="H31" i="96"/>
  <c r="V31" i="96"/>
  <c r="V23" i="94"/>
  <c r="N23" i="94"/>
  <c r="H23" i="94"/>
  <c r="W35" i="90"/>
  <c r="AI35" i="90"/>
  <c r="AI22" i="90"/>
  <c r="AH22" i="90"/>
  <c r="K22" i="90"/>
  <c r="W22" i="90"/>
  <c r="V17" i="101"/>
  <c r="AA17" i="101"/>
  <c r="AB17" i="101" s="1"/>
  <c r="AH17" i="101"/>
  <c r="AC17" i="101"/>
  <c r="Z17" i="101"/>
  <c r="AO17" i="101"/>
  <c r="O17" i="101"/>
  <c r="P17" i="101" s="1"/>
  <c r="AP17" i="101"/>
  <c r="AQ17" i="101" s="1"/>
  <c r="AD17" i="101"/>
  <c r="AE17" i="101" s="1"/>
  <c r="L17" i="101"/>
  <c r="M17" i="101" s="1"/>
  <c r="Y23" i="99"/>
  <c r="O23" i="99"/>
  <c r="P23" i="99" s="1"/>
  <c r="V23" i="99"/>
  <c r="AH23" i="99"/>
  <c r="J23" i="99"/>
  <c r="AK23" i="99"/>
  <c r="S23" i="99"/>
  <c r="AC23" i="99"/>
  <c r="D23" i="99"/>
  <c r="AA23" i="99"/>
  <c r="AB23" i="99" s="1"/>
  <c r="N23" i="99"/>
  <c r="G23" i="99"/>
  <c r="G34" i="94"/>
  <c r="N34" i="94"/>
  <c r="O38" i="94"/>
  <c r="V38" i="94"/>
  <c r="W29" i="90"/>
  <c r="AD18" i="99"/>
  <c r="AE18" i="99" s="1"/>
  <c r="L18" i="99"/>
  <c r="M18" i="99" s="1"/>
  <c r="AS18" i="99"/>
  <c r="AT18" i="99" s="1"/>
  <c r="J18" i="99"/>
  <c r="AC18" i="99"/>
  <c r="V56" i="117"/>
  <c r="AD35" i="99"/>
  <c r="AE35" i="99" s="1"/>
  <c r="G23" i="113"/>
  <c r="G104" i="117"/>
  <c r="V51" i="117"/>
  <c r="G27" i="117"/>
  <c r="D18" i="101"/>
  <c r="L18" i="101"/>
  <c r="M18" i="101" s="1"/>
  <c r="H28" i="118"/>
  <c r="AC25" i="99"/>
  <c r="J25" i="99"/>
  <c r="Z25" i="99"/>
  <c r="AI75" i="90"/>
  <c r="K34" i="90"/>
  <c r="H38" i="72"/>
  <c r="N36" i="94"/>
  <c r="U18" i="96"/>
  <c r="U38" i="94"/>
  <c r="G23" i="94"/>
  <c r="K66" i="90"/>
  <c r="AR27" i="99"/>
  <c r="AO23" i="99"/>
  <c r="H86" i="117"/>
  <c r="H36" i="117"/>
  <c r="S26" i="101"/>
  <c r="AP25" i="101"/>
  <c r="AQ25" i="101" s="1"/>
  <c r="D17" i="101"/>
  <c r="AN20" i="99"/>
  <c r="H89" i="117"/>
  <c r="U103" i="117"/>
  <c r="J36" i="108"/>
  <c r="U38" i="72"/>
  <c r="AP18" i="99"/>
  <c r="AQ18" i="99" s="1"/>
  <c r="V22" i="94"/>
  <c r="H90" i="117"/>
  <c r="S17" i="101"/>
  <c r="S20" i="99"/>
  <c r="V35" i="99"/>
  <c r="AH35" i="99"/>
  <c r="V25" i="118"/>
  <c r="O25" i="118"/>
  <c r="O31" i="118"/>
  <c r="V31" i="118"/>
  <c r="U21" i="117"/>
  <c r="O21" i="117"/>
  <c r="U36" i="117"/>
  <c r="G21" i="117"/>
  <c r="D23" i="113"/>
  <c r="O104" i="117"/>
  <c r="G51" i="117"/>
  <c r="U51" i="117"/>
  <c r="O27" i="117"/>
  <c r="G31" i="96"/>
  <c r="U34" i="94"/>
  <c r="O23" i="94"/>
  <c r="N27" i="99"/>
  <c r="AN23" i="99"/>
  <c r="H59" i="117"/>
  <c r="AA26" i="101"/>
  <c r="AB26" i="101" s="1"/>
  <c r="Y17" i="101"/>
  <c r="O20" i="99"/>
  <c r="P20" i="99" s="1"/>
  <c r="V37" i="117"/>
  <c r="N31" i="96"/>
  <c r="N25" i="101"/>
  <c r="U22" i="96"/>
  <c r="AC30" i="101"/>
  <c r="G36" i="94"/>
  <c r="N56" i="117"/>
  <c r="H21" i="117"/>
  <c r="H32" i="117"/>
  <c r="AN36" i="101"/>
  <c r="D24" i="110"/>
  <c r="O30" i="101"/>
  <c r="P30" i="101" s="1"/>
  <c r="AP36" i="101"/>
  <c r="AQ36" i="101" s="1"/>
  <c r="G41" i="113"/>
  <c r="D41" i="113"/>
  <c r="U55" i="117"/>
  <c r="V55" i="117"/>
  <c r="H99" i="117"/>
  <c r="O99" i="117"/>
  <c r="V99" i="117"/>
  <c r="U99" i="117"/>
  <c r="U90" i="117"/>
  <c r="G90" i="117"/>
  <c r="V90" i="117"/>
  <c r="G37" i="117"/>
  <c r="O37" i="117"/>
  <c r="J16" i="107"/>
  <c r="G16" i="107"/>
  <c r="D41" i="107"/>
  <c r="G41" i="107"/>
  <c r="J41" i="107"/>
  <c r="AS26" i="101"/>
  <c r="AT26" i="101" s="1"/>
  <c r="AO26" i="101"/>
  <c r="O26" i="101"/>
  <c r="P26" i="101" s="1"/>
  <c r="AH26" i="101"/>
  <c r="D36" i="101"/>
  <c r="AD36" i="101"/>
  <c r="AE36" i="101" s="1"/>
  <c r="AO36" i="101"/>
  <c r="AA36" i="101"/>
  <c r="AB36" i="101" s="1"/>
  <c r="Z36" i="101"/>
  <c r="AS36" i="101"/>
  <c r="AT36" i="101" s="1"/>
  <c r="Y36" i="101"/>
  <c r="O36" i="101"/>
  <c r="P36" i="101" s="1"/>
  <c r="L20" i="101"/>
  <c r="M20" i="101" s="1"/>
  <c r="Y20" i="101"/>
  <c r="AH20" i="101"/>
  <c r="G20" i="101"/>
  <c r="AO20" i="101"/>
  <c r="AS20" i="101"/>
  <c r="AT20" i="101" s="1"/>
  <c r="Z20" i="101"/>
  <c r="AN20" i="101"/>
  <c r="AK20" i="101"/>
  <c r="O20" i="101"/>
  <c r="P20" i="101" s="1"/>
  <c r="AR20" i="101"/>
  <c r="G39" i="96"/>
  <c r="H39" i="96"/>
  <c r="V39" i="96"/>
  <c r="V17" i="96"/>
  <c r="G17" i="96"/>
  <c r="H17" i="96"/>
  <c r="N17" i="96"/>
  <c r="J19" i="89"/>
  <c r="G19" i="89"/>
  <c r="AR30" i="101"/>
  <c r="AH30" i="101"/>
  <c r="AO30" i="101"/>
  <c r="V30" i="101"/>
  <c r="AS30" i="101"/>
  <c r="AT30" i="101" s="1"/>
  <c r="AA30" i="101"/>
  <c r="AB30" i="101" s="1"/>
  <c r="S30" i="101"/>
  <c r="Z30" i="101"/>
  <c r="J30" i="101"/>
  <c r="AP30" i="101"/>
  <c r="AQ30" i="101" s="1"/>
  <c r="AS23" i="99"/>
  <c r="AT23" i="99" s="1"/>
  <c r="AD23" i="99"/>
  <c r="AE23" i="99" s="1"/>
  <c r="AP23" i="99"/>
  <c r="AQ23" i="99" s="1"/>
  <c r="V22" i="72"/>
  <c r="H22" i="72"/>
  <c r="AK25" i="101"/>
  <c r="Y25" i="101"/>
  <c r="AD25" i="101"/>
  <c r="AE25" i="101" s="1"/>
  <c r="J25" i="101"/>
  <c r="D25" i="101"/>
  <c r="V25" i="101"/>
  <c r="AI41" i="90"/>
  <c r="AI63" i="90"/>
  <c r="S18" i="99"/>
  <c r="N18" i="99"/>
  <c r="AH18" i="99"/>
  <c r="Y18" i="99"/>
  <c r="AA18" i="99"/>
  <c r="AB18" i="99" s="1"/>
  <c r="O18" i="99"/>
  <c r="P18" i="99" s="1"/>
  <c r="AN18" i="99"/>
  <c r="V18" i="99"/>
  <c r="AO18" i="99"/>
  <c r="Z18" i="99"/>
  <c r="G18" i="99"/>
  <c r="AP35" i="99"/>
  <c r="AQ35" i="99" s="1"/>
  <c r="AO35" i="99"/>
  <c r="D35" i="99"/>
  <c r="L35" i="99"/>
  <c r="M35" i="99" s="1"/>
  <c r="Z35" i="99"/>
  <c r="AC35" i="99"/>
  <c r="G35" i="99"/>
  <c r="V20" i="99"/>
  <c r="N20" i="99"/>
  <c r="J20" i="99"/>
  <c r="AA20" i="99"/>
  <c r="AB20" i="99" s="1"/>
  <c r="K20" i="99"/>
  <c r="AD20" i="99"/>
  <c r="AE20" i="99" s="1"/>
  <c r="O22" i="96"/>
  <c r="H22" i="96"/>
  <c r="V25" i="72"/>
  <c r="U25" i="72"/>
  <c r="G25" i="72"/>
  <c r="J18" i="114"/>
  <c r="D30" i="114"/>
  <c r="G30" i="114"/>
  <c r="H17" i="118"/>
  <c r="U32" i="117"/>
  <c r="AP26" i="101"/>
  <c r="AQ26" i="101" s="1"/>
  <c r="N26" i="101"/>
  <c r="AC26" i="101"/>
  <c r="AN35" i="90"/>
  <c r="V89" i="117"/>
  <c r="V32" i="117"/>
  <c r="S36" i="101"/>
  <c r="L36" i="101"/>
  <c r="M36" i="101" s="1"/>
  <c r="D30" i="112"/>
  <c r="D22" i="109"/>
  <c r="J20" i="108"/>
  <c r="U22" i="94"/>
  <c r="K41" i="90"/>
  <c r="O22" i="72"/>
  <c r="K18" i="99"/>
  <c r="AK18" i="99"/>
  <c r="AR18" i="99"/>
  <c r="N37" i="117"/>
  <c r="N30" i="101"/>
  <c r="AA20" i="101"/>
  <c r="AB20" i="101" s="1"/>
  <c r="AR26" i="101"/>
  <c r="AA25" i="101"/>
  <c r="AB25" i="101" s="1"/>
  <c r="J38" i="89"/>
  <c r="N39" i="96"/>
  <c r="U37" i="117"/>
  <c r="O90" i="117"/>
  <c r="G99" i="117"/>
  <c r="N55" i="117"/>
  <c r="G36" i="101"/>
  <c r="K26" i="101"/>
  <c r="AN35" i="99"/>
  <c r="O39" i="96"/>
  <c r="Z20" i="99"/>
  <c r="AO20" i="99"/>
  <c r="H20" i="118"/>
  <c r="S33" i="102"/>
  <c r="AI33" i="102"/>
  <c r="K33" i="102"/>
  <c r="AS33" i="101"/>
  <c r="AT33" i="101" s="1"/>
  <c r="L33" i="101"/>
  <c r="M33" i="101" s="1"/>
  <c r="AH33" i="101"/>
  <c r="G94" i="117"/>
  <c r="U87" i="117"/>
  <c r="G68" i="117"/>
  <c r="O26" i="117"/>
  <c r="U26" i="117"/>
  <c r="K21" i="101"/>
  <c r="Z21" i="101"/>
  <c r="N21" i="101"/>
  <c r="S27" i="101"/>
  <c r="J27" i="101"/>
  <c r="D18" i="112"/>
  <c r="L62" i="78"/>
  <c r="M62" i="78" s="1"/>
  <c r="V20" i="78"/>
  <c r="AH20" i="78"/>
  <c r="AA36" i="99"/>
  <c r="AB36" i="99" s="1"/>
  <c r="W20" i="78"/>
  <c r="S20" i="78"/>
  <c r="Y34" i="99"/>
  <c r="J24" i="108"/>
  <c r="G24" i="108"/>
  <c r="G38" i="114"/>
  <c r="D38" i="114"/>
  <c r="AM30" i="102"/>
  <c r="AN30" i="102" s="1"/>
  <c r="AL30" i="102"/>
  <c r="G30" i="102"/>
  <c r="AB30" i="102"/>
  <c r="J30" i="102"/>
  <c r="K30" i="102"/>
  <c r="X30" i="102"/>
  <c r="Y30" i="102" s="1"/>
  <c r="S30" i="102"/>
  <c r="D33" i="101"/>
  <c r="O33" i="101"/>
  <c r="P33" i="101" s="1"/>
  <c r="AD31" i="101"/>
  <c r="AE31" i="101" s="1"/>
  <c r="D31" i="101"/>
  <c r="AK31" i="101"/>
  <c r="O33" i="96"/>
  <c r="U33" i="96"/>
  <c r="AN62" i="78"/>
  <c r="AJ62" i="78"/>
  <c r="AK62" i="78" s="1"/>
  <c r="J62" i="78"/>
  <c r="G62" i="78"/>
  <c r="AE62" i="78"/>
  <c r="D62" i="78"/>
  <c r="K62" i="78"/>
  <c r="W62" i="78"/>
  <c r="AN72" i="78"/>
  <c r="W72" i="78"/>
  <c r="L72" i="78"/>
  <c r="M72" i="78" s="1"/>
  <c r="J72" i="78"/>
  <c r="AE72" i="78"/>
  <c r="AN55" i="78"/>
  <c r="V55" i="78"/>
  <c r="AB55" i="78"/>
  <c r="J35" i="101"/>
  <c r="AP35" i="101"/>
  <c r="AQ35" i="101" s="1"/>
  <c r="AR35" i="101"/>
  <c r="AS39" i="99"/>
  <c r="AT39" i="99" s="1"/>
  <c r="AO39" i="99"/>
  <c r="V39" i="99"/>
  <c r="O39" i="99"/>
  <c r="P39" i="99" s="1"/>
  <c r="AA39" i="99"/>
  <c r="AB39" i="99" s="1"/>
  <c r="J39" i="99"/>
  <c r="N39" i="99"/>
  <c r="L39" i="99"/>
  <c r="M39" i="99" s="1"/>
  <c r="N36" i="96"/>
  <c r="H36" i="96"/>
  <c r="K63" i="78"/>
  <c r="G63" i="78"/>
  <c r="AE63" i="78"/>
  <c r="X63" i="78"/>
  <c r="Y63" i="78" s="1"/>
  <c r="P63" i="78"/>
  <c r="AB63" i="78"/>
  <c r="V63" i="78"/>
  <c r="V53" i="78"/>
  <c r="AH53" i="78"/>
  <c r="V34" i="72"/>
  <c r="N34" i="72"/>
  <c r="AI20" i="90"/>
  <c r="W54" i="90"/>
  <c r="AI54" i="90"/>
  <c r="P54" i="90"/>
  <c r="K54" i="90"/>
  <c r="AI32" i="90"/>
  <c r="K32" i="90"/>
  <c r="AI20" i="78"/>
  <c r="J20" i="78"/>
  <c r="X20" i="78"/>
  <c r="Y20" i="78" s="1"/>
  <c r="D20" i="78"/>
  <c r="AB20" i="78"/>
  <c r="M20" i="78"/>
  <c r="AE20" i="78"/>
  <c r="P20" i="78"/>
  <c r="AN20" i="78"/>
  <c r="P59" i="78"/>
  <c r="D59" i="78"/>
  <c r="X59" i="78"/>
  <c r="Y59" i="78" s="1"/>
  <c r="J59" i="78"/>
  <c r="AN59" i="78"/>
  <c r="AB59" i="78"/>
  <c r="AE59" i="78"/>
  <c r="G59" i="78"/>
  <c r="K59" i="78"/>
  <c r="S59" i="78"/>
  <c r="N32" i="94"/>
  <c r="V32" i="94"/>
  <c r="AK19" i="101"/>
  <c r="AA19" i="101"/>
  <c r="AB19" i="101" s="1"/>
  <c r="D19" i="101"/>
  <c r="AP19" i="101"/>
  <c r="AQ19" i="101" s="1"/>
  <c r="Z19" i="101"/>
  <c r="J19" i="101"/>
  <c r="O19" i="101"/>
  <c r="P19" i="101" s="1"/>
  <c r="G19" i="101"/>
  <c r="V36" i="99"/>
  <c r="D36" i="99"/>
  <c r="S36" i="99"/>
  <c r="J36" i="99"/>
  <c r="AK36" i="99"/>
  <c r="L36" i="99"/>
  <c r="M36" i="99" s="1"/>
  <c r="AP36" i="99"/>
  <c r="AQ36" i="99" s="1"/>
  <c r="Y36" i="99"/>
  <c r="AD36" i="99"/>
  <c r="AE36" i="99" s="1"/>
  <c r="AH36" i="99"/>
  <c r="AO36" i="99"/>
  <c r="K36" i="99"/>
  <c r="AN36" i="99"/>
  <c r="AR36" i="99"/>
  <c r="N20" i="96"/>
  <c r="G20" i="96"/>
  <c r="H20" i="96"/>
  <c r="V35" i="72"/>
  <c r="G35" i="72"/>
  <c r="H35" i="72"/>
  <c r="U35" i="72"/>
  <c r="U16" i="72"/>
  <c r="N16" i="72"/>
  <c r="AN19" i="99"/>
  <c r="AD19" i="99"/>
  <c r="AE19" i="99" s="1"/>
  <c r="Y19" i="99"/>
  <c r="L17" i="99"/>
  <c r="M17" i="99" s="1"/>
  <c r="Y17" i="99"/>
  <c r="AK17" i="99"/>
  <c r="J17" i="99"/>
  <c r="AS17" i="99"/>
  <c r="AT17" i="99" s="1"/>
  <c r="AN17" i="99"/>
  <c r="AC17" i="99"/>
  <c r="V17" i="99"/>
  <c r="Z17" i="99"/>
  <c r="O34" i="99"/>
  <c r="P34" i="99" s="1"/>
  <c r="K34" i="99"/>
  <c r="V34" i="99"/>
  <c r="AH34" i="99"/>
  <c r="AN34" i="99"/>
  <c r="AR34" i="99"/>
  <c r="AC34" i="99"/>
  <c r="S34" i="99"/>
  <c r="AP34" i="99"/>
  <c r="AQ34" i="99" s="1"/>
  <c r="G34" i="99"/>
  <c r="J34" i="99"/>
  <c r="AS34" i="99"/>
  <c r="AT34" i="99" s="1"/>
  <c r="Z34" i="99"/>
  <c r="AD34" i="99"/>
  <c r="AE34" i="99" s="1"/>
  <c r="O29" i="72"/>
  <c r="V29" i="72"/>
  <c r="H29" i="72"/>
  <c r="N29" i="72"/>
  <c r="U29" i="72"/>
  <c r="G29" i="72"/>
  <c r="H94" i="117"/>
  <c r="U94" i="117"/>
  <c r="O87" i="117"/>
  <c r="V87" i="117"/>
  <c r="V68" i="117"/>
  <c r="N68" i="117"/>
  <c r="G26" i="117"/>
  <c r="G25" i="107"/>
  <c r="G21" i="101"/>
  <c r="S21" i="101"/>
  <c r="G34" i="112"/>
  <c r="J30" i="114"/>
  <c r="J28" i="110"/>
  <c r="G26" i="109"/>
  <c r="O35" i="94"/>
  <c r="AC36" i="99"/>
  <c r="AD39" i="99"/>
  <c r="AE39" i="99" s="1"/>
  <c r="AH30" i="102"/>
  <c r="O32" i="94"/>
  <c r="H57" i="117"/>
  <c r="AO19" i="101"/>
  <c r="AK35" i="101"/>
  <c r="V31" i="101"/>
  <c r="O57" i="117"/>
  <c r="AI58" i="90"/>
  <c r="L34" i="99"/>
  <c r="M34" i="99" s="1"/>
  <c r="AO17" i="99"/>
  <c r="G87" i="117"/>
  <c r="O68" i="117"/>
  <c r="N26" i="117"/>
  <c r="O21" i="101"/>
  <c r="P21" i="101" s="1"/>
  <c r="AP21" i="101"/>
  <c r="AQ21" i="101" s="1"/>
  <c r="V21" i="101"/>
  <c r="G18" i="112"/>
  <c r="U35" i="94"/>
  <c r="G20" i="78"/>
  <c r="G36" i="99"/>
  <c r="W59" i="78"/>
  <c r="V16" i="72"/>
  <c r="S63" i="78"/>
  <c r="N36" i="99"/>
  <c r="Y72" i="78"/>
  <c r="AR19" i="101"/>
  <c r="Z35" i="101"/>
  <c r="W20" i="90"/>
  <c r="O17" i="99"/>
  <c r="P17" i="99" s="1"/>
  <c r="AS20" i="99"/>
  <c r="AT20" i="99" s="1"/>
  <c r="Y20" i="99"/>
  <c r="H32" i="118"/>
  <c r="N38" i="94"/>
  <c r="G38" i="94"/>
  <c r="W41" i="90"/>
  <c r="W63" i="90"/>
  <c r="K29" i="90"/>
  <c r="AI29" i="90"/>
  <c r="P33" i="78"/>
  <c r="AI33" i="78"/>
  <c r="AH33" i="78"/>
  <c r="S36" i="78"/>
  <c r="P36" i="78"/>
  <c r="AH36" i="78"/>
  <c r="AE36" i="78"/>
  <c r="AN36" i="78"/>
  <c r="L19" i="78"/>
  <c r="M19" i="78" s="1"/>
  <c r="AJ19" i="78"/>
  <c r="AK19" i="78" s="1"/>
  <c r="P19" i="78"/>
  <c r="D19" i="78"/>
  <c r="S18" i="101"/>
  <c r="Z18" i="101"/>
  <c r="Y18" i="101"/>
  <c r="AO18" i="101"/>
  <c r="S25" i="99"/>
  <c r="G25" i="99"/>
  <c r="N38" i="72"/>
  <c r="O38" i="72"/>
  <c r="G38" i="72"/>
  <c r="V17" i="72"/>
  <c r="N17" i="72"/>
  <c r="H17" i="72"/>
  <c r="U86" i="117"/>
  <c r="O86" i="117"/>
  <c r="V26" i="102"/>
  <c r="J26" i="102"/>
  <c r="AE26" i="102"/>
  <c r="AB26" i="102"/>
  <c r="G26" i="102"/>
  <c r="N39" i="94"/>
  <c r="V39" i="94"/>
  <c r="H39" i="94"/>
  <c r="U39" i="94"/>
  <c r="O39" i="94"/>
  <c r="N33" i="96"/>
  <c r="H33" i="96"/>
  <c r="V35" i="94"/>
  <c r="H35" i="94"/>
  <c r="G35" i="94"/>
  <c r="G23" i="89"/>
  <c r="J23" i="89"/>
  <c r="D23" i="89"/>
  <c r="Y21" i="101"/>
  <c r="AC21" i="101"/>
  <c r="S62" i="78"/>
  <c r="AI62" i="78"/>
  <c r="V72" i="78"/>
  <c r="AB72" i="78"/>
  <c r="AI72" i="78"/>
  <c r="G72" i="78"/>
  <c r="AJ72" i="78"/>
  <c r="AK72" i="78" s="1"/>
  <c r="D55" i="78"/>
  <c r="P55" i="78"/>
  <c r="AI55" i="78"/>
  <c r="G55" i="78"/>
  <c r="AH55" i="78"/>
  <c r="AD35" i="101"/>
  <c r="AE35" i="101" s="1"/>
  <c r="AA35" i="101"/>
  <c r="AB35" i="101" s="1"/>
  <c r="AC35" i="101"/>
  <c r="L35" i="101"/>
  <c r="M35" i="101" s="1"/>
  <c r="AO35" i="101"/>
  <c r="AS35" i="101"/>
  <c r="AT35" i="101" s="1"/>
  <c r="D35" i="101"/>
  <c r="V35" i="101"/>
  <c r="K35" i="101"/>
  <c r="G35" i="101"/>
  <c r="Y35" i="101"/>
  <c r="S35" i="101"/>
  <c r="O35" i="101"/>
  <c r="P35" i="101" s="1"/>
  <c r="AN35" i="101"/>
  <c r="N35" i="101"/>
  <c r="AH35" i="101"/>
  <c r="AP39" i="99"/>
  <c r="AQ39" i="99" s="1"/>
  <c r="Z39" i="99"/>
  <c r="AN39" i="99"/>
  <c r="K39" i="99"/>
  <c r="AR39" i="99"/>
  <c r="AH39" i="99"/>
  <c r="Y39" i="99"/>
  <c r="D39" i="99"/>
  <c r="AC39" i="99"/>
  <c r="S39" i="99"/>
  <c r="AK39" i="99"/>
  <c r="G39" i="99"/>
  <c r="AH38" i="99"/>
  <c r="O38" i="99"/>
  <c r="P38" i="99" s="1"/>
  <c r="AA38" i="99"/>
  <c r="AB38" i="99" s="1"/>
  <c r="N38" i="96"/>
  <c r="U38" i="96"/>
  <c r="G38" i="96"/>
  <c r="U24" i="94"/>
  <c r="N24" i="94"/>
  <c r="AI24" i="90"/>
  <c r="K24" i="90"/>
  <c r="J63" i="78"/>
  <c r="W63" i="78"/>
  <c r="AN63" i="78"/>
  <c r="L63" i="78"/>
  <c r="M63" i="78" s="1"/>
  <c r="AH63" i="78"/>
  <c r="AI63" i="78"/>
  <c r="D63" i="78"/>
  <c r="AJ63" i="78"/>
  <c r="AK63" i="78" s="1"/>
  <c r="W53" i="78"/>
  <c r="S53" i="78"/>
  <c r="X53" i="78"/>
  <c r="Y53" i="78" s="1"/>
  <c r="K53" i="78"/>
  <c r="D53" i="78"/>
  <c r="AB53" i="78"/>
  <c r="G53" i="78"/>
  <c r="L53" i="78"/>
  <c r="M53" i="78" s="1"/>
  <c r="AN27" i="78"/>
  <c r="AJ27" i="78"/>
  <c r="AK27" i="78" s="1"/>
  <c r="G27" i="78"/>
  <c r="AI27" i="78"/>
  <c r="O34" i="72"/>
  <c r="U34" i="72"/>
  <c r="G34" i="72"/>
  <c r="W38" i="90"/>
  <c r="K38" i="90"/>
  <c r="AL17" i="102"/>
  <c r="AJ17" i="102"/>
  <c r="AK17" i="102" s="1"/>
  <c r="K17" i="102"/>
  <c r="AM17" i="102"/>
  <c r="AN17" i="102" s="1"/>
  <c r="P17" i="102"/>
  <c r="AR27" i="101"/>
  <c r="AN27" i="101"/>
  <c r="L27" i="101"/>
  <c r="M27" i="101" s="1"/>
  <c r="AS27" i="101"/>
  <c r="AT27" i="101" s="1"/>
  <c r="Z27" i="101"/>
  <c r="Y27" i="101"/>
  <c r="AO27" i="101"/>
  <c r="AC27" i="101"/>
  <c r="K27" i="101"/>
  <c r="V26" i="118"/>
  <c r="O26" i="118"/>
  <c r="O24" i="118"/>
  <c r="V24" i="118"/>
  <c r="H24" i="118"/>
  <c r="D16" i="110"/>
  <c r="J16" i="110"/>
  <c r="G16" i="110"/>
  <c r="G34" i="117"/>
  <c r="O34" i="117"/>
  <c r="G66" i="117"/>
  <c r="O66" i="117"/>
  <c r="U66" i="117"/>
  <c r="H66" i="117"/>
  <c r="V53" i="117"/>
  <c r="U53" i="117"/>
  <c r="N53" i="117"/>
  <c r="H53" i="117"/>
  <c r="G101" i="117"/>
  <c r="H101" i="117"/>
  <c r="N101" i="117"/>
  <c r="O101" i="117"/>
  <c r="G73" i="117"/>
  <c r="U73" i="117"/>
  <c r="V73" i="117"/>
  <c r="N73" i="117"/>
  <c r="G97" i="117"/>
  <c r="O97" i="117"/>
  <c r="J34" i="107"/>
  <c r="D34" i="107"/>
  <c r="AJ28" i="102"/>
  <c r="AK28" i="102" s="1"/>
  <c r="X28" i="102"/>
  <c r="Y28" i="102" s="1"/>
  <c r="AI28" i="102"/>
  <c r="V28" i="102"/>
  <c r="G28" i="102"/>
  <c r="AL28" i="102"/>
  <c r="P28" i="102"/>
  <c r="J28" i="102"/>
  <c r="AI23" i="102"/>
  <c r="W23" i="102"/>
  <c r="P23" i="102"/>
  <c r="D23" i="102"/>
  <c r="AM23" i="102"/>
  <c r="AN23" i="102" s="1"/>
  <c r="V23" i="102"/>
  <c r="D37" i="101"/>
  <c r="AS37" i="101"/>
  <c r="AT37" i="101" s="1"/>
  <c r="O37" i="101"/>
  <c r="P37" i="101" s="1"/>
  <c r="AR37" i="101"/>
  <c r="Z37" i="101"/>
  <c r="AH37" i="101"/>
  <c r="X36" i="102"/>
  <c r="Y36" i="102" s="1"/>
  <c r="G36" i="102"/>
  <c r="J29" i="101"/>
  <c r="V29" i="101"/>
  <c r="S29" i="101"/>
  <c r="AA29" i="101"/>
  <c r="AB29" i="101" s="1"/>
  <c r="O29" i="101"/>
  <c r="P29" i="101" s="1"/>
  <c r="Y29" i="101"/>
  <c r="AS29" i="101"/>
  <c r="AT29" i="101" s="1"/>
  <c r="AD29" i="101"/>
  <c r="AE29" i="101" s="1"/>
  <c r="Z29" i="101"/>
  <c r="J27" i="89"/>
  <c r="D27" i="89"/>
  <c r="J38" i="114"/>
  <c r="V30" i="94"/>
  <c r="H30" i="94"/>
  <c r="H25" i="94"/>
  <c r="U25" i="94"/>
  <c r="W66" i="78"/>
  <c r="S66" i="78"/>
  <c r="AJ59" i="78"/>
  <c r="AK59" i="78" s="1"/>
  <c r="AH59" i="78"/>
  <c r="H38" i="118"/>
  <c r="O38" i="118"/>
  <c r="H33" i="118"/>
  <c r="V33" i="118"/>
  <c r="H30" i="117"/>
  <c r="O30" i="117"/>
  <c r="G30" i="117"/>
  <c r="G64" i="117"/>
  <c r="V64" i="117"/>
  <c r="U64" i="117"/>
  <c r="O64" i="117"/>
  <c r="H64" i="117"/>
  <c r="N92" i="117"/>
  <c r="U92" i="117"/>
  <c r="V92" i="117"/>
  <c r="V40" i="117"/>
  <c r="G40" i="117"/>
  <c r="O40" i="117"/>
  <c r="P30" i="102"/>
  <c r="AJ30" i="102"/>
  <c r="AK30" i="102" s="1"/>
  <c r="V30" i="102"/>
  <c r="AE30" i="102"/>
  <c r="N33" i="101"/>
  <c r="AD33" i="101"/>
  <c r="AE33" i="101" s="1"/>
  <c r="Y33" i="101"/>
  <c r="S33" i="101"/>
  <c r="AA33" i="101"/>
  <c r="AB33" i="101" s="1"/>
  <c r="AP33" i="101"/>
  <c r="AQ33" i="101" s="1"/>
  <c r="D33" i="102"/>
  <c r="W33" i="102"/>
  <c r="AJ33" i="102"/>
  <c r="AK33" i="102" s="1"/>
  <c r="AL33" i="102"/>
  <c r="AE33" i="102"/>
  <c r="AN33" i="102"/>
  <c r="AN31" i="101"/>
  <c r="AC31" i="101"/>
  <c r="K31" i="101"/>
  <c r="AS31" i="101"/>
  <c r="AT31" i="101" s="1"/>
  <c r="J31" i="101"/>
  <c r="O31" i="101"/>
  <c r="P31" i="101" s="1"/>
  <c r="AA31" i="101"/>
  <c r="AB31" i="101" s="1"/>
  <c r="AP31" i="101"/>
  <c r="AQ31" i="101" s="1"/>
  <c r="L31" i="101"/>
  <c r="M31" i="101" s="1"/>
  <c r="AR31" i="101"/>
  <c r="G31" i="101"/>
  <c r="Y31" i="101"/>
  <c r="S31" i="101"/>
  <c r="Z31" i="101"/>
  <c r="AO31" i="101"/>
  <c r="AH31" i="101"/>
  <c r="N31" i="101"/>
  <c r="K20" i="102"/>
  <c r="J20" i="102"/>
  <c r="AK17" i="101"/>
  <c r="G17" i="101"/>
  <c r="AS17" i="101"/>
  <c r="AT17" i="101" s="1"/>
  <c r="N17" i="101"/>
  <c r="AR17" i="101"/>
  <c r="AN17" i="101"/>
  <c r="K17" i="101"/>
  <c r="AD27" i="99"/>
  <c r="AE27" i="99" s="1"/>
  <c r="AP27" i="99"/>
  <c r="AQ27" i="99" s="1"/>
  <c r="AN27" i="99"/>
  <c r="O18" i="96"/>
  <c r="G18" i="96"/>
  <c r="H34" i="94"/>
  <c r="V34" i="94"/>
  <c r="K75" i="90"/>
  <c r="W75" i="90"/>
  <c r="W65" i="90"/>
  <c r="K65" i="90"/>
  <c r="W31" i="90"/>
  <c r="K31" i="90"/>
  <c r="W34" i="90"/>
  <c r="AI34" i="90"/>
  <c r="L69" i="78"/>
  <c r="M69" i="78" s="1"/>
  <c r="AN69" i="78"/>
  <c r="V69" i="78"/>
  <c r="X69" i="78"/>
  <c r="Y69" i="78" s="1"/>
  <c r="AI69" i="78"/>
  <c r="G69" i="78"/>
  <c r="J69" i="78"/>
  <c r="W69" i="78"/>
  <c r="AJ52" i="78"/>
  <c r="AK52" i="78" s="1"/>
  <c r="P52" i="78"/>
  <c r="L52" i="78"/>
  <c r="M52" i="78" s="1"/>
  <c r="AB52" i="78"/>
  <c r="V52" i="78"/>
  <c r="AJ22" i="78"/>
  <c r="AK22" i="78" s="1"/>
  <c r="AB22" i="78"/>
  <c r="V22" i="78"/>
  <c r="P22" i="78"/>
  <c r="W22" i="78"/>
  <c r="N22" i="72"/>
  <c r="U22" i="72"/>
  <c r="AH27" i="102"/>
  <c r="AM27" i="102"/>
  <c r="AN27" i="102" s="1"/>
  <c r="D27" i="102"/>
  <c r="AN32" i="101"/>
  <c r="K32" i="101"/>
  <c r="J32" i="101"/>
  <c r="Y32" i="101"/>
  <c r="V32" i="101"/>
  <c r="AC32" i="101"/>
  <c r="AD32" i="101"/>
  <c r="AE32" i="101" s="1"/>
  <c r="M32" i="101"/>
  <c r="AO32" i="101"/>
  <c r="O88" i="117"/>
  <c r="H28" i="117"/>
  <c r="N28" i="117"/>
  <c r="U28" i="117"/>
  <c r="G28" i="117"/>
  <c r="V28" i="117"/>
  <c r="P18" i="102"/>
  <c r="J18" i="102"/>
  <c r="AK18" i="102"/>
  <c r="AD21" i="101"/>
  <c r="AE21" i="101" s="1"/>
  <c r="AO21" i="101"/>
  <c r="AA21" i="101"/>
  <c r="AB21" i="101" s="1"/>
  <c r="J21" i="101"/>
  <c r="AH21" i="101"/>
  <c r="AN21" i="101"/>
  <c r="AK21" i="101"/>
  <c r="N34" i="96"/>
  <c r="G34" i="96"/>
  <c r="AH62" i="78"/>
  <c r="P62" i="78"/>
  <c r="X62" i="78"/>
  <c r="Y62" i="78" s="1"/>
  <c r="S72" i="78"/>
  <c r="D72" i="78"/>
  <c r="AH72" i="78"/>
  <c r="P72" i="78"/>
  <c r="K72" i="78"/>
  <c r="S32" i="102"/>
  <c r="AI32" i="102"/>
  <c r="X24" i="102"/>
  <c r="Y24" i="102" s="1"/>
  <c r="G24" i="102"/>
  <c r="V24" i="102"/>
  <c r="S24" i="102"/>
  <c r="AN38" i="101"/>
  <c r="AS38" i="101"/>
  <c r="AT38" i="101" s="1"/>
  <c r="AI71" i="90"/>
  <c r="L30" i="101"/>
  <c r="M30" i="101" s="1"/>
  <c r="AD30" i="101"/>
  <c r="AE30" i="101" s="1"/>
  <c r="G55" i="117"/>
  <c r="H55" i="117"/>
  <c r="AM34" i="102"/>
  <c r="AN34" i="102" s="1"/>
  <c r="AJ34" i="102"/>
  <c r="AK34" i="102" s="1"/>
  <c r="L34" i="102"/>
  <c r="AP20" i="101"/>
  <c r="AQ20" i="101" s="1"/>
  <c r="S20" i="101"/>
  <c r="H92" i="117"/>
  <c r="G92" i="117"/>
  <c r="H73" i="117"/>
  <c r="O73" i="117"/>
  <c r="K29" i="101"/>
  <c r="AH29" i="101"/>
  <c r="G85" i="71"/>
  <c r="G114" i="71"/>
  <c r="G100" i="71"/>
  <c r="C11" i="88"/>
  <c r="C11" i="87"/>
  <c r="D11" i="111"/>
  <c r="D11" i="106"/>
  <c r="F11" i="106"/>
  <c r="F11" i="111"/>
  <c r="C11" i="33"/>
  <c r="C11" i="119"/>
  <c r="C11" i="96"/>
  <c r="C11" i="94"/>
  <c r="C11" i="116"/>
  <c r="C11" i="115"/>
  <c r="C11" i="90"/>
  <c r="C11" i="78"/>
  <c r="C11" i="110"/>
  <c r="C11" i="107"/>
  <c r="C11" i="114"/>
  <c r="C11" i="109"/>
  <c r="C11" i="112"/>
  <c r="C11" i="108"/>
  <c r="C11" i="113"/>
  <c r="C11" i="117"/>
  <c r="C11" i="72"/>
  <c r="C11" i="101"/>
  <c r="C11" i="99"/>
  <c r="Z47" i="90"/>
  <c r="AL47" i="90"/>
  <c r="N47" i="90"/>
  <c r="V6" i="91" l="1"/>
  <c r="V107" i="91" s="1"/>
  <c r="V108" i="91" s="1"/>
  <c r="U107" i="91"/>
  <c r="U108" i="91" s="1"/>
  <c r="AJ77" i="90"/>
  <c r="AK77" i="90" s="1"/>
  <c r="AJ69" i="90"/>
  <c r="X65" i="90"/>
  <c r="Y65" i="90" s="1"/>
  <c r="AJ43" i="90"/>
  <c r="AK43" i="90" s="1"/>
  <c r="X77" i="90"/>
  <c r="Y77" i="90" s="1"/>
  <c r="L77" i="90"/>
  <c r="M77" i="90" s="1"/>
  <c r="AJ64" i="90"/>
  <c r="AK64" i="90" s="1"/>
  <c r="L43" i="90"/>
  <c r="M43" i="90" s="1"/>
  <c r="X63" i="90"/>
  <c r="Y63" i="90" s="1"/>
  <c r="AD42" i="79"/>
  <c r="AE42" i="79" s="1"/>
  <c r="L42" i="79"/>
  <c r="M42" i="79" s="1"/>
  <c r="O42" i="79"/>
  <c r="P42" i="79" s="1"/>
  <c r="K42" i="79"/>
  <c r="AR42" i="79"/>
  <c r="L76" i="90"/>
  <c r="M76" i="90" s="1"/>
  <c r="AJ76" i="90"/>
  <c r="AK76" i="90" s="1"/>
  <c r="Z42" i="79"/>
  <c r="N42" i="79"/>
  <c r="AC42" i="79"/>
  <c r="AO42" i="79"/>
  <c r="AP42" i="79"/>
  <c r="AQ42" i="79" s="1"/>
  <c r="AS42" i="79"/>
  <c r="AT42" i="79" s="1"/>
  <c r="AA42" i="79"/>
  <c r="AB42" i="79" s="1"/>
  <c r="X76" i="90"/>
  <c r="Y76" i="90" s="1"/>
  <c r="X42" i="90"/>
  <c r="Y42" i="90" s="1"/>
  <c r="AE76" i="90"/>
  <c r="AJ42" i="90"/>
  <c r="AK42" i="90" s="1"/>
  <c r="L42" i="90"/>
  <c r="M42" i="90" s="1"/>
  <c r="G76" i="90"/>
  <c r="AE64" i="90"/>
  <c r="X38" i="90"/>
  <c r="Y38" i="90" s="1"/>
  <c r="AJ59" i="90"/>
  <c r="AK59" i="90" s="1"/>
  <c r="AE59" i="90"/>
  <c r="AK69" i="90"/>
  <c r="AJ41" i="90"/>
  <c r="AK41" i="90" s="1"/>
  <c r="L78" i="90"/>
  <c r="M78" i="90" s="1"/>
  <c r="AJ78" i="90"/>
  <c r="AK78" i="90" s="1"/>
  <c r="X78" i="90"/>
  <c r="Y78" i="90" s="1"/>
  <c r="L36" i="90"/>
  <c r="M36" i="90" s="1"/>
  <c r="AJ75" i="90"/>
  <c r="AK75" i="90" s="1"/>
  <c r="L73" i="90"/>
  <c r="M73" i="90" s="1"/>
  <c r="AJ74" i="90"/>
  <c r="AK74" i="90" s="1"/>
  <c r="X39" i="90"/>
  <c r="Y39" i="90" s="1"/>
  <c r="L75" i="90"/>
  <c r="AJ71" i="90"/>
  <c r="AK71" i="90" s="1"/>
  <c r="AJ73" i="90"/>
  <c r="AK73" i="90" s="1"/>
  <c r="X41" i="90"/>
  <c r="X74" i="90"/>
  <c r="Y74" i="90" s="1"/>
  <c r="AE71" i="90"/>
  <c r="G75" i="90"/>
  <c r="X36" i="90"/>
  <c r="Y36" i="90" s="1"/>
  <c r="L39" i="90"/>
  <c r="M39" i="90" s="1"/>
  <c r="AJ40" i="90"/>
  <c r="AK40" i="90" s="1"/>
  <c r="L72" i="90"/>
  <c r="M72" i="90" s="1"/>
  <c r="X37" i="90"/>
  <c r="Y37" i="90" s="1"/>
  <c r="X72" i="90"/>
  <c r="Y72" i="90" s="1"/>
  <c r="L41" i="90"/>
  <c r="M41" i="90" s="1"/>
  <c r="X75" i="90"/>
  <c r="Y75" i="90" s="1"/>
  <c r="X40" i="90"/>
  <c r="Y40" i="90" s="1"/>
  <c r="M75" i="90"/>
  <c r="L74" i="90"/>
  <c r="M74" i="90" s="1"/>
  <c r="S74" i="90"/>
  <c r="Y41" i="90"/>
  <c r="AE74" i="90"/>
  <c r="AE40" i="90"/>
  <c r="G74" i="90"/>
  <c r="L40" i="90"/>
  <c r="M40" i="90" s="1"/>
  <c r="X73" i="90"/>
  <c r="Y73" i="90" s="1"/>
  <c r="S39" i="90"/>
  <c r="AJ39" i="90"/>
  <c r="AK39" i="90" s="1"/>
  <c r="X69" i="90"/>
  <c r="Y69" i="90" s="1"/>
  <c r="AJ33" i="90"/>
  <c r="AK33" i="90" s="1"/>
  <c r="S69" i="90"/>
  <c r="X70" i="90"/>
  <c r="Y70" i="90" s="1"/>
  <c r="AE33" i="90"/>
  <c r="V72" i="90"/>
  <c r="G36" i="90"/>
  <c r="AJ36" i="90"/>
  <c r="AK36" i="90" s="1"/>
  <c r="L69" i="90"/>
  <c r="M69" i="90" s="1"/>
  <c r="X59" i="90"/>
  <c r="Y59" i="90" s="1"/>
  <c r="L70" i="90"/>
  <c r="M70" i="90" s="1"/>
  <c r="L38" i="90"/>
  <c r="M38" i="90" s="1"/>
  <c r="L71" i="90"/>
  <c r="M71" i="90" s="1"/>
  <c r="L35" i="90"/>
  <c r="M35" i="90" s="1"/>
  <c r="AE69" i="90"/>
  <c r="AJ70" i="90"/>
  <c r="AK70" i="90" s="1"/>
  <c r="AM11" i="102"/>
  <c r="X64" i="90"/>
  <c r="Y64" i="90" s="1"/>
  <c r="L64" i="90"/>
  <c r="M64" i="90" s="1"/>
  <c r="X33" i="90"/>
  <c r="Y33" i="90" s="1"/>
  <c r="L59" i="90"/>
  <c r="M59" i="90" s="1"/>
  <c r="L33" i="90"/>
  <c r="M33" i="90" s="1"/>
  <c r="X23" i="90"/>
  <c r="Y23" i="90" s="1"/>
  <c r="AL42" i="102"/>
  <c r="K44" i="78"/>
  <c r="X44" i="78"/>
  <c r="Y44" i="78" s="1"/>
  <c r="K42" i="102"/>
  <c r="L44" i="78"/>
  <c r="M44" i="78" s="1"/>
  <c r="W44" i="78"/>
  <c r="AI44" i="78"/>
  <c r="AO43" i="101"/>
  <c r="W42" i="102"/>
  <c r="AI77" i="78"/>
  <c r="AJ42" i="102"/>
  <c r="AK42" i="102" s="1"/>
  <c r="L25" i="90"/>
  <c r="M25" i="90" s="1"/>
  <c r="X68" i="90"/>
  <c r="Y68" i="90" s="1"/>
  <c r="O11" i="102"/>
  <c r="X66" i="90"/>
  <c r="Y66" i="90" s="1"/>
  <c r="J11" i="118"/>
  <c r="AJ27" i="90"/>
  <c r="AK27" i="90" s="1"/>
  <c r="AE27" i="90"/>
  <c r="X21" i="90"/>
  <c r="Y21" i="90" s="1"/>
  <c r="X62" i="90"/>
  <c r="Y62" i="90" s="1"/>
  <c r="AJ63" i="90"/>
  <c r="AK63" i="90" s="1"/>
  <c r="L57" i="90"/>
  <c r="M57" i="90" s="1"/>
  <c r="L22" i="90"/>
  <c r="M22" i="90" s="1"/>
  <c r="X34" i="90"/>
  <c r="Y34" i="90" s="1"/>
  <c r="AJ67" i="90"/>
  <c r="AK67" i="90" s="1"/>
  <c r="X54" i="90"/>
  <c r="Y54" i="90" s="1"/>
  <c r="X55" i="90"/>
  <c r="Y55" i="90" s="1"/>
  <c r="L21" i="90"/>
  <c r="M21" i="90" s="1"/>
  <c r="AE67" i="90"/>
  <c r="X57" i="90"/>
  <c r="Y57" i="90" s="1"/>
  <c r="L20" i="90"/>
  <c r="M20" i="90" s="1"/>
  <c r="AJ21" i="90"/>
  <c r="AK21" i="90" s="1"/>
  <c r="AJ31" i="90"/>
  <c r="AK31" i="90" s="1"/>
  <c r="AJ66" i="90"/>
  <c r="AK66" i="90" s="1"/>
  <c r="X19" i="90"/>
  <c r="Y19" i="90" s="1"/>
  <c r="AJ28" i="90"/>
  <c r="AK28" i="90" s="1"/>
  <c r="L23" i="90"/>
  <c r="M23" i="90" s="1"/>
  <c r="AH66" i="90"/>
  <c r="L61" i="90"/>
  <c r="M61" i="90" s="1"/>
  <c r="AJ20" i="90"/>
  <c r="AK20" i="90" s="1"/>
  <c r="AE21" i="90"/>
  <c r="S19" i="90"/>
  <c r="L53" i="90"/>
  <c r="M53" i="90" s="1"/>
  <c r="L32" i="90"/>
  <c r="M32" i="90" s="1"/>
  <c r="AH31" i="90"/>
  <c r="L62" i="90"/>
  <c r="M62" i="90" s="1"/>
  <c r="V66" i="90"/>
  <c r="X53" i="90"/>
  <c r="Y53" i="90" s="1"/>
  <c r="L58" i="90"/>
  <c r="M58" i="90" s="1"/>
  <c r="L60" i="90"/>
  <c r="M60" i="90" s="1"/>
  <c r="X27" i="90"/>
  <c r="Y27" i="90" s="1"/>
  <c r="X30" i="90"/>
  <c r="Y30" i="90" s="1"/>
  <c r="X20" i="90"/>
  <c r="Y20" i="90" s="1"/>
  <c r="AJ57" i="90"/>
  <c r="AK57" i="90" s="1"/>
  <c r="L28" i="90"/>
  <c r="M28" i="90" s="1"/>
  <c r="S65" i="90"/>
  <c r="F79" i="90"/>
  <c r="G79" i="90" s="1"/>
  <c r="AE22" i="90"/>
  <c r="AJ30" i="90"/>
  <c r="AK30" i="90" s="1"/>
  <c r="S34" i="90"/>
  <c r="X22" i="90"/>
  <c r="Y22" i="90" s="1"/>
  <c r="AJ61" i="90"/>
  <c r="AK61" i="90" s="1"/>
  <c r="S63" i="90"/>
  <c r="X67" i="90"/>
  <c r="Y67" i="90" s="1"/>
  <c r="AJ56" i="90"/>
  <c r="AK56" i="90" s="1"/>
  <c r="L56" i="90"/>
  <c r="M56" i="90" s="1"/>
  <c r="X56" i="90"/>
  <c r="Y56" i="90" s="1"/>
  <c r="L67" i="90"/>
  <c r="M67" i="90" s="1"/>
  <c r="L27" i="90"/>
  <c r="M27" i="90" s="1"/>
  <c r="AD45" i="90"/>
  <c r="AE45" i="90" s="1"/>
  <c r="L54" i="90"/>
  <c r="M54" i="90" s="1"/>
  <c r="AJ32" i="90"/>
  <c r="AK32" i="90" s="1"/>
  <c r="L68" i="90"/>
  <c r="M68" i="90" s="1"/>
  <c r="AJ23" i="90"/>
  <c r="AK23" i="90" s="1"/>
  <c r="L63" i="90"/>
  <c r="M63" i="90" s="1"/>
  <c r="R45" i="90"/>
  <c r="S45" i="90" s="1"/>
  <c r="AA79" i="90"/>
  <c r="AB79" i="90" s="1"/>
  <c r="AJ19" i="90"/>
  <c r="AK19" i="90" s="1"/>
  <c r="AE56" i="90"/>
  <c r="G58" i="90"/>
  <c r="C45" i="90"/>
  <c r="D45" i="90" s="1"/>
  <c r="AE19" i="90"/>
  <c r="AJ53" i="90"/>
  <c r="AK53" i="90" s="1"/>
  <c r="W77" i="78"/>
  <c r="AJ54" i="90"/>
  <c r="AK54" i="90" s="1"/>
  <c r="AJ55" i="90"/>
  <c r="AK55" i="90" s="1"/>
  <c r="AI42" i="102"/>
  <c r="L55" i="90"/>
  <c r="M55" i="90" s="1"/>
  <c r="X28" i="90"/>
  <c r="Y28" i="90" s="1"/>
  <c r="AO43" i="99"/>
  <c r="X25" i="90"/>
  <c r="Y25" i="90" s="1"/>
  <c r="R79" i="90"/>
  <c r="S79" i="90" s="1"/>
  <c r="I45" i="90"/>
  <c r="J45" i="90" s="1"/>
  <c r="X31" i="90"/>
  <c r="Y31" i="90" s="1"/>
  <c r="K77" i="78"/>
  <c r="K79" i="90"/>
  <c r="L43" i="99"/>
  <c r="M43" i="99" s="1"/>
  <c r="X77" i="78"/>
  <c r="Y77" i="78" s="1"/>
  <c r="X60" i="90"/>
  <c r="Y60" i="90" s="1"/>
  <c r="AJ25" i="90"/>
  <c r="AK25" i="90" s="1"/>
  <c r="L30" i="90"/>
  <c r="M30" i="90" s="1"/>
  <c r="L19" i="90"/>
  <c r="M19" i="90" s="1"/>
  <c r="AJ62" i="90"/>
  <c r="AK62" i="90" s="1"/>
  <c r="X61" i="90"/>
  <c r="Y61" i="90" s="1"/>
  <c r="L65" i="90"/>
  <c r="M65" i="90" s="1"/>
  <c r="I79" i="90"/>
  <c r="J79" i="90" s="1"/>
  <c r="L66" i="90"/>
  <c r="M66" i="90" s="1"/>
  <c r="AK22" i="90"/>
  <c r="L24" i="90"/>
  <c r="M24" i="90" s="1"/>
  <c r="L34" i="90"/>
  <c r="M34" i="90" s="1"/>
  <c r="S25" i="90"/>
  <c r="AE37" i="90"/>
  <c r="AJ37" i="90"/>
  <c r="AK37" i="90" s="1"/>
  <c r="S71" i="90"/>
  <c r="X71" i="90"/>
  <c r="Y71" i="90" s="1"/>
  <c r="AM42" i="102"/>
  <c r="AN42" i="102" s="1"/>
  <c r="L77" i="78"/>
  <c r="M77" i="78" s="1"/>
  <c r="U79" i="90"/>
  <c r="V79" i="90" s="1"/>
  <c r="AJ44" i="78"/>
  <c r="AK44" i="78" s="1"/>
  <c r="L29" i="90"/>
  <c r="M29" i="90" s="1"/>
  <c r="L31" i="90"/>
  <c r="M31" i="90" s="1"/>
  <c r="AG45" i="90"/>
  <c r="AH45" i="90" s="1"/>
  <c r="U45" i="90"/>
  <c r="V45" i="90" s="1"/>
  <c r="O45" i="90"/>
  <c r="P45" i="90" s="1"/>
  <c r="AJ72" i="90"/>
  <c r="AK72" i="90" s="1"/>
  <c r="AH72" i="90"/>
  <c r="AJ77" i="78"/>
  <c r="AK77" i="78" s="1"/>
  <c r="AJ68" i="90"/>
  <c r="AK68" i="90" s="1"/>
  <c r="AJ38" i="90"/>
  <c r="AK38" i="90" s="1"/>
  <c r="L37" i="90"/>
  <c r="M37" i="90" s="1"/>
  <c r="G37" i="90"/>
  <c r="N43" i="101"/>
  <c r="K43" i="99"/>
  <c r="AA45" i="90"/>
  <c r="AB45" i="90" s="1"/>
  <c r="X42" i="102"/>
  <c r="Y42" i="102" s="1"/>
  <c r="K45" i="90"/>
  <c r="J26" i="90"/>
  <c r="L26" i="90"/>
  <c r="M26" i="90" s="1"/>
  <c r="W45" i="90"/>
  <c r="AI79" i="90"/>
  <c r="L43" i="101"/>
  <c r="M43" i="101" s="1"/>
  <c r="AD43" i="101"/>
  <c r="AE43" i="101" s="1"/>
  <c r="AR43" i="99"/>
  <c r="X35" i="90"/>
  <c r="Y35" i="90" s="1"/>
  <c r="AA43" i="101"/>
  <c r="AB43" i="101" s="1"/>
  <c r="Z43" i="101"/>
  <c r="W79" i="90"/>
  <c r="AI45" i="90"/>
  <c r="AC43" i="99"/>
  <c r="AM79" i="90"/>
  <c r="AN79" i="90" s="1"/>
  <c r="AR43" i="101"/>
  <c r="AJ35" i="90"/>
  <c r="AK35" i="90" s="1"/>
  <c r="AC43" i="101"/>
  <c r="Z43" i="99"/>
  <c r="N43" i="99"/>
  <c r="AD43" i="99"/>
  <c r="AE43" i="99" s="1"/>
  <c r="F45" i="90"/>
  <c r="G45" i="90" s="1"/>
  <c r="AD79" i="90"/>
  <c r="AE79" i="90" s="1"/>
  <c r="O43" i="101"/>
  <c r="P43" i="101" s="1"/>
  <c r="X32" i="90"/>
  <c r="Y32" i="90" s="1"/>
  <c r="X29" i="90"/>
  <c r="Y29" i="90" s="1"/>
  <c r="AJ29" i="90"/>
  <c r="AK29" i="90" s="1"/>
  <c r="V34" i="90"/>
  <c r="J63" i="90"/>
  <c r="AS43" i="99"/>
  <c r="AT43" i="99" s="1"/>
  <c r="AA43" i="99"/>
  <c r="AB43" i="99" s="1"/>
  <c r="O43" i="99"/>
  <c r="P43" i="99" s="1"/>
  <c r="C79" i="90"/>
  <c r="D79" i="90" s="1"/>
  <c r="AG79" i="90"/>
  <c r="AH79" i="90" s="1"/>
  <c r="AJ60" i="90"/>
  <c r="AK60" i="90" s="1"/>
  <c r="AJ26" i="90"/>
  <c r="AK26" i="90" s="1"/>
  <c r="AJ65" i="90"/>
  <c r="AK65" i="90" s="1"/>
  <c r="AP43" i="99"/>
  <c r="AQ43" i="99" s="1"/>
  <c r="AS43" i="101"/>
  <c r="AT43" i="101" s="1"/>
  <c r="AM45" i="90"/>
  <c r="AN45" i="90" s="1"/>
  <c r="O79" i="90"/>
  <c r="P79" i="90" s="1"/>
  <c r="K43" i="101"/>
  <c r="AJ34" i="90"/>
  <c r="AK34" i="90" s="1"/>
  <c r="AE34" i="90"/>
  <c r="S26" i="90"/>
  <c r="X26" i="90"/>
  <c r="Y26" i="90" s="1"/>
  <c r="S24" i="90"/>
  <c r="X24" i="90"/>
  <c r="Y24" i="90" s="1"/>
  <c r="AJ58" i="90"/>
  <c r="AK58" i="90" s="1"/>
  <c r="S58" i="90"/>
  <c r="X58" i="90"/>
  <c r="Y58" i="90" s="1"/>
  <c r="AJ24" i="90"/>
  <c r="AK24" i="90" s="1"/>
  <c r="AE24" i="90"/>
  <c r="AP43" i="101"/>
  <c r="AQ43" i="101" s="1"/>
  <c r="L42" i="102"/>
  <c r="M42" i="102" s="1"/>
  <c r="M34" i="102"/>
  <c r="R11" i="99"/>
  <c r="AG11" i="99"/>
  <c r="Z13" i="90"/>
  <c r="O11" i="90"/>
  <c r="B13" i="90"/>
  <c r="AL13" i="90"/>
  <c r="AM11" i="90"/>
  <c r="N13" i="90"/>
  <c r="AA11" i="90"/>
  <c r="J11" i="119"/>
  <c r="Q11" i="119"/>
  <c r="J11" i="96"/>
  <c r="Q11" i="96"/>
  <c r="J11" i="72"/>
  <c r="Q11" i="72"/>
  <c r="J11" i="33"/>
  <c r="Q11" i="33"/>
  <c r="AG11" i="101"/>
  <c r="R11" i="101"/>
  <c r="J11" i="117"/>
  <c r="Q11" i="117"/>
  <c r="AM11" i="78"/>
  <c r="AL13" i="78"/>
  <c r="Z13" i="78"/>
  <c r="O11" i="78"/>
  <c r="N13" i="78"/>
  <c r="B13" i="78"/>
  <c r="AA11" i="78"/>
  <c r="Q11" i="94"/>
  <c r="J11" i="94"/>
  <c r="L79" i="90" l="1"/>
  <c r="M79" i="90" s="1"/>
  <c r="X79" i="90"/>
  <c r="Y79" i="90" s="1"/>
  <c r="L45" i="90"/>
  <c r="M45" i="90" s="1"/>
  <c r="AJ79" i="90"/>
  <c r="AK79" i="90" s="1"/>
  <c r="X45" i="90"/>
  <c r="Y45" i="90" s="1"/>
  <c r="AJ45" i="90"/>
  <c r="AK45" i="90" s="1"/>
</calcChain>
</file>

<file path=xl/comments1.xml><?xml version="1.0" encoding="utf-8"?>
<comments xmlns="http://schemas.openxmlformats.org/spreadsheetml/2006/main">
  <authors>
    <author>Michael Schwartz</author>
  </authors>
  <commentList>
    <comment ref="A16" authorId="0" shapeId="0">
      <text>
        <r>
          <rPr>
            <sz val="8"/>
            <color indexed="81"/>
            <rFont val="Tahoma"/>
            <family val="2"/>
          </rPr>
          <t xml:space="preserve">County names will automatically populate when LME-MCO name is entered in the Set-Up worksheet.
</t>
        </r>
      </text>
    </comment>
  </commentList>
</comments>
</file>

<file path=xl/comments10.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1.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2.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3.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4.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5.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6.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7.xml><?xml version="1.0" encoding="utf-8"?>
<comments xmlns="http://schemas.openxmlformats.org/spreadsheetml/2006/main">
  <authors>
    <author>Michael Schwartz</author>
  </authors>
  <commentList>
    <comment ref="A17" authorId="0" shapeId="0">
      <text>
        <r>
          <rPr>
            <sz val="8"/>
            <color indexed="81"/>
            <rFont val="Tahoma"/>
            <family val="2"/>
          </rPr>
          <t xml:space="preserve">County names will automatically populate when LME-MCO name is entered in the Set-Up worksheet.
</t>
        </r>
      </text>
    </comment>
    <comment ref="A50" authorId="0" shapeId="0">
      <text>
        <r>
          <rPr>
            <sz val="8"/>
            <color indexed="81"/>
            <rFont val="Tahoma"/>
            <family val="2"/>
          </rPr>
          <t xml:space="preserve">County names will automatically populate when LME-MCO name is entered in the Set-Up worksheet.
</t>
        </r>
      </text>
    </comment>
    <comment ref="A83" authorId="0" shapeId="0">
      <text>
        <r>
          <rPr>
            <sz val="8"/>
            <color indexed="81"/>
            <rFont val="Tahoma"/>
            <family val="2"/>
          </rPr>
          <t xml:space="preserve">County names will automatically populate when LME-MCO name is entered in the Set-Up worksheet.
</t>
        </r>
      </text>
    </comment>
  </commentList>
</comments>
</file>

<file path=xl/comments18.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comments19.xml><?xml version="1.0" encoding="utf-8"?>
<comments xmlns="http://schemas.openxmlformats.org/spreadsheetml/2006/main">
  <authors>
    <author>Michael Schwartz</author>
  </authors>
  <commentList>
    <comment ref="A16" authorId="0" shapeId="0">
      <text>
        <r>
          <rPr>
            <sz val="8"/>
            <color indexed="81"/>
            <rFont val="Tahoma"/>
            <family val="2"/>
          </rPr>
          <t xml:space="preserve">County names will automatically populate when LME-MCO name is entered in the Set-Up worksheet.
</t>
        </r>
      </text>
    </comment>
  </commentList>
</comments>
</file>

<file path=xl/comments2.xml><?xml version="1.0" encoding="utf-8"?>
<comments xmlns="http://schemas.openxmlformats.org/spreadsheetml/2006/main">
  <authors>
    <author>Michael Schwartz</author>
  </authors>
  <commentList>
    <comment ref="A16" authorId="0" shapeId="0">
      <text>
        <r>
          <rPr>
            <sz val="8"/>
            <color indexed="81"/>
            <rFont val="Tahoma"/>
            <family val="2"/>
          </rPr>
          <t>Age Group determined by the person's age at the time of the first service during the measurement period.</t>
        </r>
      </text>
    </comment>
    <comment ref="A18" authorId="0" shapeId="0">
      <text>
        <r>
          <rPr>
            <sz val="8"/>
            <color indexed="81"/>
            <rFont val="Tahoma"/>
            <family val="2"/>
          </rPr>
          <t xml:space="preserve">County names will automatically populate when LME-MCO name is entered in the Set-Up worksheet.
</t>
        </r>
      </text>
    </comment>
    <comment ref="A49" authorId="0" shapeId="0">
      <text>
        <r>
          <rPr>
            <sz val="8"/>
            <color indexed="81"/>
            <rFont val="Tahoma"/>
            <family val="2"/>
          </rPr>
          <t>Age Group determined by the person's age at the time of the first service during the measurement period.</t>
        </r>
      </text>
    </comment>
    <comment ref="A51" authorId="0" shapeId="0">
      <text>
        <r>
          <rPr>
            <sz val="8"/>
            <color indexed="81"/>
            <rFont val="Tahoma"/>
            <family val="2"/>
          </rPr>
          <t xml:space="preserve">County names will automatically populate when LME-MCO name is entered in the Set-Up worksheet.
</t>
        </r>
      </text>
    </comment>
  </commentList>
</comments>
</file>

<file path=xl/comments20.xml><?xml version="1.0" encoding="utf-8"?>
<comments xmlns="http://schemas.openxmlformats.org/spreadsheetml/2006/main">
  <authors>
    <author>Michael Schwartz</author>
  </authors>
  <commentList>
    <comment ref="D3" authorId="0" shapeId="0">
      <text>
        <r>
          <rPr>
            <b/>
            <u/>
            <sz val="8"/>
            <color indexed="81"/>
            <rFont val="Tahoma"/>
            <family val="2"/>
          </rPr>
          <t>SFY</t>
        </r>
        <r>
          <rPr>
            <b/>
            <sz val="8"/>
            <color indexed="81"/>
            <rFont val="Tahoma"/>
            <family val="2"/>
          </rPr>
          <t>:</t>
        </r>
        <r>
          <rPr>
            <sz val="8"/>
            <color indexed="81"/>
            <rFont val="Tahoma"/>
            <family val="2"/>
          </rPr>
          <t xml:space="preserve">
The SFY in this cell is linked to the </t>
        </r>
        <r>
          <rPr>
            <b/>
            <sz val="8"/>
            <color indexed="81"/>
            <rFont val="Tahoma"/>
            <family val="2"/>
          </rPr>
          <t>Set-Up Worksheet</t>
        </r>
        <r>
          <rPr>
            <sz val="8"/>
            <color indexed="81"/>
            <rFont val="Tahoma"/>
            <family val="2"/>
          </rPr>
          <t xml:space="preserve"> and will automatically change when the SFY is changed on that worksheet.</t>
        </r>
      </text>
    </comment>
  </commentList>
</comments>
</file>

<file path=xl/comments21.xml><?xml version="1.0" encoding="utf-8"?>
<comments xmlns="http://schemas.openxmlformats.org/spreadsheetml/2006/main">
  <authors>
    <author>Michael Schwartz</author>
  </authors>
  <commentList>
    <comment ref="H4" authorId="0" shapeId="0">
      <text>
        <r>
          <rPr>
            <b/>
            <u/>
            <sz val="8"/>
            <color indexed="81"/>
            <rFont val="Tahoma"/>
            <family val="2"/>
          </rPr>
          <t>SFY</t>
        </r>
        <r>
          <rPr>
            <b/>
            <sz val="8"/>
            <color indexed="81"/>
            <rFont val="Tahoma"/>
            <family val="2"/>
          </rPr>
          <t>:</t>
        </r>
        <r>
          <rPr>
            <sz val="8"/>
            <color indexed="81"/>
            <rFont val="Tahoma"/>
            <family val="2"/>
          </rPr>
          <t xml:space="preserve">
The SFY in this cell is linked to the </t>
        </r>
        <r>
          <rPr>
            <b/>
            <sz val="8"/>
            <color indexed="81"/>
            <rFont val="Tahoma"/>
            <family val="2"/>
          </rPr>
          <t>Set-Up Worksheet</t>
        </r>
        <r>
          <rPr>
            <sz val="8"/>
            <color indexed="81"/>
            <rFont val="Tahoma"/>
            <family val="2"/>
          </rPr>
          <t xml:space="preserve"> and will automatically change when the SFY is changed on that worksheet.</t>
        </r>
      </text>
    </comment>
  </commentList>
</comments>
</file>

<file path=xl/comments22.xml><?xml version="1.0" encoding="utf-8"?>
<comments xmlns="http://schemas.openxmlformats.org/spreadsheetml/2006/main">
  <authors>
    <author>Michael Schwartz</author>
  </authors>
  <commentList>
    <comment ref="N4" authorId="0" shapeId="0">
      <text>
        <r>
          <rPr>
            <sz val="10"/>
            <color indexed="81"/>
            <rFont val="Tahoma"/>
            <family val="2"/>
          </rPr>
          <t>Used 2011 Percentages as this is the most current available data.</t>
        </r>
      </text>
    </comment>
    <comment ref="B5" authorId="0" shapeId="0">
      <text>
        <r>
          <rPr>
            <sz val="10"/>
            <color indexed="81"/>
            <rFont val="Tahoma"/>
            <family val="2"/>
          </rPr>
          <t>LME-MCO configuration as of October 2013 (following the merger of Western Highlands Network with Smoky Mountain Center).</t>
        </r>
      </text>
    </comment>
  </commentList>
</comments>
</file>

<file path=xl/comments23.xml><?xml version="1.0" encoding="utf-8"?>
<comments xmlns="http://schemas.openxmlformats.org/spreadsheetml/2006/main">
  <authors>
    <author>Michael Schwartz</author>
  </authors>
  <commentList>
    <comment ref="N4" authorId="0" shapeId="0">
      <text>
        <r>
          <rPr>
            <sz val="10"/>
            <color indexed="81"/>
            <rFont val="Tahoma"/>
            <family val="2"/>
          </rPr>
          <t>Used 2011 Percentages as this is the most current available data.</t>
        </r>
      </text>
    </comment>
    <comment ref="B5" authorId="0" shapeId="0">
      <text>
        <r>
          <rPr>
            <sz val="10"/>
            <color indexed="81"/>
            <rFont val="Tahoma"/>
            <family val="2"/>
          </rPr>
          <t>LME-MCO configuration as of July 2014 (following the merger of Western Highlands Network with Smoky Mountain Center and MeckLINK with Cardinal Innovations).</t>
        </r>
      </text>
    </comment>
  </commentList>
</comments>
</file>

<file path=xl/comments3.xml><?xml version="1.0" encoding="utf-8"?>
<comments xmlns="http://schemas.openxmlformats.org/spreadsheetml/2006/main">
  <authors>
    <author>Michael Schwartz</author>
  </authors>
  <commentList>
    <comment ref="A16" authorId="0" shapeId="0">
      <text>
        <r>
          <rPr>
            <sz val="8"/>
            <color indexed="81"/>
            <rFont val="Tahoma"/>
            <family val="2"/>
          </rPr>
          <t>Age Group determined by the person's age at the time of the first service during the measurement period.</t>
        </r>
      </text>
    </comment>
    <comment ref="A18" authorId="0" shapeId="0">
      <text>
        <r>
          <rPr>
            <b/>
            <sz val="8"/>
            <color indexed="81"/>
            <rFont val="Tahoma"/>
            <family val="2"/>
          </rPr>
          <t>County</t>
        </r>
        <r>
          <rPr>
            <sz val="8"/>
            <color indexed="81"/>
            <rFont val="Tahoma"/>
            <family val="2"/>
          </rPr>
          <t xml:space="preserve"> names </t>
        </r>
        <r>
          <rPr>
            <sz val="8"/>
            <color indexed="81"/>
            <rFont val="Tahoma"/>
            <family val="2"/>
          </rPr>
          <t xml:space="preserve">will automatically populate when LME-MCO name is entered in the Set-Up worksheet.
</t>
        </r>
      </text>
    </comment>
    <comment ref="A50" authorId="0" shapeId="0">
      <text>
        <r>
          <rPr>
            <sz val="8"/>
            <color indexed="81"/>
            <rFont val="Tahoma"/>
            <family val="2"/>
          </rPr>
          <t>Age Group determined by the person's age at the time of the first service during the measurement period.</t>
        </r>
      </text>
    </comment>
    <comment ref="A52" authorId="0" shapeId="0">
      <text>
        <r>
          <rPr>
            <sz val="8"/>
            <color indexed="81"/>
            <rFont val="Tahoma"/>
            <family val="2"/>
          </rPr>
          <t xml:space="preserve">County names will automatically populate when LME-MCO name is entered in the Set-Up worksheet.
</t>
        </r>
      </text>
    </comment>
  </commentList>
</comments>
</file>

<file path=xl/comments4.xml><?xml version="1.0" encoding="utf-8"?>
<comments xmlns="http://schemas.openxmlformats.org/spreadsheetml/2006/main">
  <authors>
    <author>Michael Schwartz</author>
  </authors>
  <commentList>
    <comment ref="A16" authorId="0" shapeId="0">
      <text>
        <r>
          <rPr>
            <sz val="8"/>
            <color indexed="81"/>
            <rFont val="Tahoma"/>
            <family val="2"/>
          </rPr>
          <t xml:space="preserve">County names will automatically populate when LME-MCO name is entered in the Set-Up worksheet.
</t>
        </r>
      </text>
    </comment>
  </commentList>
</comments>
</file>

<file path=xl/comments5.xml><?xml version="1.0" encoding="utf-8"?>
<comments xmlns="http://schemas.openxmlformats.org/spreadsheetml/2006/main">
  <authors>
    <author>Michael Schwartz</author>
  </authors>
  <commentList>
    <comment ref="A16" authorId="0" shapeId="0">
      <text>
        <r>
          <rPr>
            <sz val="8"/>
            <color indexed="81"/>
            <rFont val="Tahoma"/>
            <family val="2"/>
          </rPr>
          <t xml:space="preserve">County names will automatically populate when LME-MCO name is entered in the Set-Up worksheet.
</t>
        </r>
      </text>
    </comment>
  </commentList>
</comments>
</file>

<file path=xl/comments6.xml><?xml version="1.0" encoding="utf-8"?>
<comments xmlns="http://schemas.openxmlformats.org/spreadsheetml/2006/main">
  <authors>
    <author>Michael Schwartz</author>
  </authors>
  <commentList>
    <comment ref="A14" authorId="0" shapeId="0">
      <text>
        <r>
          <rPr>
            <sz val="8"/>
            <color indexed="81"/>
            <rFont val="Tahoma"/>
            <family val="2"/>
          </rPr>
          <t>Age Group determined by the person's age at the time of the first service during the measurement period.</t>
        </r>
      </text>
    </comment>
    <comment ref="A16" authorId="0" shapeId="0">
      <text>
        <r>
          <rPr>
            <sz val="8"/>
            <color indexed="81"/>
            <rFont val="Tahoma"/>
            <family val="2"/>
          </rPr>
          <t xml:space="preserve">County names will automatically populate when LME-MCO name is entered in the Set-Up worksheet.
</t>
        </r>
      </text>
    </comment>
  </commentList>
</comments>
</file>

<file path=xl/comments7.xml><?xml version="1.0" encoding="utf-8"?>
<comments xmlns="http://schemas.openxmlformats.org/spreadsheetml/2006/main">
  <authors>
    <author>Michael Schwartz</author>
  </authors>
  <commentList>
    <comment ref="A14" authorId="0" shapeId="0">
      <text>
        <r>
          <rPr>
            <sz val="8"/>
            <color indexed="81"/>
            <rFont val="Tahoma"/>
            <family val="2"/>
          </rPr>
          <t>Age Group determined by the person's age at the time of the first service during the measurement period.</t>
        </r>
      </text>
    </comment>
    <comment ref="A16" authorId="0" shapeId="0">
      <text>
        <r>
          <rPr>
            <sz val="8"/>
            <color indexed="81"/>
            <rFont val="Tahoma"/>
            <family val="2"/>
          </rPr>
          <t xml:space="preserve">County names will automatically populate when LME-MCO name is entered in the Set-Up worksheet.
</t>
        </r>
      </text>
    </comment>
  </commentList>
</comments>
</file>

<file path=xl/comments8.xml><?xml version="1.0" encoding="utf-8"?>
<comments xmlns="http://schemas.openxmlformats.org/spreadsheetml/2006/main">
  <authors>
    <author>Michael Schwartz</author>
  </authors>
  <commentList>
    <comment ref="A14" authorId="0" shapeId="0">
      <text>
        <r>
          <rPr>
            <sz val="8"/>
            <color indexed="81"/>
            <rFont val="Tahoma"/>
            <family val="2"/>
          </rPr>
          <t>Age Group determined by the person's age at the time of the first service during the measurement period.</t>
        </r>
      </text>
    </comment>
    <comment ref="A16" authorId="0" shapeId="0">
      <text>
        <r>
          <rPr>
            <sz val="8"/>
            <color indexed="81"/>
            <rFont val="Tahoma"/>
            <family val="2"/>
          </rPr>
          <t xml:space="preserve">County names will automatically populate when LME-MCO name is entered in the Set-Up worksheet.
</t>
        </r>
      </text>
    </comment>
  </commentList>
</comments>
</file>

<file path=xl/comments9.xml><?xml version="1.0" encoding="utf-8"?>
<comments xmlns="http://schemas.openxmlformats.org/spreadsheetml/2006/main">
  <authors>
    <author>Michael Schwartz</author>
  </authors>
  <commentList>
    <comment ref="A15" authorId="0" shapeId="0">
      <text>
        <r>
          <rPr>
            <sz val="8"/>
            <color indexed="81"/>
            <rFont val="Tahoma"/>
            <family val="2"/>
          </rPr>
          <t xml:space="preserve">County names will automatically populate when LME-MCO name is entered in the Set-Up worksheet.
</t>
        </r>
      </text>
    </comment>
  </commentList>
</comments>
</file>

<file path=xl/sharedStrings.xml><?xml version="1.0" encoding="utf-8"?>
<sst xmlns="http://schemas.openxmlformats.org/spreadsheetml/2006/main" count="5313" uniqueCount="576">
  <si>
    <t>Total</t>
  </si>
  <si>
    <t>Prepaid Inpatient Health Plan</t>
  </si>
  <si>
    <t>Name of Plan:</t>
  </si>
  <si>
    <t>Numerator</t>
  </si>
  <si>
    <t>Denominator</t>
  </si>
  <si>
    <t xml:space="preserve">Rate </t>
  </si>
  <si>
    <t>13-17</t>
  </si>
  <si>
    <t>18-20</t>
  </si>
  <si>
    <t>Rate</t>
  </si>
  <si>
    <t>Product Type:</t>
  </si>
  <si>
    <t>Behavioral Health</t>
  </si>
  <si>
    <t>Average LOS</t>
  </si>
  <si>
    <t>North Carolina LME-MCO Performance Measurement and Reporting</t>
  </si>
  <si>
    <t>Alliance Behavioral Healthcare</t>
  </si>
  <si>
    <t>Cardinal Innovations Healthcare Solutions</t>
  </si>
  <si>
    <t>CenterPoint Human Services</t>
  </si>
  <si>
    <t>CoastalCare</t>
  </si>
  <si>
    <t>East Carolina Behavioral Health</t>
  </si>
  <si>
    <t>Eastpointe</t>
  </si>
  <si>
    <t>MeckLINK Behavioral Healthcare</t>
  </si>
  <si>
    <t>Partners Behavioral Health Management</t>
  </si>
  <si>
    <t>Sandhills Center</t>
  </si>
  <si>
    <t>Western Highlands Network</t>
  </si>
  <si>
    <t>LME_MCO</t>
  </si>
  <si>
    <t>Person Responsible for Completing report:</t>
  </si>
  <si>
    <t>LME-MCO Chief Executive Officer:</t>
  </si>
  <si>
    <t>LME-MCO Contract Manager:</t>
  </si>
  <si>
    <t>Date Report Completed:</t>
  </si>
  <si>
    <t>North Carolina LME-MCO Performance Measurement Reporting</t>
  </si>
  <si>
    <t>Plan Name (LME-MCO):</t>
  </si>
  <si>
    <t>Total Number of Discharges</t>
  </si>
  <si>
    <t>Total Number of Readmissions within 30 days</t>
  </si>
  <si>
    <t>Percent Readmitted Within 30 Days</t>
  </si>
  <si>
    <t>Total Number Received Outpatient Visit within 30 days</t>
  </si>
  <si>
    <t>Percent Received Outpatient Visit  Within 30 Days</t>
  </si>
  <si>
    <t>Total Number Received Outpatient Visit within 7 days</t>
  </si>
  <si>
    <t>Percent Received Outpatient Visit  Within 7 Days</t>
  </si>
  <si>
    <t>Total (13+)</t>
  </si>
  <si>
    <t>Age Groups</t>
  </si>
  <si>
    <t>Medicaid</t>
  </si>
  <si>
    <t>Enter data in applicable yellow shaded cells.</t>
  </si>
  <si>
    <t>Total Number
of Discharges</t>
  </si>
  <si>
    <t>Number Of Medicaid Enrollees</t>
  </si>
  <si>
    <t>County</t>
  </si>
  <si>
    <t>Column:</t>
  </si>
  <si>
    <t>LME-MCO</t>
  </si>
  <si>
    <t>Cumberland</t>
  </si>
  <si>
    <t>Durham</t>
  </si>
  <si>
    <t>Johnston</t>
  </si>
  <si>
    <t>Wake</t>
  </si>
  <si>
    <t>Alamance</t>
  </si>
  <si>
    <t>Cabarrus</t>
  </si>
  <si>
    <t>Caswell</t>
  </si>
  <si>
    <t>Chatham</t>
  </si>
  <si>
    <t>Davidson</t>
  </si>
  <si>
    <t>Franklin</t>
  </si>
  <si>
    <t>Granville</t>
  </si>
  <si>
    <t>Halifax</t>
  </si>
  <si>
    <t>Orange</t>
  </si>
  <si>
    <t>Person</t>
  </si>
  <si>
    <t>Rowan</t>
  </si>
  <si>
    <t>Stanly</t>
  </si>
  <si>
    <t>Union</t>
  </si>
  <si>
    <t>Vance</t>
  </si>
  <si>
    <t>Warren</t>
  </si>
  <si>
    <t>Davie</t>
  </si>
  <si>
    <t>Forsyth</t>
  </si>
  <si>
    <t>Rockingham</t>
  </si>
  <si>
    <t>Stokes</t>
  </si>
  <si>
    <t>Brunswick</t>
  </si>
  <si>
    <t>Carteret</t>
  </si>
  <si>
    <t>New Hanover</t>
  </si>
  <si>
    <t>Onslow</t>
  </si>
  <si>
    <t>Pender</t>
  </si>
  <si>
    <t>Beaufort</t>
  </si>
  <si>
    <t>Bertie</t>
  </si>
  <si>
    <t>Camden</t>
  </si>
  <si>
    <t>Chowan</t>
  </si>
  <si>
    <t>Craven</t>
  </si>
  <si>
    <t>Currituck</t>
  </si>
  <si>
    <t>Dare</t>
  </si>
  <si>
    <t>Gates</t>
  </si>
  <si>
    <t>Hertford</t>
  </si>
  <si>
    <t>Hyde</t>
  </si>
  <si>
    <t>Jones</t>
  </si>
  <si>
    <t>Martin</t>
  </si>
  <si>
    <t>Northampton</t>
  </si>
  <si>
    <t>Pamlico</t>
  </si>
  <si>
    <t>Pasquotank</t>
  </si>
  <si>
    <t>Perquimans</t>
  </si>
  <si>
    <t>Pitt</t>
  </si>
  <si>
    <t>Tyrrell</t>
  </si>
  <si>
    <t>Washington</t>
  </si>
  <si>
    <t>Bladen</t>
  </si>
  <si>
    <t>Columbus</t>
  </si>
  <si>
    <t>Duplin</t>
  </si>
  <si>
    <t>Edgecombe</t>
  </si>
  <si>
    <t>Greene</t>
  </si>
  <si>
    <t>Lenoir</t>
  </si>
  <si>
    <t>Nash</t>
  </si>
  <si>
    <t>Robeson</t>
  </si>
  <si>
    <t>Sampson</t>
  </si>
  <si>
    <t>Scotland</t>
  </si>
  <si>
    <t>Wayne</t>
  </si>
  <si>
    <t>Wilson</t>
  </si>
  <si>
    <t>Mecklenburg</t>
  </si>
  <si>
    <t>Burke</t>
  </si>
  <si>
    <t>Catawba</t>
  </si>
  <si>
    <t>Cleveland</t>
  </si>
  <si>
    <t>Gaston</t>
  </si>
  <si>
    <t>Iredell</t>
  </si>
  <si>
    <t>Lincoln</t>
  </si>
  <si>
    <t>Surry</t>
  </si>
  <si>
    <t>Yadkin</t>
  </si>
  <si>
    <t>Anson</t>
  </si>
  <si>
    <t>Guilford</t>
  </si>
  <si>
    <t>Harnett</t>
  </si>
  <si>
    <t>Hoke</t>
  </si>
  <si>
    <t>Lee</t>
  </si>
  <si>
    <t>Montgomery</t>
  </si>
  <si>
    <t>Moore</t>
  </si>
  <si>
    <t>Randolph</t>
  </si>
  <si>
    <t>Richmond</t>
  </si>
  <si>
    <t>Alexander</t>
  </si>
  <si>
    <t>Alleghany</t>
  </si>
  <si>
    <t>Ashe</t>
  </si>
  <si>
    <t>Avery</t>
  </si>
  <si>
    <t>Buncombe</t>
  </si>
  <si>
    <t>Caldwell</t>
  </si>
  <si>
    <t>Cherokee</t>
  </si>
  <si>
    <t>Clay</t>
  </si>
  <si>
    <t>Graham</t>
  </si>
  <si>
    <t>Haywood</t>
  </si>
  <si>
    <t>Henderson</t>
  </si>
  <si>
    <t>Jackson</t>
  </si>
  <si>
    <t>Macon</t>
  </si>
  <si>
    <t>Madison</t>
  </si>
  <si>
    <t>McDowell</t>
  </si>
  <si>
    <t>Mitchell</t>
  </si>
  <si>
    <t>Polk</t>
  </si>
  <si>
    <t>Rutherford</t>
  </si>
  <si>
    <t>Swain</t>
  </si>
  <si>
    <t>Transylvania</t>
  </si>
  <si>
    <t>Watauga</t>
  </si>
  <si>
    <t>Wilkes</t>
  </si>
  <si>
    <t>Yancey</t>
  </si>
  <si>
    <t>Ages 18-20</t>
  </si>
  <si>
    <t>Total (Ages 3+)</t>
  </si>
  <si>
    <t>Percent Of Members Receiving MH/IDD/SA Services That Received An Ambulatory Or Preventive Care Visit</t>
  </si>
  <si>
    <t>Number In The Denominator With ≥1 Ambulatory Or Preventive Care Visits</t>
  </si>
  <si>
    <t>Number Continuously Enrolled Persons That Received ≥1 MH/IDD/SA Service During The Measurement Period</t>
  </si>
  <si>
    <t>PREVENTION AND EARLY INTERVENTION</t>
  </si>
  <si>
    <t>1.1 Selective And Indicated Substance Abuse Prevention Services</t>
  </si>
  <si>
    <t>Timeframe</t>
  </si>
  <si>
    <t>Q1</t>
  </si>
  <si>
    <t>Q2</t>
  </si>
  <si>
    <t>Q3</t>
  </si>
  <si>
    <t>Q4</t>
  </si>
  <si>
    <t>Date range for the quarter:</t>
  </si>
  <si>
    <t>Report Period</t>
  </si>
  <si>
    <t>Report published two months after the end of the quarter:</t>
  </si>
  <si>
    <t>Report Published</t>
  </si>
  <si>
    <t>Indicator</t>
  </si>
  <si>
    <t>Data Source</t>
  </si>
  <si>
    <t>NC-POPS</t>
  </si>
  <si>
    <t>1 Year No Lag</t>
  </si>
  <si>
    <t>As of Date</t>
  </si>
  <si>
    <t>Report Lag</t>
  </si>
  <si>
    <t>30 days</t>
  </si>
  <si>
    <t>LME report</t>
  </si>
  <si>
    <t>1 Qtr No Lag</t>
  </si>
  <si>
    <t>Report Submitted</t>
  </si>
  <si>
    <t>1 Qtr Lagged 1 Qtr</t>
  </si>
  <si>
    <t>Claims Paid Thru</t>
  </si>
  <si>
    <t>Paid Claims Lag</t>
  </si>
  <si>
    <t>4 mos</t>
  </si>
  <si>
    <t>Paid Claims</t>
  </si>
  <si>
    <t>2.5 mos</t>
  </si>
  <si>
    <t>CDW</t>
  </si>
  <si>
    <t>(HEARTS)</t>
  </si>
  <si>
    <t>[LOS for persons discharged]</t>
  </si>
  <si>
    <t>CDW Lag</t>
  </si>
  <si>
    <t>1 mo</t>
  </si>
  <si>
    <t>NC-DETECT</t>
  </si>
  <si>
    <t>[Pct of admissions with Primary MH, DD, SA Diagnosis]</t>
  </si>
  <si>
    <t>3 mos</t>
  </si>
  <si>
    <t>1 Qtr Lagged 2 Qtrs</t>
  </si>
  <si>
    <t>180 days CDW Lag</t>
  </si>
  <si>
    <t>CCNC</t>
  </si>
  <si>
    <t>1 Year Lagged 1 Qtr</t>
  </si>
  <si>
    <t>Indicators that share the same data period are shaded the same color.</t>
  </si>
  <si>
    <t>Measurement Period</t>
  </si>
  <si>
    <t>Report Quarter</t>
  </si>
  <si>
    <t>TIMELY ACCESS TO CARE</t>
  </si>
  <si>
    <t>State Fiscal Year:</t>
  </si>
  <si>
    <t>Report Quarter:</t>
  </si>
  <si>
    <t>Part II.  DMH/DD/SAS LME-MCO Quarterly Performance Measures</t>
  </si>
  <si>
    <t>Measurement Period:</t>
  </si>
  <si>
    <t>Program</t>
  </si>
  <si>
    <t>Program Type (Selective/ Indicated)</t>
  </si>
  <si>
    <t>Number Of Youth "At Risk" For SA</t>
  </si>
  <si>
    <t>Active Parenting Now</t>
  </si>
  <si>
    <t>Selective</t>
  </si>
  <si>
    <t>Active Parenting of Teens</t>
  </si>
  <si>
    <t>Dare To Be You</t>
  </si>
  <si>
    <t>Early Risers, Skills for Success</t>
  </si>
  <si>
    <t>Indicated</t>
  </si>
  <si>
    <t>Nurturing Parent Programs</t>
  </si>
  <si>
    <t>Positive Action</t>
  </si>
  <si>
    <t>Project Alert</t>
  </si>
  <si>
    <t>Project SUCCESS</t>
  </si>
  <si>
    <t>Reconnecting Youth</t>
  </si>
  <si>
    <t>Strengthening Families, 10-14</t>
  </si>
  <si>
    <t>Strengthening Families, 6-11</t>
  </si>
  <si>
    <t>All Stars</t>
  </si>
  <si>
    <t>All Stars Junior</t>
  </si>
  <si>
    <t>Children in the Middle</t>
  </si>
  <si>
    <t>Good Touch, Bad Touch</t>
  </si>
  <si>
    <t>Hip Hop to Prevent SA/HIV</t>
  </si>
  <si>
    <t>I'm Special</t>
  </si>
  <si>
    <t>Keepin It Real</t>
  </si>
  <si>
    <t>Parenting Wisely</t>
  </si>
  <si>
    <t>Prime For Life</t>
  </si>
  <si>
    <t>Project Towards No Drug Abuse (I)</t>
  </si>
  <si>
    <t>Project Venture</t>
  </si>
  <si>
    <t>Staying Connected With Your Teen</t>
  </si>
  <si>
    <t>Storytelling for Empowerment</t>
  </si>
  <si>
    <t>Teen Intervene</t>
  </si>
  <si>
    <t>Project Towards No Drug Abuse (S)</t>
  </si>
  <si>
    <t>Evidence-Based "Selective" and "Indicated" SA Prevention Programs</t>
  </si>
  <si>
    <t>SA_EBP</t>
  </si>
  <si>
    <t>SA_EBP_Lookup</t>
  </si>
  <si>
    <t>July 2013</t>
  </si>
  <si>
    <t>Prevalence</t>
  </si>
  <si>
    <t xml:space="preserve">Total </t>
  </si>
  <si>
    <t>Population</t>
  </si>
  <si>
    <t>Ages 6-11</t>
  </si>
  <si>
    <t>Ages 12-17</t>
  </si>
  <si>
    <t>"At Risk"</t>
  </si>
  <si>
    <t>Ages 6-17</t>
  </si>
  <si>
    <t>State Total</t>
  </si>
  <si>
    <t>State/Federal Block Grant</t>
  </si>
  <si>
    <t>Payer</t>
  </si>
  <si>
    <t>Combined (Includes Cross-Overs Between Payers)</t>
  </si>
  <si>
    <t>PENETRATION</t>
  </si>
  <si>
    <t>3.1 Persons Served:  Medicaid Enrollees</t>
  </si>
  <si>
    <t>Ages 3-17</t>
  </si>
  <si>
    <t>Ages 21+</t>
  </si>
  <si>
    <t>Child MH</t>
  </si>
  <si>
    <t>Adult MH</t>
  </si>
  <si>
    <t>Ages 18+</t>
  </si>
  <si>
    <t>Age-Disability Group:</t>
  </si>
  <si>
    <t>Age Group:</t>
  </si>
  <si>
    <t>Child SA</t>
  </si>
  <si>
    <t>Adult SA</t>
  </si>
  <si>
    <t>Child IDD</t>
  </si>
  <si>
    <t>Adult IDD</t>
  </si>
  <si>
    <t>Number That Received At Least One MH/IDD/SA Service</t>
  </si>
  <si>
    <t>Percent That Received At Least One MH/IDD/SA Service</t>
  </si>
  <si>
    <t>All Ages (Ages 3+)</t>
  </si>
  <si>
    <t>All Disabilities (MH/IDD/SA)</t>
  </si>
  <si>
    <t>Number
Completed</t>
  </si>
  <si>
    <t>Population
(Ages 6-17)</t>
  </si>
  <si>
    <t>Percent Of Youth
"At Risk" That Completed A Program</t>
  </si>
  <si>
    <t>Number Of Uninsured Population</t>
  </si>
  <si>
    <t>July 2013 Population Estimate</t>
  </si>
  <si>
    <t>2011 Percent Uninsured</t>
  </si>
  <si>
    <t>July 2013 Uninsured Population</t>
  </si>
  <si>
    <t>County Name</t>
  </si>
  <si>
    <t>Urban vs. Rural</t>
  </si>
  <si>
    <t>Total Population</t>
  </si>
  <si>
    <t>Children 
(Ages 0-2)</t>
  </si>
  <si>
    <t>Children 
(Ages 3-17)</t>
  </si>
  <si>
    <t>Adults 
(Age 18)</t>
  </si>
  <si>
    <t>Adults 
(Ages 19-20)</t>
  </si>
  <si>
    <t>Adults 
(Ages 21-64)</t>
  </si>
  <si>
    <t>Adults 
(Ages 65+)</t>
  </si>
  <si>
    <t>NonElderly Population (Ages 3-64)</t>
  </si>
  <si>
    <t>Children UnInsured (Ages 0-18)</t>
  </si>
  <si>
    <t>Adults UnInsured (Ages 19-64)</t>
  </si>
  <si>
    <t>NonElderly UnInsured (Ages 0-64)</t>
  </si>
  <si>
    <t>Adults 
(Ages 18-20)</t>
  </si>
  <si>
    <t>NonElderly  Adults 
(Ages 21-64)</t>
  </si>
  <si>
    <t>NonElderly Adults 
(Ages 18-64)</t>
  </si>
  <si>
    <t>NonElderly UnInsured Population (Ages 3-64)</t>
  </si>
  <si>
    <t>Urban</t>
  </si>
  <si>
    <t>Rural</t>
  </si>
  <si>
    <t>Calculated based on July 2011 Population</t>
  </si>
  <si>
    <t>North Carolina</t>
  </si>
  <si>
    <t>Population Data Source:  NC Office of State Budget and Management (OSBM) website.  http://www.osbm.state.nc.us/demog/countytotals_singleage_2013.html.  Last updated:  4/18/13    Downloaded: 7/18/13.</t>
  </si>
  <si>
    <t>NC County-Level Estimates of Non-Elderly Uninsured:  NC Institute of Medicine 2010-2011 Data Snapshot, http://nciom.org/wp-content/uploads/2010/08/County-Level_Estimates_10-11.pdf, released 1/4/13.</t>
  </si>
  <si>
    <t>NC Rural Economic Development Center defines urban and rural based on population density as of the 2010 Census of Population.  According to their website (8/22/12), 80 rural counties have an average population density of ≤250 persons per square mile.  5 transitional counties (Henderson, Iredell, Lincoln, Pitt, and Union) have population densities ≥250 persons per square mile but  retain rural characteristics (e.g. 66% live in areas ≤250 persons per square mile)  and  are classified as rural.  The other urban counties contain &gt;250 persons per square mile (http://www.ncruralcenter.org).  Counties in this table are defined based on the same population density criteria using July 2013 population projections.</t>
  </si>
  <si>
    <t>Smoky Mountain Center</t>
  </si>
  <si>
    <t>LME-MCO Name</t>
  </si>
  <si>
    <t>Ages 21-64</t>
  </si>
  <si>
    <t>Ages 18-64</t>
  </si>
  <si>
    <t>Non-Elderly Uninsured (Ages 3-64)</t>
  </si>
  <si>
    <t>SFY2014 Non-Elderly Uninsured Population (Performance Measure Age Groups)</t>
  </si>
  <si>
    <t>Grand Total</t>
  </si>
  <si>
    <t>Children (Ages 3-17)</t>
  </si>
  <si>
    <t>Adults (Ages 18-20)</t>
  </si>
  <si>
    <t>NonElderly Adults (Ages 21-64)</t>
  </si>
  <si>
    <t>Total NonElderly UnInsured Population (Ages 3-64)</t>
  </si>
  <si>
    <t>LME-MCOs and Counties</t>
  </si>
  <si>
    <t>(Based on NC OSBM July 2013 Population and Most Recent Available NC IOM Uninsured Estimates (2011, published Jan 2013)</t>
  </si>
  <si>
    <t>Enter data for the measurement period in applicable yellow shaded cells in Table 1.</t>
  </si>
  <si>
    <t>Enter data for the State Fiscal Year-To-Date in applicable yellow shaded cells in Table 2.</t>
  </si>
  <si>
    <t>Table 2</t>
  </si>
  <si>
    <t>Table 1</t>
  </si>
  <si>
    <t>INITIATION AND ENGAGEMENT</t>
  </si>
  <si>
    <t>Number With 2nd Service Or Visit &gt; 14 Days</t>
  </si>
  <si>
    <t>Total Number with an Initial Service Or Visit (New Episode of Care)</t>
  </si>
  <si>
    <t>Number With No 2nd Service Or Visit</t>
  </si>
  <si>
    <r>
      <rPr>
        <b/>
        <u/>
        <sz val="10"/>
        <rFont val="Arial"/>
        <family val="2"/>
      </rPr>
      <t>Engagement</t>
    </r>
    <r>
      <rPr>
        <b/>
        <sz val="10"/>
        <rFont val="Arial"/>
        <family val="2"/>
      </rPr>
      <t>:
Percent With 2 Or More Services Or Visits ≤ 30 Days After Initiation</t>
    </r>
  </si>
  <si>
    <r>
      <rPr>
        <b/>
        <u/>
        <sz val="10"/>
        <rFont val="Arial"/>
        <family val="2"/>
      </rPr>
      <t>Initiation</t>
    </r>
    <r>
      <rPr>
        <b/>
        <sz val="10"/>
        <rFont val="Arial"/>
        <family val="2"/>
      </rPr>
      <t>: 
Percent With 2nd Service Or Visit ≤ 14 Days</t>
    </r>
  </si>
  <si>
    <t>21+</t>
  </si>
  <si>
    <t>Number With 2nd Service Or Visit ≤ 14 Days</t>
  </si>
  <si>
    <t>Number With 2 Or More Services Or Visits ≤ 30 Days After Initiation</t>
  </si>
  <si>
    <t>18+</t>
  </si>
  <si>
    <t>Engagement:
Percent With 2 Or More Services Or Visits ≤ 30 Days After Initiation</t>
  </si>
  <si>
    <t>Numerator1</t>
  </si>
  <si>
    <t>Numerator2</t>
  </si>
  <si>
    <t>Rate1</t>
  </si>
  <si>
    <t>Rate2</t>
  </si>
  <si>
    <t>Initiation: 
Percent With 2nd Service Or Visit ≤ 14 Days</t>
  </si>
  <si>
    <t>4.1. Initiation and Engagement of Substance Abuse Treatment (By Age Group)</t>
  </si>
  <si>
    <t>4.1. Initiation and Engagement of Substance Abuse Treatment (By County, Ages 13+)</t>
  </si>
  <si>
    <t>Payer:</t>
  </si>
  <si>
    <t>County names and Uninsured Population automatically populate when LME-MCO name is entered in the Set-Up worksheet.</t>
  </si>
  <si>
    <t>Performance Measurement Reporting</t>
  </si>
  <si>
    <t>-MCO Quarterly Performance Measures</t>
  </si>
  <si>
    <t>MENT</t>
  </si>
  <si>
    <t>ment of Substance Abuse Treatment (By County, Ages 13+)</t>
  </si>
  <si>
    <t>-Medicaid (State and Federal Block Grant Funded)</t>
  </si>
  <si>
    <t>icaid Enrollees</t>
  </si>
  <si>
    <t>4.2. Initiation and Engagement of Mental Health Treatment (By Age Group)</t>
  </si>
  <si>
    <t>CONTINUITY OF CARE</t>
  </si>
  <si>
    <t>CRISIS AND INPATIENT SERVICES</t>
  </si>
  <si>
    <t>5.1 Short-Term Care In State Psychiatric Hospitals</t>
  </si>
  <si>
    <t>DMH/DD/SAS will calculate and report this measure from state psychiatric hospital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lengths of stay will be calculated and reported in groupings of 1-7 days, 8-30 days, 31-365 days, and over 365 days.  Data is reported by LME-MCO for all ages combined and is not reported by funding source.</t>
  </si>
  <si>
    <t>5.2 Crisis Care in Emergency Departments</t>
  </si>
  <si>
    <t>5.3  Length of Stay in Community Psychiatric Hospitals (Principal MH Diagnosis)</t>
  </si>
  <si>
    <t>Combined</t>
  </si>
  <si>
    <t>munity Psychiatric Hospitals (Principal MH Diagnosis)</t>
  </si>
  <si>
    <t>ERVICES</t>
  </si>
  <si>
    <t>5.4  Length of Stay in Community Psychiatric Hospitals (Principal SA Diagnosis)</t>
  </si>
  <si>
    <t>munity Psychiatric Hospitals (Principal SA Diagnosis)</t>
  </si>
  <si>
    <t>CRISIS AND INPATIENT</t>
  </si>
  <si>
    <t>5.5  Emergency Department Readmissions (Medicaid Only)</t>
  </si>
  <si>
    <t>nt Readmissions (Medicaid Only)</t>
  </si>
  <si>
    <t>1.1. Selective and Indicated SA Prevention Services</t>
  </si>
  <si>
    <t>Prevention and Early Intervention Indicators</t>
  </si>
  <si>
    <t>Timely Access To Care</t>
  </si>
  <si>
    <t>2.1. Urgent     2.2. Routine</t>
  </si>
  <si>
    <t>2.3.  Timely Support for Persons with IDD</t>
  </si>
  <si>
    <t>Penetration Rate Indicators</t>
  </si>
  <si>
    <t>3.2. Persons Served:  Uninsured Population</t>
  </si>
  <si>
    <t>3.1. Penetration: Medicaid Enrollees Served</t>
  </si>
  <si>
    <t>Timely Initiation and Engagement in Service</t>
  </si>
  <si>
    <t xml:space="preserve">4.1. Initiation and Engagement in SA Treatment     </t>
  </si>
  <si>
    <t>4.2  Initiation and Engagement in MH Treatment</t>
  </si>
  <si>
    <t>Crisis and Inpatient Services</t>
  </si>
  <si>
    <t>5.1.  Short Term Care In State Psychiatric Hospitals</t>
  </si>
  <si>
    <t>5.2. Crisis Care in Emergency Departments</t>
  </si>
  <si>
    <t>5.3.  LOS in Community Psych Hospitals (MH)</t>
  </si>
  <si>
    <t>5.4.  LOS in Community SA Facilities (SA)</t>
  </si>
  <si>
    <t>5.5. ED Readmissions within 30 Days</t>
  </si>
  <si>
    <t>5.6. State Hospital Readmissions within 30 days</t>
  </si>
  <si>
    <t>5.7. Community MH Inpatient Readmissions within 30 days</t>
  </si>
  <si>
    <t>5.8. State ADATC Readmissions within 30 days</t>
  </si>
  <si>
    <t>5.8. State ADATC Readmissions within 180 days</t>
  </si>
  <si>
    <t>5.6. State Hospital Readmissions within 180 days</t>
  </si>
  <si>
    <t>5.9. Community SA Inpatient Readmissions within 30 days</t>
  </si>
  <si>
    <t>Continuity of Care</t>
  </si>
  <si>
    <t>6.1. Follow-Up After Discharge: State Psychiatric Hospitals</t>
  </si>
  <si>
    <t>6.3. Follow-Up After Discharge: State ADATCs</t>
  </si>
  <si>
    <t>6.2. Follow-Up After Discharge: Community MH Inpatient</t>
  </si>
  <si>
    <t>6.4. Follow-Up After Discharge: Community SA Inpatient</t>
  </si>
  <si>
    <t>6.5. Follow-Up After Discharge: Community Crisis Service</t>
  </si>
  <si>
    <t>6.6.  Medical Care Coordination</t>
  </si>
  <si>
    <t>Hide</t>
  </si>
  <si>
    <t>Measures to Hide</t>
  </si>
  <si>
    <t>5.6 State Psychiatric Hospital Readmissions within 30 Days and 180 Days</t>
  </si>
  <si>
    <t>DMH/DD/SAS will calculate and report this measure from state psychiatric hospital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readmissions that occur within 30 days and within 180 days of discharge will be calculated and reported.  Data is reported by LME-MCO for all ages combined and is not reported by funding source.</t>
  </si>
  <si>
    <t>3.2 Persons Served:  Non-Medicaid (State and Federal Block Grant Funded)</t>
  </si>
  <si>
    <t>30-Day Readmissions:</t>
  </si>
  <si>
    <t>180-Day Readmissions:</t>
  </si>
  <si>
    <t>5.7.  Community Mental Health Inpatient Readmissions Within 30 Days (Ages 6+)</t>
  </si>
  <si>
    <t>5.7.  Community Mental Health Facility Based Crisis Readmissions Within 30 Days (Ages 6+)</t>
  </si>
  <si>
    <t>5.7.  Community Mental Health PRTF Readmissions Within 30 Days (Ages 6+)</t>
  </si>
  <si>
    <t>5.7.  Community Mental Health Combined Inpatient, FBC, and PRTF Readmissions Within 30 Days (Ages 6+) [Includes Cross-Overs Between Services]</t>
  </si>
  <si>
    <t>5.8 State ADATC Readmissions within 30 Days and 180 Days</t>
  </si>
  <si>
    <t>DMH/DD/SAS will calculate and report this measure from state Alcohol and Drug Abuse Treatment Center (ADATC) discharges that occur during the measurement quarter that fall within the responsibility of an LME-MCO to coordinate services.  Data will be extracted from HEARTS and analyzed for aftercare discharge LME-MCO, responsible county, county discharged to, discharge reason, discharge referral, and discharge living arrangement to determine whether to include or exclude the discharge.  For those included, the responsible LME-MCO will be identified, and readmissions that occur within 30 days and within 180 days of discharge will be calculated and reported.  Data is reported by LME-MCO for all ages combined and is not reported by funding source.</t>
  </si>
  <si>
    <t>5.9.  Community Substance Abuse Inpatient Readmissions Within 30 Days (Ages 6+)</t>
  </si>
  <si>
    <t>5.9.  Community Substance Abuse Detox/Facility Based Crisis Readmissions Within 30 Days (Ages 6+)</t>
  </si>
  <si>
    <t>5.9.  Community Substance Abuse Combined Inpatient and Detox/FBC Readmissions Within 30 Days (Ages 6+) [Includes Cross-Overs Between Services]</t>
  </si>
  <si>
    <t>6.1 Follow-Up After Discharge: State Psychiatric Hospitals</t>
  </si>
  <si>
    <t>0-7 Days</t>
  </si>
  <si>
    <t>8-30 Days</t>
  </si>
  <si>
    <t>Total Discharges</t>
  </si>
  <si>
    <t>Number of Days Following Discharge the Person Was Seen</t>
  </si>
  <si>
    <t>Not Seen*</t>
  </si>
  <si>
    <t>* Not Seen by the claims paid cutoff date for the measure.</t>
  </si>
  <si>
    <t>6.3 Follow-Up After Discharge: State Alcohol and Drug Abuse Treatment Centers (ADATCs)</t>
  </si>
  <si>
    <t>Total Number Received Outpatient Visit &gt; 30 days</t>
  </si>
  <si>
    <t>Total Number Not Seen*</t>
  </si>
  <si>
    <t>harge:  Community Mental Health Inpatient Treatment (Hospital, Ages 6+)</t>
  </si>
  <si>
    <t>6.2.   Follow-Up After Discharge:  Community Mental Health Inpatient Treatment (Hospital, Ages 6+)</t>
  </si>
  <si>
    <t>6.4.   Follow-Up After Discharge:  Community Substance Abuse Inpatient Treatment (Ages 6+)</t>
  </si>
  <si>
    <t>harge:  Community Substance Abuse Inpatient Treatment (Ages 6+)</t>
  </si>
  <si>
    <t>Table 3</t>
  </si>
  <si>
    <t>Detox and Facility Based Crisis (SA)</t>
  </si>
  <si>
    <t>Inpatient Hospital (SA)</t>
  </si>
  <si>
    <t>Combined Inpatient Hospital, Detox, and Facility Based Crisis (SA) (Including Crossovers Between Services)</t>
  </si>
  <si>
    <t>6.5.   Follow-Up After Discharge From A Community Crisis Service (Ages 6+)</t>
  </si>
  <si>
    <t>harge From A Community Crisis Service (Ages 6+)</t>
  </si>
  <si>
    <t>County names will automatically populate when LME-MCO name is entered in the Set-Up worksheet.</t>
  </si>
  <si>
    <t>ment of Substance Abuse Treatment (By Age Group)</t>
  </si>
  <si>
    <t>ment Mental Health Treatment (By Age Group)</t>
  </si>
  <si>
    <t>Total Number
Inpatient Days</t>
  </si>
  <si>
    <t>6.6 Medical Care Coordination (Medicaid Only)</t>
  </si>
  <si>
    <r>
      <t xml:space="preserve">This worksheet contains data validation and look-up lists used in the drop-down boxes and measures.  </t>
    </r>
    <r>
      <rPr>
        <b/>
        <sz val="12"/>
        <color rgb="FFFF0000"/>
        <rFont val="Arial"/>
        <family val="2"/>
      </rPr>
      <t>Please</t>
    </r>
    <r>
      <rPr>
        <b/>
        <sz val="12"/>
        <color theme="3" tint="-0.249977111117893"/>
        <rFont val="Arial"/>
        <family val="2"/>
      </rPr>
      <t xml:space="preserve"> </t>
    </r>
    <r>
      <rPr>
        <b/>
        <sz val="12"/>
        <color rgb="FFFF0000"/>
        <rFont val="Arial"/>
        <family val="2"/>
      </rPr>
      <t>DO NOT ALTER</t>
    </r>
    <r>
      <rPr>
        <b/>
        <sz val="12"/>
        <color theme="3" tint="-0.249977111117893"/>
        <rFont val="Arial"/>
        <family val="2"/>
      </rPr>
      <t>.</t>
    </r>
  </si>
  <si>
    <r>
      <rPr>
        <b/>
        <sz val="11"/>
        <color rgb="FFFF0000"/>
        <rFont val="Arial"/>
        <family val="2"/>
        <scheme val="minor"/>
      </rPr>
      <t>PLEASE DO NOT ALTER OR DELETE.</t>
    </r>
    <r>
      <rPr>
        <b/>
        <sz val="11"/>
        <color theme="1"/>
        <rFont val="Arial"/>
        <family val="2"/>
        <scheme val="minor"/>
      </rPr>
      <t xml:space="preserve">  </t>
    </r>
    <r>
      <rPr>
        <b/>
        <sz val="11"/>
        <color theme="3" tint="-0.249977111117893"/>
        <rFont val="Arial"/>
        <family val="2"/>
        <scheme val="minor"/>
      </rPr>
      <t xml:space="preserve">Measure 3.2 (Penetration) contains lookup formulas that use this worksheet to automatically enter uninsured population data. </t>
    </r>
  </si>
  <si>
    <t>Prior to the October 1, 2013 Merger of Western Highlands Network with Smoky Mountain Center</t>
  </si>
  <si>
    <t>After the October 1, 2013 Merger of Western Highlands Network with Smoky Mountain Center</t>
  </si>
  <si>
    <t>4.2. Initiation and Engagement of Mental Health Treatment (By County, Ages 3+)</t>
  </si>
  <si>
    <t>ment of Mental Health Treatment (By County, Ages 3+)</t>
  </si>
  <si>
    <t>3-17</t>
  </si>
  <si>
    <t>DMH/DD/SAS will calculate and report the number and percent of admissions to an emergency department during the measurement quarter that have a primary MH/IDD/SA diagnosis that have been reported by hospital and VA medical center emergency departments participating in the NC-DETECT system.  DMH/DD/SAS will report this measure by LME-MCO, by county, by age-disability group, and by sex.  This measure ignores payer.</t>
  </si>
  <si>
    <t>Number That Received At Least One Service</t>
  </si>
  <si>
    <t>Percent That Received At Least One Service</t>
  </si>
  <si>
    <t>DMH/DD/SAS will provide each LME-MCO an encrypted, password protected Excel file each quarter with data extracted from HEARTS containing State Psychiatric Hospital and Alcohol and Drug Abuse Treatment Center (ADATC) discharges that occurred during the measurement quarter that fall within the responsibility of an LME-MCO to coordinate services.  The file will include instructions for completing the report.  DMH/DD/SAS will analyze the data for aftercare discharge LME-MCO, responsible county, county discharged to, discharge reason, discharge referral, and discharge living arrangement to determine which discharges to include in the file.  The file will not include consumer names.  However it will include discharge dates and information to help the LME-MCO identify the individual and search its claims data to determine the date of first service following discharge.  Formulas in the worksheet will calculate the days category required to be reported in the measure (0-7 days, 8-30 days, over 30 days, and not seen), and a pivot table included in the file (when refreshed) will calculate the summary numbers the LME-MCO is to report.  Data for the measure combines discharges for all ages and funding sources.  The Excel file will contain data for completing measures 6.1 (Follow-Up After Discharge from State Psychiatric Hospitals) and 6.3 (Follow-Up After Discharge from State ADATCs).</t>
  </si>
  <si>
    <t>&gt;30 Days</t>
  </si>
  <si>
    <t>DMH/DD/SAS will provide each LME-MCO an encrypted, password protected Excel file each quarter with data extracted from HEARTS containing State Psychiatric Hospital and Alcohol and Drug Abuse Treatment Center (ADATC) discharges that occurred during the measurement quarter that fall within the responsibility of an LME-MCO to coordinate services.  The file will include instructions for completing the report.  DMH/DD/SAS will analyze the data for aftercare discharge LME-MCO, responsible county, county discharged to, discharge reason, discharge referral, and discharge living arrangement to determine which discharges to include in the file.  The file will not include consumer names.  However it will include discharge dates and information to help the LME-MCO identify the individual and search its claims data to determine the date of first service following discharge.  Formulas in the worksheet will calculate the days category required to be reported in the measure (0-7 days, 8-30 days, over 60 days, and not seen), and a pivot table included in the file (when refreshed) will calculate the summary numbers the LME-MCO is to report.  Data for the measure combines discharges for all ages and funding sources.  The Excel file will contain data for completing measures 6.1 (Follow-Up After Discharge from State Psychiatric Hospitals) and 6.3 (Follow-Up After Discharge from State ADATCs).</t>
  </si>
  <si>
    <t>Total Number Received Outpatient Visit 0 - 7 days</t>
  </si>
  <si>
    <t>Total Number Received Outpatient Visit 0 - 30 days</t>
  </si>
  <si>
    <t>Percent Received Outpatient Visit 0 - 7 Days</t>
  </si>
  <si>
    <t>Percent Received Outpatient Visit 0 - 30 Days</t>
  </si>
  <si>
    <t>Total Number Received Follow-Up &gt; 14 days</t>
  </si>
  <si>
    <t>Total Number 
Not Seen*</t>
  </si>
  <si>
    <t>Total Number Received Follow-Up Within 0-3 days</t>
  </si>
  <si>
    <t>Total Number Received Follow-Up Within 4-5 days</t>
  </si>
  <si>
    <t>Total Number Received Follow-Up Within 6-14 days</t>
  </si>
  <si>
    <t>Percent 
Received Follow-Up Within 0-3 Days</t>
  </si>
  <si>
    <t>Enter data for the measurement period in applicable yellow shaded cells.</t>
  </si>
  <si>
    <r>
      <t xml:space="preserve">Dates that display years will automatically update based on the SFY entered </t>
    </r>
    <r>
      <rPr>
        <sz val="10"/>
        <color indexed="12"/>
        <rFont val="Wingdings 3"/>
        <family val="1"/>
        <charset val="2"/>
      </rPr>
      <t>Æ</t>
    </r>
  </si>
  <si>
    <t>Total (3+)</t>
  </si>
  <si>
    <t>Other</t>
  </si>
  <si>
    <t>LME-MCO submits report data:</t>
  </si>
  <si>
    <t>The DMHDDSAS Performance Measure Report is published quarterly:</t>
  </si>
  <si>
    <t>DMHDDSAS Quarterly Performance Measure Report Schedule</t>
  </si>
  <si>
    <t>SFY2015 Non-Elderly Uninsured Population (Performance Measure Age Groups)</t>
  </si>
  <si>
    <t>July 2014 Population Estimate</t>
  </si>
  <si>
    <t>July 2014 Uninsured Population</t>
  </si>
  <si>
    <t>Population Data Source:  NC Office of State Budget and Management (OSBM) website.  http://www.osbm.state.nc.us/demog/countytotals_singleage_2014.html.  Last updated:  4/24/14    Downloaded: 5/9/14.</t>
  </si>
  <si>
    <t>(Based on NC OSBM July 2014 Population and Most Recent Available NC IOM Uninsured Estimates (2011, published Jan 2013)</t>
  </si>
  <si>
    <t>July 2014 LME-MCO Configuration</t>
  </si>
  <si>
    <t>SA_Prevention_Pop_2014            1</t>
  </si>
  <si>
    <t>July 2014</t>
  </si>
  <si>
    <t>SA_Prevention_Pop_2015            1</t>
  </si>
  <si>
    <t>1st Quarter</t>
  </si>
  <si>
    <t>LME-MCOs will provide data on calls to the LME-MCO's call center(s) requesting MH/DD/SA services that were in need of routine care and the number that received a face-to-face service within 14 calendar days of the request for care and the average days from screening until the person was seen for those who received a routine service on a form provided by DMH/DD/SAS.  Form and instructions are published on the DMH/DD/SAS website: http://www.ncdhhs.gov/mhddsas/statspublications/Forms/index.htm.</t>
  </si>
  <si>
    <t>Includes former Western Highlands Network counties.</t>
  </si>
  <si>
    <t>County_Lookup_MC  (Used to automatically list counties for Medicaid measures that do not allow an "Other" county)</t>
  </si>
  <si>
    <t>County_Lookup  (Used to automatically list counties and include "Other" county)</t>
  </si>
  <si>
    <t>Note:  The sum of the numbers in column B + column C + column D should equal the number in column F.</t>
  </si>
  <si>
    <t>Note:  The sum of the numbers in column I + column J + column K should equal the number in column M.</t>
  </si>
  <si>
    <t>Note:  The sum of the numbers in column P + column Q + column R should equal the number in column T.</t>
  </si>
  <si>
    <t>Note:  The sum of the numbers in column C + column D + column E should equal total discharges in column F.</t>
  </si>
  <si>
    <t>Note:  The sum of the numbers in column J + column K + column L should equal total discharges in column M.</t>
  </si>
  <si>
    <t>Note:  The sum of the numbers in column Q + column R + column S should equal total discharges in column T.</t>
  </si>
  <si>
    <t>Due To DMH/DD/SAS*</t>
  </si>
  <si>
    <t>* If the due date falls on a weekend or holiday, adjust the date due to the next workday.</t>
  </si>
  <si>
    <t>Cardinal Innovations - MeckLINK</t>
  </si>
  <si>
    <t>Does not include the former MeckLINK BH (merged 4/1/14).  MeckLINK is reported separately below.</t>
  </si>
  <si>
    <t>Includes the former MeckLINK BH (merged 4/1/14).</t>
  </si>
  <si>
    <t>Trillium Health Resources</t>
  </si>
  <si>
    <t>Replaces ECBH and CoastalCare 7/1/15</t>
  </si>
  <si>
    <t>SA_Prevention_Pop_2016            1</t>
  </si>
  <si>
    <t>July 2015</t>
  </si>
  <si>
    <t>Total
Population</t>
  </si>
  <si>
    <t>Uninsured Children (Ages 3-17)</t>
  </si>
  <si>
    <t>Uninsured NonElderly Adults (Ages 18-20)</t>
  </si>
  <si>
    <t>Uninsured NonElderly Adults (Ages 21-64)</t>
  </si>
  <si>
    <t>Total Uninsured NonElderly Population (Ages 3-64)</t>
  </si>
  <si>
    <t>July 2015 Population Estimate</t>
  </si>
  <si>
    <t>July 2015 Estimated Uninsured Population</t>
  </si>
  <si>
    <t>SFY2016 Non-Elderly Uninsured Population (Performance Measure Age Groups)</t>
  </si>
  <si>
    <r>
      <t>Footnotes and columns indicated are linked to the "</t>
    </r>
    <r>
      <rPr>
        <b/>
        <sz val="11"/>
        <color theme="3" tint="-0.249977111117893"/>
        <rFont val="Arial"/>
        <family val="2"/>
        <scheme val="minor"/>
      </rPr>
      <t>Results By County"</t>
    </r>
    <r>
      <rPr>
        <sz val="11"/>
        <color theme="3" tint="-0.249977111117893"/>
        <rFont val="Arial"/>
        <family val="2"/>
        <scheme val="minor"/>
      </rPr>
      <t xml:space="preserve"> worksheet.</t>
    </r>
  </si>
  <si>
    <t>Linked</t>
  </si>
  <si>
    <t>2013 Percent Uninsured</t>
  </si>
  <si>
    <t>Children
UnInsured
(Ages 0-18)</t>
  </si>
  <si>
    <t>Adults
UnInsured
(Ages 18-64)</t>
  </si>
  <si>
    <t>NonElderly
UnInsured
(Ages 0-64)</t>
  </si>
  <si>
    <t>(Based on NC OSBM July 2015 Population and Most Recent Available US Census Bureau SAHIE 2013 Uninsured Estimates, 
published March 2015, downloaded 6/16/15)</t>
  </si>
  <si>
    <r>
      <t xml:space="preserve">● </t>
    </r>
    <r>
      <rPr>
        <b/>
        <sz val="11"/>
        <color theme="1"/>
        <rFont val="Arial"/>
        <family val="2"/>
        <scheme val="minor"/>
      </rPr>
      <t>Population Data Source:</t>
    </r>
    <r>
      <rPr>
        <sz val="10"/>
        <rFont val="Arial"/>
        <family val="2"/>
      </rPr>
      <t xml:space="preserve">  NC Office of State Budget and Management (OSBM) website.  http://www.osbm.state.nc.us/demog/countytotals_singleage_2015.html.  Last updated:  10/13/14    Downloaded: 5/6/15.</t>
    </r>
  </si>
  <si>
    <r>
      <t xml:space="preserve">● </t>
    </r>
    <r>
      <rPr>
        <b/>
        <sz val="11"/>
        <color theme="1"/>
        <rFont val="Arial"/>
        <family val="2"/>
        <scheme val="minor"/>
      </rPr>
      <t xml:space="preserve">NC County-Level Estimates of Non-Elderly Uninsured: </t>
    </r>
    <r>
      <rPr>
        <sz val="10"/>
        <rFont val="Arial"/>
        <family val="2"/>
      </rPr>
      <t xml:space="preserve"> Model-based Small Area Health Insurance Estimates (SAHIE) for Counties and States 2013. Produced by the U.S. Census Bureau/Small Area Health Insurance (SAHIE) Program/March 2015 (http://www.census.gov/did/www/sahie/data/20082013/index.html) Downloaded 6/16/15.</t>
    </r>
  </si>
  <si>
    <r>
      <rPr>
        <b/>
        <sz val="11"/>
        <color theme="1"/>
        <rFont val="Arial"/>
        <family val="2"/>
        <scheme val="minor"/>
      </rPr>
      <t xml:space="preserve">Urban vs. Rural Counties: </t>
    </r>
    <r>
      <rPr>
        <sz val="11"/>
        <rFont val="Arial"/>
        <family val="2"/>
      </rPr>
      <t xml:space="preserve"> The methodology for designating Urban and Rural counties has changed.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February 2013 delineations, http://www.census.gov/population/metro/data/def.html, Internet Release Date: March 2013, Downloaded 10/22/14. </t>
    </r>
  </si>
  <si>
    <r>
      <rPr>
        <b/>
        <sz val="11"/>
        <color theme="1"/>
        <rFont val="Arial"/>
        <family val="2"/>
        <scheme val="minor"/>
      </rPr>
      <t>NC County-Level Estimates of Non-Elderly Uninsured:</t>
    </r>
    <r>
      <rPr>
        <sz val="11"/>
        <rFont val="Arial"/>
        <family val="2"/>
      </rPr>
      <t xml:space="preserve">  Model-based Small Area Health Insurance Estimates (SAHIE) for Counties and States 2013. Produced by the U.S. Census Bureau/Small Area Health Insurance (SAHIE) Program/March 2015 (http://www.census.gov/did/www/sahie/data/20082013/index.html) Downloaded 6/16/15.</t>
    </r>
  </si>
  <si>
    <r>
      <rPr>
        <b/>
        <sz val="11"/>
        <color theme="1"/>
        <rFont val="Arial"/>
        <family val="2"/>
        <scheme val="minor"/>
      </rPr>
      <t>Population Data Source:</t>
    </r>
    <r>
      <rPr>
        <sz val="11"/>
        <rFont val="Arial"/>
        <family val="2"/>
      </rPr>
      <t xml:space="preserve">  NC Office of State Budget and Management (OSBM) website.  http://www.osbm.state.nc.us/demog/countytotals_singleage_2015.html.  Last updated:  10/13/14    Downloaded: 5/6/15.</t>
    </r>
  </si>
  <si>
    <r>
      <rPr>
        <sz val="11"/>
        <color theme="1"/>
        <rFont val="Arial"/>
        <family val="2"/>
      </rPr>
      <t xml:space="preserve">● </t>
    </r>
    <r>
      <rPr>
        <b/>
        <sz val="11"/>
        <color theme="1"/>
        <rFont val="Arial"/>
        <family val="2"/>
      </rPr>
      <t>Number of Uninsured:</t>
    </r>
    <r>
      <rPr>
        <b/>
        <sz val="10"/>
        <color theme="1"/>
        <rFont val="Arial"/>
        <family val="2"/>
      </rPr>
      <t xml:space="preserve"> </t>
    </r>
    <r>
      <rPr>
        <sz val="10"/>
        <color theme="1"/>
        <rFont val="Arial"/>
        <family val="2"/>
        <scheme val="minor"/>
      </rPr>
      <t>Applied the SAHIE 2013 percentages of non-elderly uninsured by county to the July 2015 population by county for each age group and total to calculate the estimated number of non-elderly uninsured by age group at the beginning of SFY2016.</t>
    </r>
  </si>
  <si>
    <t>Number Of ED Admissions</t>
  </si>
  <si>
    <t>Number That Are Readmissions
≤ 30 Days</t>
  </si>
  <si>
    <t>Percent That Are Readmissions
≤ 30 Days</t>
  </si>
  <si>
    <t>Number Continuously Enrolled Persons That Received ≥1 MH/SA Service During The Measurement Period</t>
  </si>
  <si>
    <t>Percent Of Members Receiving MH/SA Services That Received An Ambulatory Or Preventive Care Visit</t>
  </si>
  <si>
    <t>Number Continuously Enrolled Persons That Received ≥1 IDD Service During The Measurement Period</t>
  </si>
  <si>
    <t>Percent Of Members Receiving IDD Services That Received An Ambulatory Or Preventive Care Visit</t>
  </si>
  <si>
    <t>MH/SA
Ages 3-17</t>
  </si>
  <si>
    <t>MH/SA
Ages 18-20</t>
  </si>
  <si>
    <t>MH/SA
Ages 21+</t>
  </si>
  <si>
    <t>MH/SA
Ages 18+</t>
  </si>
  <si>
    <t>MH/SA
Total (Ages 3+)</t>
  </si>
  <si>
    <t>IDD
Ages 3-17</t>
  </si>
  <si>
    <t>IDD
Ages 18-20</t>
  </si>
  <si>
    <t>IDD
Ages 21+</t>
  </si>
  <si>
    <t>IDD
Ages 18+</t>
  </si>
  <si>
    <t>IDD
Total (Ages 3+)</t>
  </si>
  <si>
    <t>MH/IDD/SA
Ages 3-17</t>
  </si>
  <si>
    <t>MH/IDD/SA
Ages 18-20</t>
  </si>
  <si>
    <t>MH/IDD/SA
Ages 21+</t>
  </si>
  <si>
    <t>MH/IDD/SA
Ages 18+</t>
  </si>
  <si>
    <t>MH/IDD/SA
Total (Ages 3+)</t>
  </si>
  <si>
    <t>ation (Medicaid Only)</t>
  </si>
  <si>
    <r>
      <t>Columns indicated are linked to the "</t>
    </r>
    <r>
      <rPr>
        <b/>
        <sz val="11"/>
        <color theme="3" tint="-0.249977111117893"/>
        <rFont val="Arial"/>
        <family val="2"/>
        <scheme val="minor"/>
      </rPr>
      <t>Results By County"</t>
    </r>
    <r>
      <rPr>
        <sz val="11"/>
        <color theme="3" tint="-0.249977111117893"/>
        <rFont val="Arial"/>
        <family val="2"/>
        <scheme val="minor"/>
      </rPr>
      <t xml:space="preserve"> worksheet.</t>
    </r>
  </si>
  <si>
    <t>Formula</t>
  </si>
  <si>
    <t>SFY2017 Non-Elderly Uninsured Population (Performance Measure Age Groups)</t>
  </si>
  <si>
    <t>July 2016 Population Estimate</t>
  </si>
  <si>
    <t>2014 Percent Uninsured</t>
  </si>
  <si>
    <t>July 2016 Estimated Uninsured Population</t>
  </si>
  <si>
    <r>
      <rPr>
        <b/>
        <sz val="11"/>
        <color theme="1"/>
        <rFont val="Arial"/>
        <family val="2"/>
        <scheme val="minor"/>
      </rPr>
      <t>Population Data Source:</t>
    </r>
    <r>
      <rPr>
        <sz val="10"/>
        <rFont val="Arial"/>
      </rPr>
      <t xml:space="preserve">  NC Office of State Budget and Management (OSBM) website.  http://www.osbm.state.nc.us/demog/countytotals_singleage_2016.html.  Last updated 10/8/15.  Downloaded 2/23/16.</t>
    </r>
  </si>
  <si>
    <r>
      <rPr>
        <b/>
        <sz val="11"/>
        <color theme="1"/>
        <rFont val="Arial"/>
        <family val="2"/>
        <scheme val="minor"/>
      </rPr>
      <t>NC County-Level Estimates of Non-Elderly Uninsured:</t>
    </r>
    <r>
      <rPr>
        <sz val="10"/>
        <rFont val="Arial"/>
      </rPr>
      <t xml:space="preserve">  Model-based Small Area Health Insurance Estimates (SAHIE) for Counties and States 2014. Produced by the U.S. Census Bureau/Small Area Health Insurance (SAHIE) Program/May 2016 (http://www.census.gov/did/www/sahie/data/20082014/index.html) Downloaded 6/23/16.</t>
    </r>
  </si>
  <si>
    <t>SFY2017 Estimate of Non-Elderly Uninsured Population By LME-MCO and County</t>
  </si>
  <si>
    <t>(Based on NC OSBM July 2016 Population Estimates at the beginning of the SFY 
and the most current US Census Bureau SAHIE 2014 Uninsured Estimates, published May 2016)</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</si>
  <si>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2014 percentages of non-elderly uninsured by county to the July 2016 population by county for each age group and total to calculate the estimated number of non-elderly uninsured by age group at the beginning of SFY2017.</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</si>
  <si>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http://www.osbm.state.nc.us/demog/countytotals_singleage_2016.html.  Last updated:  10/8/15    Downloaded: 2/23/16.</t>
    </r>
  </si>
  <si>
    <r>
      <t xml:space="preserve">● </t>
    </r>
    <r>
      <rPr>
        <b/>
        <sz val="10"/>
        <color theme="1"/>
        <rFont val="Arial"/>
        <family val="2"/>
        <scheme val="minor"/>
      </rPr>
      <t xml:space="preserve">NC County-Level Estimates of Non-Elderly Uninsured: </t>
    </r>
    <r>
      <rPr>
        <sz val="10"/>
        <color theme="1"/>
        <rFont val="Arial"/>
        <family val="2"/>
        <scheme val="minor"/>
      </rPr>
      <t xml:space="preserve"> Model-based Small Area Health Insurance Estimates (SAHIE) for Counties and States 2014. Produced by the U.S. Census Bureau/Small Area Health Insurance (SAHIE) Program / May 2016 (http://www.census.gov/did/www/sahie/data/20082014/index.html) Downloaded 6/23/16.</t>
    </r>
  </si>
  <si>
    <r>
      <rPr>
        <b/>
        <sz val="11"/>
        <color theme="1"/>
        <rFont val="Arial"/>
        <family val="2"/>
        <scheme val="minor"/>
      </rPr>
      <t xml:space="preserve">Urban vs. Rural Counties: </t>
    </r>
    <r>
      <rPr>
        <sz val="10"/>
        <rFont val="Arial"/>
      </rPr>
      <t xml:space="preserve"> The methodology for designating Urban and Rural counties changed October 2014.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July 2015 delineations, http://www.census.gov/population/metro/data/def.html, Internet Release Date: April 2016, Downloaded 7/15/16. </t>
    </r>
  </si>
  <si>
    <t>SFY2016 Estimate of Non-Elderly Uninsured Population By LME-MCO and County</t>
  </si>
  <si>
    <t>SFY2015 Estimate of Non-Elderly Uninsured Population By LME-MCO and County</t>
  </si>
  <si>
    <t>SFY2014 Estimate of Non-Elderly Uninsured Population By LME-MCO and County</t>
  </si>
  <si>
    <t>Vaya Health</t>
  </si>
  <si>
    <t>SA_Prevention_Pop_2017            1</t>
  </si>
  <si>
    <t>July 2016</t>
  </si>
  <si>
    <t>Includes the former CenterPoint (merged 7/1/16).</t>
  </si>
  <si>
    <t>Reflects name change (formerly Smoky Mountain Center) 9/16/16</t>
  </si>
  <si>
    <t>SA_Prevention_Pop_2018            1</t>
  </si>
  <si>
    <t>July 2017</t>
  </si>
  <si>
    <t>DMH/DD/SAS will extract summary data from the Semi-Annual SAPTBG reports on the number of youth who completed an evidence-based "Selective" or "Indicated" Substance Abuse Prevention Program (by LME-MCO and program) during the moving one-year measurement period and will calculate this performance measure. LME-MCO can use this template to internally produce results for this measure.  Population and "At Risk" numbers self-populate based on LME-MCO name entered in the Set-Up Worksheet and the SA Prevention Population table in the Data Validation Worksheet.</t>
  </si>
  <si>
    <t>SFY2018 Non-Elderly Uninsured Population (Performance Measure Age Groups)</t>
  </si>
  <si>
    <t>July 2017 Population Estimate</t>
  </si>
  <si>
    <t>2015 Percent Uninsured</t>
  </si>
  <si>
    <t>July 2017 Estimated Uninsured Population</t>
  </si>
  <si>
    <r>
      <rPr>
        <b/>
        <sz val="11"/>
        <color theme="1"/>
        <rFont val="Arial"/>
        <family val="2"/>
        <scheme val="minor"/>
      </rPr>
      <t>Population Data Source:</t>
    </r>
    <r>
      <rPr>
        <sz val="10"/>
        <rFont val="Arial"/>
      </rPr>
      <t xml:space="preserve">  NC Office of State Budget and Management (OSBM) website (https://ncosbm.s3.amazonaws.com/s3fs-public/demog/countytotals_singleage_2017.html).  Last updated 9/19/16.  Downloaded 4/17/17.</t>
    </r>
  </si>
  <si>
    <r>
      <rPr>
        <b/>
        <sz val="11"/>
        <color theme="1"/>
        <rFont val="Arial"/>
        <family val="2"/>
        <scheme val="minor"/>
      </rPr>
      <t>NC County-Level Estimates of Non-Elderly Uninsured:</t>
    </r>
    <r>
      <rPr>
        <sz val="10"/>
        <rFont val="Arial"/>
      </rPr>
      <t xml:space="preserve">  Model-based Small Area Health Insurance Estimates (SAHIE) for Counties and States 2015. Produced by the U.S. Census Bureau/Small Area Health Insurance (SAHIE) Program. Internet Release Date: 3/27/17. (https://www.census.gov/did/www/sahie/data/20082015/index.html). Downloaded 4/18/17.</t>
    </r>
  </si>
  <si>
    <t>SFY2018 Estimate of Non-Elderly Uninsured Population By LME-MCO and County</t>
  </si>
  <si>
    <t>(Based on NC OSBM July 2017 Population Estimates at the beginning of the SFY 
and the most current US Census Bureau SAHIE 2015 Uninsured Estimates, published March 2017)</t>
  </si>
  <si>
    <t>Uninsured NonElderly Adults (Ages 18-64)</t>
  </si>
  <si>
    <t>Total Uninsured NonElderly Population 
(Ages 3-64)</t>
  </si>
  <si>
    <t>Sum of Cols B+E</t>
  </si>
  <si>
    <t>Difference (Col H-F)</t>
  </si>
  <si>
    <r>
      <rPr>
        <sz val="10"/>
        <color theme="1"/>
        <rFont val="Arial"/>
        <family val="2"/>
      </rPr>
      <t xml:space="preserve">● </t>
    </r>
    <r>
      <rPr>
        <b/>
        <sz val="10"/>
        <color theme="1"/>
        <rFont val="Arial"/>
        <family val="2"/>
      </rPr>
      <t xml:space="preserve">Number of Uninsured: </t>
    </r>
    <r>
      <rPr>
        <sz val="10"/>
        <color theme="1"/>
        <rFont val="Arial"/>
        <family val="2"/>
        <scheme val="minor"/>
      </rPr>
      <t>Applied the SAHIE 2015 percentages of non-elderly uninsured by county to the July 2017 population by county for each age group and total to calculate the estimated number of non-elderly uninsured by age group at the beginning of SFY2018.</t>
    </r>
  </si>
  <si>
    <r>
      <t xml:space="preserve">● </t>
    </r>
    <r>
      <rPr>
        <b/>
        <sz val="10"/>
        <color theme="1"/>
        <rFont val="Arial"/>
        <family val="2"/>
        <scheme val="minor"/>
      </rPr>
      <t>Population Data Source:</t>
    </r>
    <r>
      <rPr>
        <sz val="10"/>
        <color theme="1"/>
        <rFont val="Arial"/>
        <family val="2"/>
        <scheme val="minor"/>
      </rPr>
      <t xml:space="preserve">  NC Office of State Budget and Management (OSBM) website. 
(https://ncosbm.s3.amazonaws.com/s3fs-public/demog/countytotals_singleage_2017.html).  Last updated 9/19/16.  Downloaded 4/17/17. </t>
    </r>
  </si>
  <si>
    <r>
      <t xml:space="preserve">● </t>
    </r>
    <r>
      <rPr>
        <b/>
        <sz val="10"/>
        <color theme="1"/>
        <rFont val="Arial"/>
        <family val="2"/>
        <scheme val="minor"/>
      </rPr>
      <t xml:space="preserve">NC County-Level Estimates of Non-Elderly Uninsured:  </t>
    </r>
    <r>
      <rPr>
        <sz val="10"/>
        <color theme="1"/>
        <rFont val="Arial"/>
        <family val="2"/>
        <scheme val="minor"/>
      </rPr>
      <t xml:space="preserve">Model-based Small Area Health Insurance Estimates (SAHIE) for Counties and States 2015. Produced by the U.S. Census Bureau/Small Area Health Insurance (SAHIE) Program. Internet Release Date: 3/27/17. (https://www.census.gov/did/www/sahie/data/20082015/index.html). Downloaded 4/18/17. </t>
    </r>
  </si>
  <si>
    <r>
      <rPr>
        <b/>
        <sz val="11"/>
        <color theme="1"/>
        <rFont val="Arial"/>
        <family val="2"/>
        <scheme val="minor"/>
      </rPr>
      <t xml:space="preserve">Urban vs. Rural Counties: </t>
    </r>
    <r>
      <rPr>
        <sz val="10"/>
        <rFont val="Arial"/>
      </rPr>
      <t xml:space="preserve"> The methodology for designating Urban and Rural counties has changed.  Prior to October 2014, it was based on population density following the NC Rural Economic Development Center guidelines (now the NC Rural Center).  In October 2014, the methodology was changed to follow the United States Office of Management and Budget (OMB) designations.  US OMB delineates metropolitan and micropolitan statistical areas and designates counties as Metropolitan, Micropolitan, or Neither according to published standards that are applied to Census Bureau data.  The general concept of a metropolitan or micropolitan statistical area is that of a core area containing a substantial population nucleus, together with adjacent communities having a high degree of economic and social integration with that core.   A Metropolitan area contains a core urban area of 50,000 or more population.  OMB considers all counties that are part of a Metropolitan Statistical Area (MSA) to be urban and all counties that are not part of an MSA to be rural.  In NC there are 46 metropolitan (urban) counties and 54 non-metropolitan (rural) counties.  The above table shows the counties that are designated as metropolitan (urban) and non-metropolitan (rural).   Source: U.S. Census Bureau, Population Division; Office of Management and Budget, July 2015 delineations, http://www.census.gov/population/metro/data/def.html, Internet Release Date: April 2016, Downloaded 7/15/16. [Still the most recently published delineation as of 9/20/17]</t>
    </r>
  </si>
  <si>
    <t>Eastpointe (SFY18 Q1 only)</t>
  </si>
  <si>
    <t>Trillium Health Resources (SFY18 Q1 only)</t>
  </si>
  <si>
    <t>2.1 Timely Emergent Care:  Appointments Kept</t>
  </si>
  <si>
    <t>LME-MCOs will provide data on calls to the LME-MCO's call center(s) requesting MH/DD/SA services that were in need of emergent care and the number that received a face-to-face service within 2 hours and 15 minutes of the request for care on a form provided by DMH/DD/SAS.  Form and instructions are published on the DMH/DD/SAS website: http://www.ncdhhs.gov/mhddsas/statspublications/Forms/index.htm.</t>
  </si>
  <si>
    <t>2.2 Timely Urgent Care:  Appointments Kept</t>
  </si>
  <si>
    <t>2.4 Timely Support For Persons With Intellectual or Developmental Disabilities</t>
  </si>
  <si>
    <t>2.3 Timely Routine Care:  Appointments Kept</t>
  </si>
  <si>
    <t>LME-MCOs will provide data on calls to the LME-MCO's call center(s) requesting MH/DD/SA services that were in need of urgent care and the number that received a face-to-face service within 2 calendar days of the request for care on a form provided by DMH/DD/SAS.  Form and instructions are published on the DMH/DD/SAS website: http://www.ncdhhs.gov/mhddsas/statspublications/Forms/index.htm.</t>
  </si>
  <si>
    <t>Number That Received A Billable Service Within 45 Days Of ISP Approval/ PCP Completion</t>
  </si>
  <si>
    <t>Number with IDD Entering Service During The Measurement Period</t>
  </si>
  <si>
    <t>Percent That Received A Billable Service Within 45 Days Of ISP Approval/ PCP Completion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</si>
</sst>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409]mmmm\ d\,\ yyyy;@"/>
    <numFmt numFmtId="165" formatCode="0.0%"/>
    <numFmt numFmtId="166" formatCode="#,##0.0"/>
    <numFmt numFmtId="167" formatCode="_(* #,##0_);_(* \(#,##0\);_(* &quot;-&quot;??_);_(@_)"/>
  </numFmts>
  <fonts count="61" x14ac:knownFonts="1">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8"/>
      <name val="Arial"/>
      <family val="2"/>
    </font>
    <font>
      <sz val="12"/>
      <name val="Arial"/>
      <family val="2"/>
    </font>
    <font>
      <sz val="10"/>
      <name val="Arial"/>
      <family val="2"/>
    </font>
    <font>
      <b/>
      <sz val="10"/>
      <name val="Arial"/>
      <family val="2"/>
    </font>
    <font>
      <b/>
      <sz val="12"/>
      <name val="Arial"/>
      <family val="2"/>
      <scheme val="minor"/>
    </font>
    <font>
      <sz val="12"/>
      <name val="Arial"/>
      <family val="2"/>
      <scheme val="minor"/>
    </font>
    <font>
      <b/>
      <sz val="24"/>
      <name val="Arial"/>
      <family val="2"/>
      <scheme val="minor"/>
    </font>
    <font>
      <b/>
      <i/>
      <sz val="12"/>
      <name val="Arial"/>
      <family val="2"/>
      <scheme val="minor"/>
    </font>
    <font>
      <sz val="10"/>
      <name val="Arial"/>
      <family val="2"/>
      <scheme val="minor"/>
    </font>
    <font>
      <vertAlign val="superscript"/>
      <sz val="10"/>
      <name val="Arial"/>
      <family val="2"/>
      <scheme val="minor"/>
    </font>
    <font>
      <b/>
      <sz val="16"/>
      <name val="Arial"/>
      <family val="2"/>
      <scheme val="minor"/>
    </font>
    <font>
      <sz val="10"/>
      <color theme="3" tint="-0.249977111117893"/>
      <name val="Arial"/>
      <family val="2"/>
      <scheme val="minor"/>
    </font>
    <font>
      <sz val="11"/>
      <color theme="3" tint="-0.249977111117893"/>
      <name val="Arial"/>
      <family val="2"/>
      <scheme val="minor"/>
    </font>
    <font>
      <sz val="10"/>
      <color theme="3" tint="-0.249977111117893"/>
      <name val="Arial"/>
      <family val="2"/>
    </font>
    <font>
      <b/>
      <sz val="10"/>
      <name val="Arial"/>
      <family val="2"/>
      <scheme val="minor"/>
    </font>
    <font>
      <sz val="10"/>
      <name val="Wingdings 3"/>
      <family val="1"/>
      <charset val="2"/>
    </font>
    <font>
      <sz val="10"/>
      <color theme="3" tint="-0.249977111117893"/>
      <name val="Wingdings 3"/>
      <family val="1"/>
      <charset val="2"/>
    </font>
    <font>
      <sz val="11"/>
      <name val="Arial"/>
      <family val="2"/>
    </font>
    <font>
      <sz val="8"/>
      <color indexed="81"/>
      <name val="Tahoma"/>
      <family val="2"/>
    </font>
    <font>
      <b/>
      <sz val="12"/>
      <name val="Arial"/>
      <family val="2"/>
    </font>
    <font>
      <sz val="10"/>
      <color indexed="12"/>
      <name val="Arial"/>
      <family val="2"/>
    </font>
    <font>
      <sz val="10"/>
      <color indexed="12"/>
      <name val="Wingdings 3"/>
      <family val="1"/>
      <charset val="2"/>
    </font>
    <font>
      <b/>
      <sz val="10"/>
      <color indexed="12"/>
      <name val="Arial"/>
      <family val="2"/>
    </font>
    <font>
      <b/>
      <sz val="10"/>
      <color theme="1"/>
      <name val="Arial"/>
      <family val="2"/>
    </font>
    <font>
      <b/>
      <sz val="8"/>
      <color indexed="81"/>
      <name val="Tahoma"/>
      <family val="2"/>
    </font>
    <font>
      <b/>
      <sz val="12"/>
      <color theme="3" tint="-0.249977111117893"/>
      <name val="Arial"/>
      <family val="2"/>
    </font>
    <font>
      <sz val="11"/>
      <color theme="1"/>
      <name val="Arial"/>
      <family val="2"/>
      <scheme val="minor"/>
    </font>
    <font>
      <b/>
      <sz val="14"/>
      <color theme="1"/>
      <name val="Arial"/>
      <family val="2"/>
      <scheme val="minor"/>
    </font>
    <font>
      <b/>
      <sz val="11"/>
      <color theme="1"/>
      <name val="Arial"/>
      <family val="2"/>
      <scheme val="minor"/>
    </font>
    <font>
      <sz val="11"/>
      <name val="Arial"/>
      <family val="2"/>
      <scheme val="minor"/>
    </font>
    <font>
      <sz val="12"/>
      <color theme="1"/>
      <name val="Arial"/>
      <family val="2"/>
      <scheme val="minor"/>
    </font>
    <font>
      <b/>
      <sz val="12"/>
      <color indexed="56"/>
      <name val="Arial"/>
      <family val="2"/>
    </font>
    <font>
      <sz val="12"/>
      <color theme="3" tint="-0.249977111117893"/>
      <name val="Arial"/>
      <family val="2"/>
      <scheme val="minor"/>
    </font>
    <font>
      <sz val="10"/>
      <color indexed="81"/>
      <name val="Tahoma"/>
      <family val="2"/>
    </font>
    <font>
      <sz val="11"/>
      <color theme="0"/>
      <name val="Arial"/>
      <family val="2"/>
      <scheme val="minor"/>
    </font>
    <font>
      <b/>
      <u/>
      <sz val="10"/>
      <name val="Arial"/>
      <family val="2"/>
    </font>
    <font>
      <b/>
      <sz val="11"/>
      <name val="Arial"/>
      <family val="2"/>
    </font>
    <font>
      <b/>
      <u/>
      <sz val="8"/>
      <color indexed="81"/>
      <name val="Tahoma"/>
      <family val="2"/>
    </font>
    <font>
      <b/>
      <sz val="12"/>
      <color rgb="FFFF0000"/>
      <name val="Arial"/>
      <family val="2"/>
    </font>
    <font>
      <b/>
      <sz val="11"/>
      <color rgb="FFFF0000"/>
      <name val="Arial"/>
      <family val="2"/>
      <scheme val="minor"/>
    </font>
    <font>
      <b/>
      <sz val="11"/>
      <color theme="3" tint="-0.249977111117893"/>
      <name val="Arial"/>
      <family val="2"/>
      <scheme val="minor"/>
    </font>
    <font>
      <b/>
      <sz val="10"/>
      <color theme="3" tint="-0.249977111117893"/>
      <name val="Arial"/>
      <family val="2"/>
    </font>
    <font>
      <sz val="10"/>
      <name val="Arial"/>
      <family val="2"/>
    </font>
    <font>
      <b/>
      <sz val="14"/>
      <name val="Arial"/>
      <family val="2"/>
    </font>
    <font>
      <sz val="11"/>
      <color theme="1"/>
      <name val="Arial"/>
      <family val="2"/>
    </font>
    <font>
      <b/>
      <sz val="11"/>
      <color theme="1"/>
      <name val="Arial"/>
      <family val="2"/>
    </font>
    <font>
      <sz val="10"/>
      <color theme="1"/>
      <name val="Arial"/>
      <family val="2"/>
      <scheme val="minor"/>
    </font>
    <font>
      <sz val="11"/>
      <color theme="3"/>
      <name val="Arial"/>
      <family val="2"/>
      <scheme val="minor"/>
    </font>
    <font>
      <b/>
      <sz val="10"/>
      <color theme="1"/>
      <name val="Arial"/>
      <family val="2"/>
      <scheme val="minor"/>
    </font>
  </fonts>
  <fills count="1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46"/>
        <bgColor indexed="64"/>
      </patternFill>
    </fill>
    <fill>
      <patternFill patternType="solid">
        <fgColor rgb="FF99CCFF"/>
        <bgColor indexed="64"/>
      </patternFill>
    </fill>
    <fill>
      <patternFill patternType="solid">
        <fgColor theme="6" tint="-0.249977111117893"/>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bgColor indexed="64"/>
      </patternFill>
    </fill>
  </fills>
  <borders count="1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22"/>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22"/>
      </bottom>
      <diagonal/>
    </border>
    <border>
      <left style="medium">
        <color indexed="64"/>
      </left>
      <right/>
      <top style="thin">
        <color indexed="22"/>
      </top>
      <bottom style="thin">
        <color indexed="22"/>
      </bottom>
      <diagonal/>
    </border>
    <border>
      <left style="medium">
        <color indexed="64"/>
      </left>
      <right/>
      <top style="thin">
        <color indexed="22"/>
      </top>
      <bottom/>
      <diagonal/>
    </border>
    <border>
      <left/>
      <right style="medium">
        <color indexed="64"/>
      </right>
      <top style="medium">
        <color indexed="64"/>
      </top>
      <bottom style="thin">
        <color indexed="22"/>
      </bottom>
      <diagonal/>
    </border>
    <border>
      <left/>
      <right style="medium">
        <color indexed="64"/>
      </right>
      <top style="thin">
        <color indexed="22"/>
      </top>
      <bottom style="thin">
        <color indexed="22"/>
      </bottom>
      <diagonal/>
    </border>
    <border>
      <left/>
      <right style="medium">
        <color indexed="64"/>
      </right>
      <top style="thin">
        <color indexed="22"/>
      </top>
      <bottom/>
      <diagonal/>
    </border>
    <border>
      <left style="thin">
        <color indexed="64"/>
      </left>
      <right style="thin">
        <color indexed="64"/>
      </right>
      <top style="medium">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22"/>
      </bottom>
      <diagonal/>
    </border>
    <border>
      <left style="thin">
        <color indexed="64"/>
      </left>
      <right style="medium">
        <color indexed="64"/>
      </right>
      <top style="thin">
        <color indexed="22"/>
      </top>
      <bottom style="thin">
        <color indexed="22"/>
      </bottom>
      <diagonal/>
    </border>
    <border>
      <left style="thin">
        <color indexed="64"/>
      </left>
      <right style="medium">
        <color indexed="64"/>
      </right>
      <top style="thin">
        <color indexed="22"/>
      </top>
      <bottom/>
      <diagonal/>
    </border>
    <border>
      <left/>
      <right/>
      <top style="thin">
        <color indexed="64"/>
      </top>
      <bottom style="medium">
        <color indexed="64"/>
      </bottom>
      <diagonal/>
    </border>
    <border>
      <left style="thick">
        <color rgb="FF0000FF"/>
      </left>
      <right/>
      <top style="thick">
        <color rgb="FF0000FF"/>
      </top>
      <bottom style="thin">
        <color indexed="64"/>
      </bottom>
      <diagonal/>
    </border>
    <border>
      <left/>
      <right/>
      <top style="thick">
        <color rgb="FF0000FF"/>
      </top>
      <bottom style="thin">
        <color indexed="64"/>
      </bottom>
      <diagonal/>
    </border>
    <border>
      <left/>
      <right style="thick">
        <color rgb="FF0000FF"/>
      </right>
      <top style="thick">
        <color rgb="FF0000FF"/>
      </top>
      <bottom style="thin">
        <color indexed="64"/>
      </bottom>
      <diagonal/>
    </border>
    <border>
      <left style="thick">
        <color rgb="FF0000FF"/>
      </left>
      <right style="thin">
        <color indexed="64"/>
      </right>
      <top/>
      <bottom style="thick">
        <color rgb="FF0000FF"/>
      </bottom>
      <diagonal/>
    </border>
    <border>
      <left/>
      <right style="thin">
        <color indexed="64"/>
      </right>
      <top/>
      <bottom style="thick">
        <color rgb="FF0000FF"/>
      </bottom>
      <diagonal/>
    </border>
    <border>
      <left style="thin">
        <color indexed="64"/>
      </left>
      <right style="thin">
        <color indexed="64"/>
      </right>
      <top/>
      <bottom style="thick">
        <color rgb="FF0000FF"/>
      </bottom>
      <diagonal/>
    </border>
    <border>
      <left style="thin">
        <color indexed="64"/>
      </left>
      <right style="thick">
        <color rgb="FF0000FF"/>
      </right>
      <top/>
      <bottom style="thick">
        <color rgb="FF0000FF"/>
      </bottom>
      <diagonal/>
    </border>
    <border>
      <left style="thick">
        <color rgb="FF0000FF"/>
      </left>
      <right/>
      <top/>
      <bottom style="thick">
        <color rgb="FF0000FF"/>
      </bottom>
      <diagonal/>
    </border>
    <border>
      <left style="thin">
        <color indexed="64"/>
      </left>
      <right style="thin">
        <color indexed="64"/>
      </right>
      <top style="thin">
        <color indexed="64"/>
      </top>
      <bottom style="thick">
        <color rgb="FF0000FF"/>
      </bottom>
      <diagonal/>
    </border>
    <border>
      <left/>
      <right style="thick">
        <color rgb="FF0000FF"/>
      </right>
      <top/>
      <bottom style="thick">
        <color rgb="FF0000FF"/>
      </bottom>
      <diagonal/>
    </border>
    <border>
      <left style="thick">
        <color rgb="FF0000FF"/>
      </left>
      <right style="thin">
        <color indexed="64"/>
      </right>
      <top style="thin">
        <color indexed="64"/>
      </top>
      <bottom style="thick">
        <color rgb="FF0000FF"/>
      </bottom>
      <diagonal/>
    </border>
    <border>
      <left/>
      <right/>
      <top/>
      <bottom style="thick">
        <color rgb="FF0000FF"/>
      </bottom>
      <diagonal/>
    </border>
    <border>
      <left style="thin">
        <color indexed="64"/>
      </left>
      <right/>
      <top/>
      <bottom style="thick">
        <color rgb="FF0000FF"/>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3" tint="-0.24994659260841701"/>
      </left>
      <right/>
      <top style="thin">
        <color theme="3" tint="-0.24994659260841701"/>
      </top>
      <bottom/>
      <diagonal/>
    </border>
    <border>
      <left/>
      <right/>
      <top style="thin">
        <color theme="3" tint="-0.24994659260841701"/>
      </top>
      <bottom/>
      <diagonal/>
    </border>
    <border>
      <left/>
      <right style="thin">
        <color theme="3" tint="-0.24994659260841701"/>
      </right>
      <top style="thin">
        <color theme="3" tint="-0.24994659260841701"/>
      </top>
      <bottom/>
      <diagonal/>
    </border>
    <border>
      <left style="thin">
        <color theme="3" tint="-0.24994659260841701"/>
      </left>
      <right/>
      <top/>
      <bottom style="thin">
        <color theme="3" tint="-0.24994659260841701"/>
      </bottom>
      <diagonal/>
    </border>
    <border>
      <left/>
      <right/>
      <top/>
      <bottom style="thin">
        <color theme="3" tint="-0.24994659260841701"/>
      </bottom>
      <diagonal/>
    </border>
    <border>
      <left/>
      <right style="thin">
        <color theme="3" tint="-0.24994659260841701"/>
      </right>
      <top/>
      <bottom style="thin">
        <color theme="3" tint="-0.24994659260841701"/>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bottom style="thin">
        <color theme="8" tint="0.59996337778862885"/>
      </bottom>
      <diagonal/>
    </border>
    <border>
      <left/>
      <right/>
      <top style="thin">
        <color theme="8" tint="0.59996337778862885"/>
      </top>
      <bottom style="thin">
        <color theme="8" tint="0.59996337778862885"/>
      </bottom>
      <diagonal/>
    </border>
    <border>
      <left/>
      <right/>
      <top style="thin">
        <color indexed="64"/>
      </top>
      <bottom style="thin">
        <color theme="8" tint="0.59996337778862885"/>
      </bottom>
      <diagonal/>
    </border>
    <border>
      <left style="thin">
        <color indexed="64"/>
      </left>
      <right/>
      <top/>
      <bottom/>
      <diagonal/>
    </border>
    <border>
      <left style="thin">
        <color indexed="64"/>
      </left>
      <right/>
      <top/>
      <bottom style="thick">
        <color indexed="64"/>
      </bottom>
      <diagonal/>
    </border>
    <border>
      <left/>
      <right style="thin">
        <color indexed="64"/>
      </right>
      <top/>
      <bottom style="thick">
        <color indexed="64"/>
      </bottom>
      <diagonal/>
    </border>
    <border>
      <left style="thick">
        <color theme="3" tint="-0.24994659260841701"/>
      </left>
      <right style="thick">
        <color theme="3" tint="-0.24994659260841701"/>
      </right>
      <top style="thin">
        <color indexed="64"/>
      </top>
      <bottom style="thin">
        <color indexed="64"/>
      </bottom>
      <diagonal/>
    </border>
    <border>
      <left/>
      <right style="thin">
        <color indexed="64"/>
      </right>
      <top style="thick">
        <color indexed="64"/>
      </top>
      <bottom/>
      <diagonal/>
    </border>
    <border>
      <left style="thick">
        <color rgb="FF0000FF"/>
      </left>
      <right style="thick">
        <color rgb="FF0000FF"/>
      </right>
      <top style="thick">
        <color rgb="FF0000FF"/>
      </top>
      <bottom style="thin">
        <color indexed="64"/>
      </bottom>
      <diagonal/>
    </border>
    <border>
      <left/>
      <right/>
      <top/>
      <bottom style="thin">
        <color theme="8" tint="0.39994506668294322"/>
      </bottom>
      <diagonal/>
    </border>
    <border>
      <left/>
      <right/>
      <top style="thin">
        <color theme="8" tint="0.39994506668294322"/>
      </top>
      <bottom style="thin">
        <color theme="8" tint="0.39994506668294322"/>
      </bottom>
      <diagonal/>
    </border>
    <border>
      <left/>
      <right/>
      <top style="thin">
        <color theme="8" tint="0.39994506668294322"/>
      </top>
      <bottom style="thin">
        <color theme="8" tint="0.39991454817346722"/>
      </bottom>
      <diagonal/>
    </border>
    <border>
      <left/>
      <right/>
      <top style="thin">
        <color theme="8" tint="0.39991454817346722"/>
      </top>
      <bottom style="thin">
        <color theme="8" tint="0.39991454817346722"/>
      </bottom>
      <diagonal/>
    </border>
    <border>
      <left/>
      <right/>
      <top style="thin">
        <color theme="8" tint="0.39991454817346722"/>
      </top>
      <bottom style="thin">
        <color theme="8" tint="0.39994506668294322"/>
      </bottom>
      <diagonal/>
    </border>
  </borders>
  <cellStyleXfs count="16">
    <xf numFmtId="0" fontId="0" fillId="0" borderId="0"/>
    <xf numFmtId="0" fontId="14" fillId="0" borderId="0"/>
    <xf numFmtId="9" fontId="11" fillId="0" borderId="0" applyFont="0" applyFill="0" applyBorder="0" applyAlignment="0" applyProtection="0"/>
    <xf numFmtId="0" fontId="10" fillId="0" borderId="0"/>
    <xf numFmtId="9" fontId="11" fillId="0" borderId="0" applyFont="0" applyFill="0" applyBorder="0" applyAlignment="0" applyProtection="0"/>
    <xf numFmtId="0" fontId="38" fillId="0" borderId="0"/>
    <xf numFmtId="43" fontId="38" fillId="0" borderId="0" applyFont="0" applyFill="0" applyBorder="0" applyAlignment="0" applyProtection="0"/>
    <xf numFmtId="9" fontId="38" fillId="0" borderId="0" applyFont="0" applyFill="0" applyBorder="0" applyAlignment="0" applyProtection="0"/>
    <xf numFmtId="0" fontId="11" fillId="0" borderId="0"/>
    <xf numFmtId="0" fontId="8" fillId="0" borderId="0"/>
    <xf numFmtId="0" fontId="7" fillId="0" borderId="0"/>
    <xf numFmtId="0" fontId="54" fillId="0" borderId="0"/>
    <xf numFmtId="0" fontId="11" fillId="0" borderId="0"/>
    <xf numFmtId="0" fontId="11" fillId="0" borderId="0"/>
    <xf numFmtId="0" fontId="11" fillId="0" borderId="0"/>
    <xf numFmtId="0" fontId="3" fillId="0" borderId="0"/>
  </cellStyleXfs>
  <cellXfs count="566">
    <xf numFmtId="0" fontId="0" fillId="0" borderId="0" xfId="0"/>
    <xf numFmtId="0" fontId="10" fillId="0" borderId="0" xfId="3" applyAlignment="1">
      <alignment vertical="center"/>
    </xf>
    <xf numFmtId="49" fontId="16" fillId="2" borderId="0" xfId="0" applyNumberFormat="1" applyFont="1" applyFill="1" applyBorder="1" applyAlignment="1">
      <alignment vertical="center"/>
    </xf>
    <xf numFmtId="49" fontId="16" fillId="2" borderId="0" xfId="0" applyNumberFormat="1" applyFont="1" applyFill="1" applyBorder="1" applyAlignment="1">
      <alignment vertical="center" wrapText="1"/>
    </xf>
    <xf numFmtId="49" fontId="16" fillId="2" borderId="0" xfId="0" applyNumberFormat="1" applyFont="1" applyFill="1" applyBorder="1" applyAlignment="1">
      <alignment horizontal="left" vertical="center" wrapText="1"/>
    </xf>
    <xf numFmtId="49" fontId="16" fillId="2" borderId="0" xfId="0" applyNumberFormat="1" applyFont="1" applyFill="1" applyBorder="1" applyAlignment="1">
      <alignment horizontal="left" vertical="center"/>
    </xf>
    <xf numFmtId="49" fontId="17" fillId="0" borderId="0" xfId="0" applyNumberFormat="1" applyFont="1" applyAlignment="1">
      <alignment vertical="center"/>
    </xf>
    <xf numFmtId="49" fontId="16" fillId="2" borderId="0" xfId="0" applyNumberFormat="1" applyFont="1" applyFill="1" applyBorder="1" applyAlignment="1">
      <alignment horizontal="center" vertical="center"/>
    </xf>
    <xf numFmtId="49" fontId="19" fillId="2" borderId="0" xfId="0" applyNumberFormat="1" applyFont="1" applyFill="1" applyBorder="1" applyAlignment="1">
      <alignment horizontal="center" vertical="center" wrapText="1"/>
    </xf>
    <xf numFmtId="49" fontId="17" fillId="2" borderId="0" xfId="0" applyNumberFormat="1" applyFont="1" applyFill="1" applyBorder="1" applyAlignment="1">
      <alignment horizontal="center" vertical="center"/>
    </xf>
    <xf numFmtId="49" fontId="17" fillId="2" borderId="0" xfId="0" applyNumberFormat="1" applyFont="1" applyFill="1" applyBorder="1" applyAlignment="1">
      <alignment vertical="center"/>
    </xf>
    <xf numFmtId="49" fontId="20" fillId="0" borderId="0" xfId="0" applyNumberFormat="1" applyFont="1" applyAlignment="1">
      <alignment vertical="center"/>
    </xf>
    <xf numFmtId="49" fontId="21" fillId="2" borderId="0" xfId="0" applyNumberFormat="1" applyFont="1" applyFill="1" applyAlignment="1">
      <alignment vertical="center"/>
    </xf>
    <xf numFmtId="49" fontId="20" fillId="2" borderId="0" xfId="0" applyNumberFormat="1" applyFont="1" applyFill="1" applyAlignment="1">
      <alignment vertical="center"/>
    </xf>
    <xf numFmtId="49" fontId="18" fillId="2" borderId="0" xfId="0" applyNumberFormat="1" applyFont="1" applyFill="1" applyBorder="1" applyAlignment="1">
      <alignment horizontal="center" vertical="center"/>
    </xf>
    <xf numFmtId="49" fontId="16" fillId="2" borderId="0" xfId="0" applyNumberFormat="1" applyFont="1" applyFill="1" applyBorder="1" applyAlignment="1">
      <alignment horizontal="centerContinuous" vertical="center"/>
    </xf>
    <xf numFmtId="49" fontId="17" fillId="0" borderId="0" xfId="0" applyNumberFormat="1" applyFont="1" applyBorder="1" applyAlignment="1">
      <alignment horizontal="centerContinuous" vertical="center"/>
    </xf>
    <xf numFmtId="49" fontId="17" fillId="0" borderId="0" xfId="0" applyNumberFormat="1" applyFont="1" applyAlignment="1">
      <alignment horizontal="centerContinuous" vertical="center"/>
    </xf>
    <xf numFmtId="49" fontId="22" fillId="2" borderId="0" xfId="0" applyNumberFormat="1" applyFont="1" applyFill="1" applyBorder="1" applyAlignment="1">
      <alignment horizontal="centerContinuous" vertical="top"/>
    </xf>
    <xf numFmtId="49" fontId="22" fillId="0" borderId="0" xfId="0" applyNumberFormat="1" applyFont="1" applyAlignment="1">
      <alignment horizontal="right" vertical="center"/>
    </xf>
    <xf numFmtId="0" fontId="23" fillId="0" borderId="0" xfId="0" applyNumberFormat="1" applyFont="1" applyAlignment="1">
      <alignment horizontal="right" vertical="center"/>
    </xf>
    <xf numFmtId="0" fontId="24" fillId="2" borderId="0" xfId="0" applyNumberFormat="1" applyFont="1" applyFill="1" applyBorder="1" applyAlignment="1">
      <alignment horizontal="left" vertical="center" indent="1"/>
    </xf>
    <xf numFmtId="0" fontId="0" fillId="0" borderId="0" xfId="0" applyAlignment="1">
      <alignment vertical="center"/>
    </xf>
    <xf numFmtId="0" fontId="25" fillId="0" borderId="0" xfId="3" applyFont="1" applyAlignment="1">
      <alignment vertical="center"/>
    </xf>
    <xf numFmtId="49" fontId="16" fillId="2" borderId="0" xfId="0" applyNumberFormat="1" applyFont="1" applyFill="1" applyBorder="1" applyAlignment="1">
      <alignment horizontal="right" vertical="center"/>
    </xf>
    <xf numFmtId="49" fontId="19" fillId="2" borderId="0" xfId="0" applyNumberFormat="1" applyFont="1" applyFill="1" applyBorder="1" applyAlignment="1">
      <alignment horizontal="centerContinuous" vertical="center"/>
    </xf>
    <xf numFmtId="49" fontId="19" fillId="2" borderId="0" xfId="0" applyNumberFormat="1" applyFont="1" applyFill="1" applyBorder="1" applyAlignment="1">
      <alignment horizontal="centerContinuous" vertical="center" wrapText="1"/>
    </xf>
    <xf numFmtId="49" fontId="17" fillId="2" borderId="0" xfId="0" applyNumberFormat="1" applyFont="1" applyFill="1" applyBorder="1" applyAlignment="1">
      <alignment horizontal="centerContinuous" vertical="center"/>
    </xf>
    <xf numFmtId="49" fontId="22" fillId="2" borderId="0" xfId="0" applyNumberFormat="1" applyFont="1" applyFill="1" applyBorder="1" applyAlignment="1">
      <alignment horizontal="centerContinuous"/>
    </xf>
    <xf numFmtId="49" fontId="17" fillId="0" borderId="0" xfId="0" applyNumberFormat="1" applyFont="1" applyFill="1" applyBorder="1" applyAlignment="1">
      <alignment horizontal="centerContinuous" vertical="center"/>
    </xf>
    <xf numFmtId="0" fontId="15" fillId="0" borderId="0" xfId="0" applyFont="1" applyAlignment="1">
      <alignment vertical="center"/>
    </xf>
    <xf numFmtId="0" fontId="15" fillId="0" borderId="0" xfId="0" applyFont="1" applyFill="1" applyAlignment="1">
      <alignment vertical="center"/>
    </xf>
    <xf numFmtId="0" fontId="0" fillId="0" borderId="0" xfId="0" applyFill="1" applyAlignment="1">
      <alignment vertical="center"/>
    </xf>
    <xf numFmtId="0" fontId="15" fillId="0" borderId="0" xfId="0" applyFont="1" applyAlignment="1" applyProtection="1">
      <alignment vertical="center"/>
      <protection locked="0"/>
    </xf>
    <xf numFmtId="14" fontId="0" fillId="0" borderId="0" xfId="0" applyNumberFormat="1" applyAlignment="1">
      <alignment vertical="center"/>
    </xf>
    <xf numFmtId="0" fontId="14" fillId="0" borderId="0" xfId="0" applyFont="1" applyAlignment="1">
      <alignment vertical="center"/>
    </xf>
    <xf numFmtId="49" fontId="26" fillId="2" borderId="0" xfId="0" applyNumberFormat="1" applyFont="1" applyFill="1" applyBorder="1" applyAlignment="1">
      <alignment horizontal="left" vertical="center"/>
    </xf>
    <xf numFmtId="0" fontId="14" fillId="0" borderId="0" xfId="0" applyFont="1" applyAlignment="1">
      <alignment horizontal="center" vertical="center"/>
    </xf>
    <xf numFmtId="1" fontId="0" fillId="0" borderId="0" xfId="0" applyNumberFormat="1" applyFill="1" applyAlignment="1">
      <alignment horizontal="center" vertical="center"/>
    </xf>
    <xf numFmtId="1" fontId="0" fillId="0" borderId="0" xfId="0" applyNumberFormat="1" applyFill="1" applyAlignment="1">
      <alignment vertical="center"/>
    </xf>
    <xf numFmtId="164" fontId="0" fillId="0" borderId="0" xfId="0" applyNumberFormat="1" applyFill="1" applyAlignment="1">
      <alignment horizontal="left" vertical="center"/>
    </xf>
    <xf numFmtId="0" fontId="27" fillId="0" borderId="0" xfId="0" applyFont="1" applyAlignment="1">
      <alignment vertical="center"/>
    </xf>
    <xf numFmtId="3" fontId="13" fillId="0" borderId="1" xfId="0" applyNumberFormat="1" applyFont="1" applyBorder="1" applyAlignment="1" applyProtection="1">
      <alignment horizontal="center" vertical="center"/>
      <protection locked="0"/>
    </xf>
    <xf numFmtId="165" fontId="13" fillId="0" borderId="1" xfId="0" applyNumberFormat="1" applyFont="1" applyBorder="1" applyAlignment="1" applyProtection="1">
      <alignment horizontal="center" vertical="center"/>
    </xf>
    <xf numFmtId="0" fontId="0" fillId="0" borderId="0" xfId="0" applyAlignment="1">
      <alignment horizontal="centerContinuous" vertical="center"/>
    </xf>
    <xf numFmtId="0" fontId="0" fillId="0" borderId="0" xfId="0" applyAlignment="1">
      <alignment horizontal="center" vertical="center"/>
    </xf>
    <xf numFmtId="3" fontId="13" fillId="0" borderId="1" xfId="0" applyNumberFormat="1" applyFont="1" applyBorder="1" applyAlignment="1" applyProtection="1">
      <alignment horizontal="center" vertical="center"/>
    </xf>
    <xf numFmtId="0" fontId="0" fillId="0" borderId="0" xfId="0" applyAlignment="1">
      <alignment vertical="center" wrapText="1"/>
    </xf>
    <xf numFmtId="0" fontId="15" fillId="3" borderId="1" xfId="0" applyFont="1" applyFill="1" applyBorder="1" applyAlignment="1">
      <alignment horizontal="center" vertical="center"/>
    </xf>
    <xf numFmtId="0" fontId="11" fillId="0" borderId="1" xfId="0" applyFont="1" applyBorder="1" applyAlignment="1">
      <alignment horizontal="center" vertical="center"/>
    </xf>
    <xf numFmtId="0" fontId="15" fillId="0" borderId="0" xfId="0" applyFont="1" applyAlignment="1">
      <alignment horizontal="centerContinuous" vertical="center"/>
    </xf>
    <xf numFmtId="0" fontId="15" fillId="3" borderId="1" xfId="0" applyFont="1" applyFill="1" applyBorder="1" applyAlignment="1">
      <alignment horizontal="center" vertical="center" wrapText="1"/>
    </xf>
    <xf numFmtId="3" fontId="13" fillId="0" borderId="2" xfId="0" applyNumberFormat="1" applyFont="1" applyBorder="1" applyAlignment="1" applyProtection="1">
      <alignment horizontal="center" vertical="center"/>
      <protection locked="0"/>
    </xf>
    <xf numFmtId="10" fontId="13" fillId="0" borderId="13" xfId="2" applyNumberFormat="1" applyFont="1" applyBorder="1" applyAlignment="1" applyProtection="1">
      <alignment horizontal="center" vertical="center"/>
    </xf>
    <xf numFmtId="0" fontId="11" fillId="0" borderId="0" xfId="0" applyFont="1" applyAlignment="1">
      <alignment vertical="center"/>
    </xf>
    <xf numFmtId="0" fontId="11" fillId="0" borderId="0" xfId="0" applyFont="1" applyAlignment="1" applyProtection="1">
      <alignment vertical="center"/>
      <protection locked="0"/>
    </xf>
    <xf numFmtId="1" fontId="11" fillId="0" borderId="0" xfId="0" applyNumberFormat="1" applyFont="1" applyBorder="1" applyAlignment="1" applyProtection="1">
      <alignment horizontal="center" vertical="center"/>
    </xf>
    <xf numFmtId="0" fontId="11" fillId="0" borderId="0" xfId="0" applyFont="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0" fillId="0" borderId="0" xfId="0" applyAlignment="1">
      <alignment horizontal="right" vertical="center"/>
    </xf>
    <xf numFmtId="0" fontId="25" fillId="0" borderId="0" xfId="0" applyFont="1" applyAlignment="1">
      <alignment vertical="center"/>
    </xf>
    <xf numFmtId="3" fontId="13" fillId="0" borderId="17" xfId="0" applyNumberFormat="1" applyFont="1" applyBorder="1" applyAlignment="1" applyProtection="1">
      <alignment horizontal="center" vertical="center" wrapText="1"/>
      <protection locked="0"/>
    </xf>
    <xf numFmtId="3" fontId="13" fillId="0" borderId="17" xfId="0" applyNumberFormat="1" applyFont="1" applyBorder="1" applyAlignment="1" applyProtection="1">
      <alignment horizontal="center" vertical="center" wrapText="1"/>
    </xf>
    <xf numFmtId="0" fontId="15" fillId="3" borderId="24" xfId="0" applyFont="1" applyFill="1" applyBorder="1" applyAlignment="1">
      <alignment horizontal="centerContinuous" vertical="center"/>
    </xf>
    <xf numFmtId="0" fontId="14" fillId="3" borderId="25" xfId="0" applyFont="1" applyFill="1" applyBorder="1" applyAlignment="1">
      <alignment horizontal="centerContinuous" vertical="center"/>
    </xf>
    <xf numFmtId="0" fontId="14" fillId="3" borderId="26" xfId="0" applyFont="1" applyFill="1" applyBorder="1" applyAlignment="1">
      <alignment horizontal="centerContinuous" vertical="center"/>
    </xf>
    <xf numFmtId="0" fontId="15" fillId="3" borderId="6" xfId="0" applyFont="1" applyFill="1" applyBorder="1" applyAlignment="1" applyProtection="1">
      <alignment horizontal="center" vertical="center" wrapText="1"/>
    </xf>
    <xf numFmtId="0" fontId="15" fillId="3" borderId="3" xfId="0" applyFont="1" applyFill="1" applyBorder="1" applyAlignment="1" applyProtection="1">
      <alignment horizontal="center" vertical="center" wrapText="1"/>
    </xf>
    <xf numFmtId="0" fontId="15" fillId="3" borderId="27" xfId="0" applyFont="1" applyFill="1" applyBorder="1" applyAlignment="1" applyProtection="1">
      <alignment horizontal="center" vertical="center" wrapText="1"/>
    </xf>
    <xf numFmtId="3" fontId="13" fillId="0" borderId="9" xfId="0" applyNumberFormat="1" applyFont="1" applyBorder="1" applyAlignment="1" applyProtection="1">
      <alignment horizontal="center" vertical="center" wrapText="1"/>
      <protection locked="0"/>
    </xf>
    <xf numFmtId="10" fontId="13" fillId="0" borderId="5" xfId="0" applyNumberFormat="1" applyFont="1" applyFill="1" applyBorder="1" applyAlignment="1" applyProtection="1">
      <alignment horizontal="center" vertical="center"/>
    </xf>
    <xf numFmtId="3" fontId="13" fillId="0" borderId="21" xfId="0" applyNumberFormat="1" applyFont="1" applyBorder="1" applyAlignment="1">
      <alignment horizontal="center" vertical="center"/>
    </xf>
    <xf numFmtId="3" fontId="13" fillId="0" borderId="12" xfId="0" applyNumberFormat="1" applyFont="1" applyBorder="1" applyAlignment="1">
      <alignment horizontal="center" vertical="center"/>
    </xf>
    <xf numFmtId="10" fontId="13" fillId="0" borderId="13" xfId="0" applyNumberFormat="1" applyFont="1" applyFill="1" applyBorder="1" applyAlignment="1" applyProtection="1">
      <alignment horizontal="center" vertical="center"/>
    </xf>
    <xf numFmtId="3" fontId="13" fillId="0" borderId="9" xfId="0" applyNumberFormat="1" applyFont="1" applyBorder="1" applyAlignment="1" applyProtection="1">
      <alignment horizontal="center" vertical="center" wrapText="1"/>
    </xf>
    <xf numFmtId="0" fontId="15" fillId="3" borderId="28" xfId="0" applyFont="1" applyFill="1" applyBorder="1" applyAlignment="1" applyProtection="1">
      <alignment horizontal="center" vertical="center"/>
    </xf>
    <xf numFmtId="0" fontId="11" fillId="0" borderId="22" xfId="0" applyNumberFormat="1" applyFont="1" applyBorder="1" applyAlignment="1" applyProtection="1">
      <alignment horizontal="center" vertical="center"/>
    </xf>
    <xf numFmtId="0" fontId="14" fillId="0" borderId="22" xfId="0" applyNumberFormat="1" applyFont="1" applyBorder="1" applyAlignment="1" applyProtection="1">
      <alignment horizontal="center" vertical="center"/>
    </xf>
    <xf numFmtId="0" fontId="15" fillId="0" borderId="23" xfId="0" applyFont="1" applyBorder="1" applyAlignment="1">
      <alignment horizontal="center" vertical="center"/>
    </xf>
    <xf numFmtId="1" fontId="25" fillId="0" borderId="0" xfId="0" applyNumberFormat="1" applyFont="1" applyFill="1" applyAlignment="1">
      <alignment vertical="center"/>
    </xf>
    <xf numFmtId="0" fontId="28" fillId="0" borderId="0" xfId="0" applyFont="1" applyAlignment="1">
      <alignment horizontal="right" vertical="center"/>
    </xf>
    <xf numFmtId="0" fontId="11" fillId="0" borderId="16" xfId="0" applyFont="1" applyBorder="1" applyAlignment="1">
      <alignment horizontal="center" vertical="center"/>
    </xf>
    <xf numFmtId="0" fontId="15" fillId="3" borderId="25" xfId="0" applyFont="1" applyFill="1" applyBorder="1" applyAlignment="1">
      <alignment horizontal="centerContinuous" vertical="center"/>
    </xf>
    <xf numFmtId="0" fontId="15" fillId="3" borderId="32"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25" xfId="0" applyFont="1" applyFill="1" applyBorder="1" applyAlignment="1">
      <alignment horizontal="centerContinuous" vertical="center" wrapText="1"/>
    </xf>
    <xf numFmtId="3" fontId="13" fillId="0" borderId="2" xfId="0" applyNumberFormat="1" applyFont="1" applyBorder="1" applyAlignment="1" applyProtection="1">
      <alignment horizontal="center" vertical="center" wrapText="1"/>
      <protection locked="0"/>
    </xf>
    <xf numFmtId="10" fontId="13" fillId="0" borderId="5" xfId="2" applyNumberFormat="1" applyFont="1" applyBorder="1" applyAlignment="1" applyProtection="1">
      <alignment horizontal="center" vertical="center" wrapText="1"/>
    </xf>
    <xf numFmtId="0" fontId="31" fillId="0" borderId="0" xfId="0" applyFont="1" applyAlignment="1">
      <alignment horizontal="centerContinuous"/>
    </xf>
    <xf numFmtId="0" fontId="0" fillId="0" borderId="0" xfId="0" applyAlignment="1">
      <alignment horizontal="centerContinuous"/>
    </xf>
    <xf numFmtId="0" fontId="31" fillId="0" borderId="0" xfId="0" applyFont="1" applyAlignment="1"/>
    <xf numFmtId="0" fontId="0" fillId="0" borderId="0" xfId="0" applyAlignment="1"/>
    <xf numFmtId="3" fontId="32" fillId="0" borderId="0" xfId="0" applyNumberFormat="1" applyFont="1" applyAlignment="1">
      <alignment horizontal="right" vertical="center"/>
    </xf>
    <xf numFmtId="0" fontId="32" fillId="0" borderId="0" xfId="0" applyFont="1" applyAlignment="1">
      <alignment horizontal="left" vertical="center" indent="1"/>
    </xf>
    <xf numFmtId="0" fontId="11" fillId="0" borderId="8" xfId="0" applyFont="1" applyFill="1" applyBorder="1" applyAlignment="1">
      <alignment vertical="center"/>
    </xf>
    <xf numFmtId="0" fontId="0" fillId="0" borderId="0" xfId="0" applyAlignment="1">
      <alignment horizontal="left" vertical="center" indent="1"/>
    </xf>
    <xf numFmtId="0" fontId="11" fillId="0" borderId="37" xfId="0" applyFont="1" applyFill="1" applyBorder="1" applyAlignment="1">
      <alignment horizontal="center" vertical="center"/>
    </xf>
    <xf numFmtId="0" fontId="15" fillId="4" borderId="1" xfId="0" applyFont="1" applyFill="1" applyBorder="1" applyAlignment="1">
      <alignment horizontal="center" vertical="center"/>
    </xf>
    <xf numFmtId="0" fontId="0" fillId="0" borderId="1" xfId="0" applyBorder="1" applyAlignment="1">
      <alignment horizontal="center" vertical="center"/>
    </xf>
    <xf numFmtId="0" fontId="0" fillId="5" borderId="1" xfId="0" applyFill="1" applyBorder="1" applyAlignment="1">
      <alignment horizontal="center" vertical="center"/>
    </xf>
    <xf numFmtId="0" fontId="0" fillId="0" borderId="16" xfId="0" applyBorder="1" applyAlignment="1">
      <alignment horizontal="center" vertical="center"/>
    </xf>
    <xf numFmtId="0" fontId="0" fillId="0" borderId="1" xfId="0" applyNumberFormat="1" applyBorder="1" applyAlignment="1">
      <alignment horizontal="center" vertical="center"/>
    </xf>
    <xf numFmtId="0" fontId="0" fillId="0" borderId="0" xfId="0" applyBorder="1" applyAlignment="1">
      <alignment horizontal="center" vertical="center"/>
    </xf>
    <xf numFmtId="49" fontId="0" fillId="0" borderId="14" xfId="0" applyNumberFormat="1" applyBorder="1" applyAlignment="1">
      <alignment horizontal="center" vertical="center"/>
    </xf>
    <xf numFmtId="0" fontId="15" fillId="4" borderId="17" xfId="0" applyFont="1" applyFill="1" applyBorder="1" applyAlignment="1">
      <alignment horizontal="centerContinuous" vertical="center"/>
    </xf>
    <xf numFmtId="0" fontId="0" fillId="4" borderId="10" xfId="0" applyFill="1" applyBorder="1" applyAlignment="1">
      <alignment horizontal="centerContinuous" vertical="center"/>
    </xf>
    <xf numFmtId="0" fontId="0" fillId="4" borderId="4" xfId="0" applyFill="1" applyBorder="1" applyAlignment="1">
      <alignment horizontal="centerContinuous" vertical="center"/>
    </xf>
    <xf numFmtId="0" fontId="15" fillId="0" borderId="7" xfId="0" applyFont="1" applyBorder="1" applyAlignment="1">
      <alignment vertical="center"/>
    </xf>
    <xf numFmtId="0" fontId="0" fillId="0" borderId="7" xfId="0" applyBorder="1" applyAlignment="1">
      <alignment horizontal="center" vertical="center"/>
    </xf>
    <xf numFmtId="0" fontId="0" fillId="0" borderId="7" xfId="0" applyBorder="1" applyAlignment="1">
      <alignment horizontal="left" vertical="center" indent="2"/>
    </xf>
    <xf numFmtId="0" fontId="0" fillId="0" borderId="7" xfId="0" applyBorder="1" applyAlignment="1">
      <alignment vertical="center"/>
    </xf>
    <xf numFmtId="0" fontId="0" fillId="0" borderId="7" xfId="0" applyNumberFormat="1" applyBorder="1" applyAlignment="1">
      <alignment horizontal="center" vertical="center"/>
    </xf>
    <xf numFmtId="0" fontId="0" fillId="0" borderId="29" xfId="0" applyBorder="1" applyAlignment="1">
      <alignment horizontal="left" vertical="center" indent="2"/>
    </xf>
    <xf numFmtId="0" fontId="0" fillId="0" borderId="29" xfId="0" applyBorder="1" applyAlignment="1">
      <alignment vertical="center"/>
    </xf>
    <xf numFmtId="0" fontId="0" fillId="0" borderId="30" xfId="0" applyBorder="1" applyAlignment="1">
      <alignment horizontal="center" vertical="center"/>
    </xf>
    <xf numFmtId="49" fontId="0" fillId="0" borderId="29" xfId="0" applyNumberFormat="1" applyBorder="1" applyAlignment="1">
      <alignment horizontal="center" vertical="center"/>
    </xf>
    <xf numFmtId="49" fontId="0" fillId="0" borderId="29" xfId="0" applyNumberFormat="1" applyFill="1" applyBorder="1" applyAlignment="1">
      <alignment horizontal="center" vertical="center"/>
    </xf>
    <xf numFmtId="0" fontId="0" fillId="5" borderId="7" xfId="0" applyFill="1" applyBorder="1" applyAlignment="1">
      <alignment horizontal="center" vertical="center"/>
    </xf>
    <xf numFmtId="0" fontId="0" fillId="0" borderId="31" xfId="0" applyBorder="1" applyAlignment="1">
      <alignment horizontal="left" vertical="center" indent="2"/>
    </xf>
    <xf numFmtId="0" fontId="0" fillId="0" borderId="38" xfId="0" applyBorder="1" applyAlignment="1">
      <alignment horizontal="center" vertical="center"/>
    </xf>
    <xf numFmtId="0" fontId="0" fillId="6" borderId="7" xfId="0" applyFill="1" applyBorder="1" applyAlignment="1">
      <alignment horizontal="center" vertical="center"/>
    </xf>
    <xf numFmtId="49" fontId="0" fillId="0" borderId="7" xfId="0" applyNumberFormat="1" applyBorder="1" applyAlignment="1">
      <alignment horizontal="center" vertical="center"/>
    </xf>
    <xf numFmtId="0" fontId="15" fillId="0" borderId="31" xfId="0" applyFont="1" applyBorder="1" applyAlignment="1">
      <alignment horizontal="left" vertical="center"/>
    </xf>
    <xf numFmtId="0" fontId="11" fillId="0" borderId="7" xfId="0" applyFont="1" applyBorder="1" applyAlignment="1">
      <alignment horizontal="left" vertical="center" indent="2"/>
    </xf>
    <xf numFmtId="0" fontId="0" fillId="0" borderId="16" xfId="0" applyBorder="1" applyAlignment="1">
      <alignment vertical="center"/>
    </xf>
    <xf numFmtId="0" fontId="0" fillId="0" borderId="31" xfId="0" applyBorder="1" applyAlignment="1">
      <alignment horizontal="center" vertical="center"/>
    </xf>
    <xf numFmtId="0" fontId="15" fillId="0" borderId="31" xfId="0" applyFont="1" applyBorder="1" applyAlignment="1">
      <alignment vertical="center"/>
    </xf>
    <xf numFmtId="0" fontId="0" fillId="0" borderId="39" xfId="0" applyBorder="1" applyAlignment="1">
      <alignment horizontal="center" vertical="center"/>
    </xf>
    <xf numFmtId="0" fontId="11" fillId="0" borderId="31" xfId="0" applyFont="1" applyBorder="1" applyAlignment="1">
      <alignment horizontal="left" indent="2"/>
    </xf>
    <xf numFmtId="0" fontId="0" fillId="0" borderId="31" xfId="0" applyBorder="1" applyAlignment="1">
      <alignment horizontal="center"/>
    </xf>
    <xf numFmtId="0" fontId="11" fillId="0" borderId="7" xfId="0" applyFont="1" applyBorder="1" applyAlignment="1">
      <alignment horizontal="left" indent="2"/>
    </xf>
    <xf numFmtId="0" fontId="0" fillId="0" borderId="7" xfId="0" applyBorder="1" applyAlignment="1">
      <alignment horizontal="center"/>
    </xf>
    <xf numFmtId="0" fontId="0" fillId="0" borderId="7" xfId="0" applyBorder="1" applyAlignment="1">
      <alignment horizontal="left" indent="2"/>
    </xf>
    <xf numFmtId="0" fontId="0" fillId="0" borderId="16" xfId="0" applyBorder="1"/>
    <xf numFmtId="0" fontId="15" fillId="0" borderId="31" xfId="0" applyFont="1" applyBorder="1"/>
    <xf numFmtId="49" fontId="11" fillId="0" borderId="29" xfId="0" applyNumberFormat="1" applyFont="1" applyBorder="1" applyAlignment="1">
      <alignment horizontal="center" vertical="center"/>
    </xf>
    <xf numFmtId="0" fontId="0" fillId="7" borderId="31" xfId="0" applyFill="1" applyBorder="1" applyAlignment="1">
      <alignment horizontal="center" vertical="center"/>
    </xf>
    <xf numFmtId="0" fontId="11" fillId="0" borderId="29" xfId="0" applyFont="1" applyBorder="1" applyAlignment="1">
      <alignment horizontal="left" indent="2"/>
    </xf>
    <xf numFmtId="0" fontId="0" fillId="0" borderId="29" xfId="0" applyBorder="1"/>
    <xf numFmtId="0" fontId="0" fillId="0" borderId="30" xfId="0" applyFill="1" applyBorder="1" applyAlignment="1">
      <alignment horizontal="center" vertical="center"/>
    </xf>
    <xf numFmtId="0" fontId="0" fillId="0" borderId="31" xfId="0" applyFill="1" applyBorder="1" applyAlignment="1">
      <alignment horizontal="center"/>
    </xf>
    <xf numFmtId="0" fontId="0" fillId="0" borderId="7" xfId="0" applyBorder="1"/>
    <xf numFmtId="0" fontId="11" fillId="0" borderId="16" xfId="0" applyFont="1" applyBorder="1" applyAlignment="1">
      <alignment horizontal="left" indent="2"/>
    </xf>
    <xf numFmtId="49" fontId="0" fillId="0" borderId="16" xfId="0" applyNumberFormat="1" applyBorder="1" applyAlignment="1">
      <alignment horizontal="center" vertical="center"/>
    </xf>
    <xf numFmtId="0" fontId="0" fillId="8" borderId="31" xfId="0" applyFill="1" applyBorder="1" applyAlignment="1">
      <alignment horizontal="center" vertical="center"/>
    </xf>
    <xf numFmtId="0" fontId="0" fillId="0" borderId="16" xfId="0" applyBorder="1" applyAlignment="1">
      <alignment horizontal="left" indent="2"/>
    </xf>
    <xf numFmtId="0" fontId="11" fillId="0" borderId="14" xfId="0" applyFont="1" applyFill="1" applyBorder="1" applyAlignment="1">
      <alignment horizontal="left"/>
    </xf>
    <xf numFmtId="1" fontId="0" fillId="0" borderId="0" xfId="0" applyNumberFormat="1" applyFill="1" applyAlignment="1">
      <alignment horizontal="left" vertical="center"/>
    </xf>
    <xf numFmtId="1" fontId="34" fillId="0" borderId="0" xfId="0" applyNumberFormat="1" applyFont="1" applyAlignment="1" applyProtection="1">
      <alignment horizontal="center" vertical="center"/>
    </xf>
    <xf numFmtId="0" fontId="0" fillId="9" borderId="7" xfId="0" applyFill="1" applyBorder="1" applyAlignment="1">
      <alignment horizontal="center" vertical="center"/>
    </xf>
    <xf numFmtId="10" fontId="13" fillId="0" borderId="34" xfId="2" applyNumberFormat="1" applyFont="1" applyBorder="1" applyAlignment="1" applyProtection="1">
      <alignment horizontal="center" vertical="center" wrapText="1"/>
    </xf>
    <xf numFmtId="10" fontId="13" fillId="0" borderId="35" xfId="2" applyNumberFormat="1" applyFont="1" applyBorder="1" applyAlignment="1" applyProtection="1">
      <alignment horizontal="center" vertical="center"/>
    </xf>
    <xf numFmtId="0" fontId="11" fillId="0" borderId="41" xfId="1" applyFont="1" applyFill="1" applyBorder="1" applyAlignment="1">
      <alignment horizontal="center" vertical="center"/>
    </xf>
    <xf numFmtId="0" fontId="11" fillId="0" borderId="44" xfId="1" applyFont="1" applyFill="1" applyBorder="1" applyAlignment="1">
      <alignment horizontal="center" vertical="center"/>
    </xf>
    <xf numFmtId="0" fontId="11" fillId="0" borderId="44" xfId="1" applyFont="1" applyBorder="1" applyAlignment="1">
      <alignment horizontal="center" vertical="center"/>
    </xf>
    <xf numFmtId="0" fontId="11" fillId="0" borderId="8" xfId="1" applyFont="1" applyBorder="1" applyAlignment="1">
      <alignment horizontal="center" vertical="center"/>
    </xf>
    <xf numFmtId="0" fontId="9" fillId="0" borderId="0" xfId="3" applyFont="1" applyAlignment="1">
      <alignment vertical="center"/>
    </xf>
    <xf numFmtId="0" fontId="35" fillId="0" borderId="0" xfId="3" applyFont="1" applyAlignment="1">
      <alignment vertical="center"/>
    </xf>
    <xf numFmtId="0" fontId="10" fillId="0" borderId="0" xfId="3" applyAlignment="1">
      <alignment horizontal="center" vertical="center"/>
    </xf>
    <xf numFmtId="0" fontId="32" fillId="0" borderId="0" xfId="1" applyFont="1" applyAlignment="1">
      <alignment horizontal="center" vertical="center"/>
    </xf>
    <xf numFmtId="0" fontId="14" fillId="0" borderId="0" xfId="1" applyAlignment="1">
      <alignment vertical="center"/>
    </xf>
    <xf numFmtId="49" fontId="14" fillId="4" borderId="48" xfId="1" applyNumberFormat="1" applyFill="1" applyBorder="1" applyAlignment="1">
      <alignment horizontal="centerContinuous" vertical="center"/>
    </xf>
    <xf numFmtId="49" fontId="14" fillId="4" borderId="49" xfId="1" applyNumberFormat="1" applyFill="1" applyBorder="1" applyAlignment="1">
      <alignment horizontal="centerContinuous" vertical="center"/>
    </xf>
    <xf numFmtId="49" fontId="14" fillId="4" borderId="33" xfId="1" applyNumberFormat="1" applyFill="1" applyBorder="1" applyAlignment="1">
      <alignment horizontal="centerContinuous" vertical="center"/>
    </xf>
    <xf numFmtId="0" fontId="14" fillId="4" borderId="6" xfId="1" applyFill="1" applyBorder="1" applyAlignment="1">
      <alignment horizontal="center" vertical="center"/>
    </xf>
    <xf numFmtId="0" fontId="14" fillId="4" borderId="27" xfId="1" applyFill="1" applyBorder="1" applyAlignment="1">
      <alignment horizontal="center" vertical="center"/>
    </xf>
    <xf numFmtId="0" fontId="14" fillId="4" borderId="28" xfId="1" applyFill="1" applyBorder="1" applyAlignment="1">
      <alignment horizontal="center" vertical="center"/>
    </xf>
    <xf numFmtId="0" fontId="14" fillId="4" borderId="50" xfId="1" applyFill="1" applyBorder="1" applyAlignment="1">
      <alignment horizontal="centerContinuous" vertical="center"/>
    </xf>
    <xf numFmtId="0" fontId="14" fillId="4" borderId="0" xfId="1" applyFill="1" applyBorder="1" applyAlignment="1">
      <alignment horizontal="centerContinuous" vertical="center"/>
    </xf>
    <xf numFmtId="0" fontId="14" fillId="4" borderId="15" xfId="1" applyFill="1" applyBorder="1" applyAlignment="1">
      <alignment horizontal="centerContinuous" vertical="center"/>
    </xf>
    <xf numFmtId="0" fontId="14" fillId="4" borderId="2" xfId="1" applyFill="1" applyBorder="1" applyAlignment="1">
      <alignment horizontal="center" vertical="center"/>
    </xf>
    <xf numFmtId="0" fontId="14" fillId="4" borderId="5" xfId="1" applyFill="1" applyBorder="1" applyAlignment="1">
      <alignment horizontal="center" vertical="center"/>
    </xf>
    <xf numFmtId="0" fontId="14" fillId="4" borderId="51" xfId="1" applyFill="1" applyBorder="1" applyAlignment="1">
      <alignment horizontal="center" vertical="center"/>
    </xf>
    <xf numFmtId="0" fontId="14" fillId="4" borderId="21" xfId="1" applyFill="1" applyBorder="1" applyAlignment="1">
      <alignment horizontal="center" vertical="center"/>
    </xf>
    <xf numFmtId="0" fontId="14" fillId="4" borderId="12" xfId="1" applyFill="1" applyBorder="1" applyAlignment="1">
      <alignment horizontal="center" vertical="center"/>
    </xf>
    <xf numFmtId="0" fontId="14" fillId="4" borderId="13" xfId="1" applyFill="1" applyBorder="1" applyAlignment="1">
      <alignment horizontal="center" vertical="center"/>
    </xf>
    <xf numFmtId="10" fontId="0" fillId="4" borderId="11" xfId="4" applyNumberFormat="1" applyFont="1" applyFill="1" applyBorder="1" applyAlignment="1">
      <alignment horizontal="center" vertical="center"/>
    </xf>
    <xf numFmtId="10" fontId="0" fillId="4" borderId="52" xfId="4" applyNumberFormat="1" applyFont="1" applyFill="1" applyBorder="1" applyAlignment="1">
      <alignment horizontal="center" vertical="center"/>
    </xf>
    <xf numFmtId="0" fontId="14" fillId="4" borderId="53" xfId="1" applyFill="1" applyBorder="1" applyAlignment="1">
      <alignment horizontal="center" vertical="center"/>
    </xf>
    <xf numFmtId="3" fontId="14" fillId="0" borderId="54" xfId="1" applyNumberFormat="1" applyBorder="1" applyAlignment="1">
      <alignment vertical="center"/>
    </xf>
    <xf numFmtId="3" fontId="14" fillId="0" borderId="55" xfId="1" applyNumberFormat="1" applyBorder="1" applyAlignment="1">
      <alignment vertical="center"/>
    </xf>
    <xf numFmtId="3" fontId="14" fillId="0" borderId="55" xfId="1" applyNumberFormat="1" applyFill="1" applyBorder="1" applyAlignment="1">
      <alignment vertical="center"/>
    </xf>
    <xf numFmtId="0" fontId="15" fillId="0" borderId="0" xfId="1" applyFont="1" applyAlignment="1">
      <alignment vertical="center"/>
    </xf>
    <xf numFmtId="0" fontId="32" fillId="0" borderId="0" xfId="1" applyFont="1" applyAlignment="1">
      <alignment horizontal="left" vertical="center"/>
    </xf>
    <xf numFmtId="3" fontId="14" fillId="0" borderId="57" xfId="1" applyNumberFormat="1" applyBorder="1" applyAlignment="1">
      <alignment vertical="center"/>
    </xf>
    <xf numFmtId="0" fontId="35" fillId="10" borderId="24" xfId="3" applyFont="1" applyFill="1" applyBorder="1" applyAlignment="1">
      <alignment vertical="center"/>
    </xf>
    <xf numFmtId="3" fontId="35" fillId="10" borderId="56" xfId="3" applyNumberFormat="1" applyFont="1" applyFill="1" applyBorder="1" applyAlignment="1">
      <alignment vertical="center"/>
    </xf>
    <xf numFmtId="3" fontId="11" fillId="3" borderId="41" xfId="1" applyNumberFormat="1" applyFont="1" applyFill="1" applyBorder="1" applyAlignment="1">
      <alignment horizontal="center" vertical="center"/>
    </xf>
    <xf numFmtId="165" fontId="11" fillId="3" borderId="42" xfId="4" applyNumberFormat="1" applyFont="1" applyFill="1" applyBorder="1" applyAlignment="1">
      <alignment horizontal="center" vertical="center"/>
    </xf>
    <xf numFmtId="3" fontId="11" fillId="3" borderId="44" xfId="1" applyNumberFormat="1" applyFont="1" applyFill="1" applyBorder="1" applyAlignment="1">
      <alignment horizontal="center" vertical="center"/>
    </xf>
    <xf numFmtId="165" fontId="11" fillId="3" borderId="45" xfId="4" applyNumberFormat="1" applyFont="1" applyFill="1" applyBorder="1" applyAlignment="1">
      <alignment horizontal="center" vertical="center"/>
    </xf>
    <xf numFmtId="3" fontId="11" fillId="3" borderId="8" xfId="1" applyNumberFormat="1" applyFont="1" applyFill="1" applyBorder="1" applyAlignment="1">
      <alignment horizontal="center" vertical="center"/>
    </xf>
    <xf numFmtId="165" fontId="11" fillId="3" borderId="47" xfId="4" applyNumberFormat="1" applyFont="1" applyFill="1" applyBorder="1" applyAlignment="1">
      <alignment horizontal="center" vertical="center"/>
    </xf>
    <xf numFmtId="3" fontId="11" fillId="0" borderId="41" xfId="1" applyNumberFormat="1" applyFont="1" applyBorder="1" applyAlignment="1" applyProtection="1">
      <alignment horizontal="center" vertical="center"/>
      <protection locked="0"/>
    </xf>
    <xf numFmtId="3" fontId="11" fillId="0" borderId="44" xfId="1" applyNumberFormat="1" applyFont="1" applyBorder="1" applyAlignment="1" applyProtection="1">
      <alignment horizontal="center" vertical="center"/>
      <protection locked="0"/>
    </xf>
    <xf numFmtId="3" fontId="11" fillId="0" borderId="8" xfId="1" applyNumberFormat="1" applyFont="1" applyBorder="1" applyAlignment="1" applyProtection="1">
      <alignment horizontal="center" vertical="center"/>
      <protection locked="0"/>
    </xf>
    <xf numFmtId="0" fontId="11" fillId="0" borderId="40" xfId="1" applyFont="1" applyFill="1" applyBorder="1" applyAlignment="1" applyProtection="1">
      <alignment vertical="center"/>
      <protection locked="0"/>
    </xf>
    <xf numFmtId="0" fontId="11" fillId="0" borderId="43" xfId="1" applyFont="1" applyFill="1" applyBorder="1" applyAlignment="1" applyProtection="1">
      <alignment vertical="center"/>
      <protection locked="0"/>
    </xf>
    <xf numFmtId="0" fontId="11" fillId="0" borderId="43" xfId="1" applyFont="1" applyBorder="1" applyAlignment="1" applyProtection="1">
      <alignment vertical="center"/>
      <protection locked="0"/>
    </xf>
    <xf numFmtId="0" fontId="11" fillId="0" borderId="46" xfId="1" applyFont="1" applyBorder="1" applyAlignment="1" applyProtection="1">
      <alignment vertical="center"/>
      <protection locked="0"/>
    </xf>
    <xf numFmtId="0" fontId="0" fillId="0" borderId="0" xfId="0" applyNumberFormat="1" applyAlignment="1">
      <alignment vertical="center"/>
    </xf>
    <xf numFmtId="3" fontId="14" fillId="0" borderId="59" xfId="1" applyNumberFormat="1" applyBorder="1" applyAlignment="1">
      <alignment vertical="center"/>
    </xf>
    <xf numFmtId="3" fontId="14" fillId="0" borderId="60" xfId="1" applyNumberFormat="1" applyBorder="1" applyAlignment="1">
      <alignment vertical="center"/>
    </xf>
    <xf numFmtId="3" fontId="14" fillId="0" borderId="60" xfId="1" applyNumberFormat="1" applyFill="1" applyBorder="1" applyAlignment="1">
      <alignment vertical="center"/>
    </xf>
    <xf numFmtId="3" fontId="14" fillId="0" borderId="61" xfId="1" applyNumberFormat="1" applyBorder="1" applyAlignment="1">
      <alignment vertical="center"/>
    </xf>
    <xf numFmtId="3" fontId="35" fillId="10" borderId="24" xfId="3" applyNumberFormat="1" applyFont="1" applyFill="1" applyBorder="1" applyAlignment="1">
      <alignment vertical="center"/>
    </xf>
    <xf numFmtId="3" fontId="14" fillId="0" borderId="62" xfId="1" applyNumberFormat="1" applyBorder="1" applyAlignment="1">
      <alignment vertical="center"/>
    </xf>
    <xf numFmtId="3" fontId="14" fillId="0" borderId="63" xfId="1" applyNumberFormat="1" applyBorder="1" applyAlignment="1">
      <alignment vertical="center"/>
    </xf>
    <xf numFmtId="3" fontId="14" fillId="0" borderId="63" xfId="1" applyNumberFormat="1" applyFill="1" applyBorder="1" applyAlignment="1">
      <alignment vertical="center"/>
    </xf>
    <xf numFmtId="3" fontId="14" fillId="0" borderId="64" xfId="1" applyNumberFormat="1" applyBorder="1" applyAlignment="1">
      <alignment vertical="center"/>
    </xf>
    <xf numFmtId="3" fontId="35" fillId="10" borderId="26" xfId="3" applyNumberFormat="1" applyFont="1" applyFill="1" applyBorder="1" applyAlignment="1">
      <alignment vertical="center"/>
    </xf>
    <xf numFmtId="3" fontId="14" fillId="0" borderId="65" xfId="1" applyNumberFormat="1" applyBorder="1" applyAlignment="1">
      <alignment vertical="center"/>
    </xf>
    <xf numFmtId="3" fontId="14" fillId="0" borderId="66" xfId="1" applyNumberFormat="1" applyBorder="1" applyAlignment="1">
      <alignment vertical="center"/>
    </xf>
    <xf numFmtId="3" fontId="14" fillId="0" borderId="66" xfId="1" applyNumberFormat="1" applyFill="1" applyBorder="1" applyAlignment="1">
      <alignment vertical="center"/>
    </xf>
    <xf numFmtId="3" fontId="14" fillId="0" borderId="67" xfId="1" applyNumberFormat="1" applyBorder="1" applyAlignment="1">
      <alignment vertical="center"/>
    </xf>
    <xf numFmtId="3" fontId="35" fillId="10" borderId="58" xfId="3" applyNumberFormat="1" applyFont="1" applyFill="1" applyBorder="1" applyAlignment="1">
      <alignment vertical="center"/>
    </xf>
    <xf numFmtId="3" fontId="14" fillId="0" borderId="69" xfId="1" applyNumberFormat="1" applyBorder="1" applyAlignment="1">
      <alignment vertical="center"/>
    </xf>
    <xf numFmtId="3" fontId="14" fillId="0" borderId="70" xfId="1" applyNumberFormat="1" applyBorder="1" applyAlignment="1">
      <alignment vertical="center"/>
    </xf>
    <xf numFmtId="3" fontId="14" fillId="0" borderId="70" xfId="1" applyNumberFormat="1" applyFill="1" applyBorder="1" applyAlignment="1">
      <alignment vertical="center"/>
    </xf>
    <xf numFmtId="3" fontId="14" fillId="0" borderId="71" xfId="1" applyNumberFormat="1" applyBorder="1" applyAlignment="1">
      <alignment vertical="center"/>
    </xf>
    <xf numFmtId="3" fontId="35" fillId="10" borderId="68" xfId="3" applyNumberFormat="1" applyFont="1" applyFill="1" applyBorder="1" applyAlignment="1">
      <alignment vertical="center"/>
    </xf>
    <xf numFmtId="0" fontId="15" fillId="3" borderId="49" xfId="0" applyFont="1" applyFill="1" applyBorder="1" applyAlignment="1" applyProtection="1">
      <alignment horizontal="center" vertical="center" wrapText="1"/>
    </xf>
    <xf numFmtId="3" fontId="13" fillId="0" borderId="10" xfId="0" applyNumberFormat="1" applyFont="1" applyBorder="1" applyAlignment="1" applyProtection="1">
      <alignment horizontal="center" vertical="center" wrapText="1"/>
      <protection locked="0"/>
    </xf>
    <xf numFmtId="3" fontId="13" fillId="0" borderId="72" xfId="0" applyNumberFormat="1" applyFont="1" applyBorder="1" applyAlignment="1">
      <alignment horizontal="center" vertical="center"/>
    </xf>
    <xf numFmtId="3" fontId="13" fillId="0" borderId="1" xfId="0" applyNumberFormat="1" applyFont="1" applyBorder="1" applyAlignment="1" applyProtection="1">
      <alignment horizontal="center" vertical="center" wrapText="1"/>
      <protection locked="0"/>
    </xf>
    <xf numFmtId="0" fontId="11" fillId="0" borderId="0" xfId="0" applyFont="1" applyAlignment="1">
      <alignment horizontal="center" vertical="center"/>
    </xf>
    <xf numFmtId="0" fontId="15" fillId="3" borderId="56" xfId="0" applyFont="1" applyFill="1" applyBorder="1" applyAlignment="1">
      <alignment horizontal="center" vertical="center"/>
    </xf>
    <xf numFmtId="0" fontId="15" fillId="0" borderId="17" xfId="1" applyFont="1" applyFill="1" applyBorder="1" applyAlignment="1">
      <alignment horizontal="center" vertical="center"/>
    </xf>
    <xf numFmtId="0" fontId="15" fillId="0" borderId="10" xfId="1" applyFont="1" applyFill="1" applyBorder="1" applyAlignment="1">
      <alignment horizontal="center" vertical="center"/>
    </xf>
    <xf numFmtId="3" fontId="15" fillId="0" borderId="10" xfId="1" applyNumberFormat="1" applyFont="1" applyFill="1" applyBorder="1" applyAlignment="1">
      <alignment horizontal="center" vertical="center"/>
    </xf>
    <xf numFmtId="165" fontId="15" fillId="0" borderId="4" xfId="4" applyNumberFormat="1" applyFont="1" applyFill="1" applyBorder="1" applyAlignment="1">
      <alignment horizontal="center" vertical="center"/>
    </xf>
    <xf numFmtId="0" fontId="0" fillId="3" borderId="25" xfId="0" applyFill="1" applyBorder="1" applyAlignment="1">
      <alignment horizontal="centerContinuous" vertical="center"/>
    </xf>
    <xf numFmtId="0" fontId="0" fillId="3" borderId="26" xfId="0" applyFill="1" applyBorder="1" applyAlignment="1">
      <alignment horizontal="centerContinuous" vertical="center"/>
    </xf>
    <xf numFmtId="0" fontId="15" fillId="3" borderId="53" xfId="0" applyFont="1" applyFill="1" applyBorder="1" applyAlignment="1">
      <alignment horizontal="center" vertical="center"/>
    </xf>
    <xf numFmtId="0" fontId="15" fillId="11" borderId="24" xfId="0" applyFont="1" applyFill="1" applyBorder="1" applyAlignment="1">
      <alignment horizontal="centerContinuous" vertical="center"/>
    </xf>
    <xf numFmtId="0" fontId="0" fillId="11" borderId="25" xfId="0" applyFill="1" applyBorder="1" applyAlignment="1">
      <alignment horizontal="centerContinuous" vertical="center"/>
    </xf>
    <xf numFmtId="0" fontId="0" fillId="11" borderId="26" xfId="0" applyFill="1" applyBorder="1" applyAlignment="1">
      <alignment horizontal="centerContinuous" vertical="center"/>
    </xf>
    <xf numFmtId="0" fontId="14" fillId="11" borderId="25" xfId="0" applyFont="1" applyFill="1" applyBorder="1" applyAlignment="1">
      <alignment horizontal="centerContinuous" vertical="center"/>
    </xf>
    <xf numFmtId="0" fontId="14" fillId="11" borderId="26" xfId="0" applyFont="1" applyFill="1" applyBorder="1" applyAlignment="1">
      <alignment horizontal="centerContinuous" vertical="center"/>
    </xf>
    <xf numFmtId="0" fontId="15" fillId="11" borderId="6" xfId="0" applyFont="1" applyFill="1" applyBorder="1" applyAlignment="1" applyProtection="1">
      <alignment horizontal="center" vertical="center" wrapText="1"/>
    </xf>
    <xf numFmtId="0" fontId="15" fillId="11" borderId="3" xfId="0" applyFont="1" applyFill="1" applyBorder="1" applyAlignment="1" applyProtection="1">
      <alignment horizontal="center" vertical="center" wrapText="1"/>
    </xf>
    <xf numFmtId="0" fontId="15" fillId="11" borderId="27" xfId="0" applyFont="1" applyFill="1" applyBorder="1" applyAlignment="1" applyProtection="1">
      <alignment horizontal="center" vertical="center" wrapText="1"/>
    </xf>
    <xf numFmtId="0" fontId="15" fillId="11" borderId="49" xfId="0" applyFont="1" applyFill="1" applyBorder="1" applyAlignment="1" applyProtection="1">
      <alignment horizontal="center" vertical="center" wrapText="1"/>
    </xf>
    <xf numFmtId="0" fontId="31" fillId="0" borderId="0" xfId="0" applyFont="1" applyAlignment="1">
      <alignment horizontal="centerContinuous" vertical="center"/>
    </xf>
    <xf numFmtId="0" fontId="39" fillId="0" borderId="0" xfId="5" applyFont="1" applyAlignment="1">
      <alignment horizontal="centerContinuous" vertical="center"/>
    </xf>
    <xf numFmtId="0" fontId="38" fillId="0" borderId="0" xfId="5" applyAlignment="1">
      <alignment horizontal="centerContinuous" vertical="center"/>
    </xf>
    <xf numFmtId="0" fontId="38" fillId="0" borderId="0" xfId="5" applyAlignment="1">
      <alignment vertical="center"/>
    </xf>
    <xf numFmtId="49" fontId="38" fillId="0" borderId="0" xfId="5" applyNumberFormat="1" applyAlignment="1">
      <alignment vertical="center"/>
    </xf>
    <xf numFmtId="167" fontId="40" fillId="12" borderId="73" xfId="5" applyNumberFormat="1" applyFont="1" applyFill="1" applyBorder="1" applyAlignment="1">
      <alignment horizontal="centerContinuous" vertical="center"/>
    </xf>
    <xf numFmtId="167" fontId="40" fillId="12" borderId="74" xfId="5" applyNumberFormat="1" applyFont="1" applyFill="1" applyBorder="1" applyAlignment="1">
      <alignment horizontal="centerContinuous" vertical="center"/>
    </xf>
    <xf numFmtId="0" fontId="38" fillId="12" borderId="74" xfId="5" applyFill="1" applyBorder="1" applyAlignment="1">
      <alignment horizontal="centerContinuous" vertical="center"/>
    </xf>
    <xf numFmtId="0" fontId="38" fillId="12" borderId="75" xfId="5" applyFill="1" applyBorder="1" applyAlignment="1">
      <alignment horizontal="centerContinuous" vertical="center"/>
    </xf>
    <xf numFmtId="0" fontId="40" fillId="12" borderId="73" xfId="5" applyFont="1" applyFill="1" applyBorder="1" applyAlignment="1">
      <alignment horizontal="centerContinuous" vertical="center"/>
    </xf>
    <xf numFmtId="0" fontId="40" fillId="12" borderId="74" xfId="5" applyFont="1" applyFill="1" applyBorder="1" applyAlignment="1">
      <alignment horizontal="centerContinuous" vertical="center"/>
    </xf>
    <xf numFmtId="0" fontId="40" fillId="12" borderId="75" xfId="5" applyFont="1" applyFill="1" applyBorder="1" applyAlignment="1">
      <alignment horizontal="centerContinuous" vertical="center"/>
    </xf>
    <xf numFmtId="0" fontId="40" fillId="3" borderId="1" xfId="5" applyFont="1" applyFill="1" applyBorder="1" applyAlignment="1">
      <alignment horizontal="center" vertical="center" wrapText="1"/>
    </xf>
    <xf numFmtId="0" fontId="38" fillId="12" borderId="76" xfId="5" applyFont="1" applyFill="1" applyBorder="1" applyAlignment="1">
      <alignment horizontal="center" vertical="center" wrapText="1"/>
    </xf>
    <xf numFmtId="0" fontId="38" fillId="12" borderId="77" xfId="5" applyFont="1" applyFill="1" applyBorder="1" applyAlignment="1">
      <alignment horizontal="center" vertical="center" wrapText="1"/>
    </xf>
    <xf numFmtId="0" fontId="38" fillId="12" borderId="78" xfId="5" applyFont="1" applyFill="1" applyBorder="1" applyAlignment="1">
      <alignment horizontal="center" vertical="center" wrapText="1"/>
    </xf>
    <xf numFmtId="0" fontId="38" fillId="12" borderId="79" xfId="5" applyFont="1" applyFill="1" applyBorder="1" applyAlignment="1">
      <alignment horizontal="center" vertical="center" wrapText="1"/>
    </xf>
    <xf numFmtId="167" fontId="0" fillId="12" borderId="80" xfId="6" applyNumberFormat="1" applyFont="1" applyFill="1" applyBorder="1" applyAlignment="1">
      <alignment horizontal="center" vertical="center" wrapText="1"/>
    </xf>
    <xf numFmtId="167" fontId="38" fillId="12" borderId="81" xfId="6" applyNumberFormat="1" applyFont="1" applyFill="1" applyBorder="1" applyAlignment="1">
      <alignment horizontal="center" vertical="center" wrapText="1"/>
    </xf>
    <xf numFmtId="167" fontId="0" fillId="12" borderId="82" xfId="6" applyNumberFormat="1" applyFont="1" applyFill="1" applyBorder="1" applyAlignment="1">
      <alignment horizontal="center" vertical="center" wrapText="1"/>
    </xf>
    <xf numFmtId="167" fontId="0" fillId="12" borderId="83" xfId="6" applyNumberFormat="1" applyFont="1" applyFill="1" applyBorder="1" applyAlignment="1">
      <alignment horizontal="center" vertical="center" wrapText="1"/>
    </xf>
    <xf numFmtId="167" fontId="0" fillId="12" borderId="84" xfId="6" applyNumberFormat="1" applyFont="1" applyFill="1" applyBorder="1" applyAlignment="1">
      <alignment horizontal="center" vertical="center" wrapText="1"/>
    </xf>
    <xf numFmtId="167" fontId="0" fillId="12" borderId="81" xfId="6" applyNumberFormat="1" applyFont="1" applyFill="1" applyBorder="1" applyAlignment="1">
      <alignment horizontal="center" vertical="center" wrapText="1"/>
    </xf>
    <xf numFmtId="167" fontId="0" fillId="12" borderId="85" xfId="6" applyNumberFormat="1" applyFont="1" applyFill="1" applyBorder="1" applyAlignment="1">
      <alignment horizontal="center" vertical="center" wrapText="1"/>
    </xf>
    <xf numFmtId="167" fontId="38" fillId="12" borderId="79" xfId="6" applyNumberFormat="1" applyFont="1" applyFill="1" applyBorder="1" applyAlignment="1">
      <alignment horizontal="center" vertical="center" wrapText="1"/>
    </xf>
    <xf numFmtId="49" fontId="41" fillId="0" borderId="86" xfId="5" applyNumberFormat="1" applyFont="1" applyBorder="1" applyAlignment="1">
      <alignment vertical="center"/>
    </xf>
    <xf numFmtId="0" fontId="38" fillId="0" borderId="86" xfId="5" applyBorder="1" applyAlignment="1">
      <alignment vertical="center"/>
    </xf>
    <xf numFmtId="0" fontId="38" fillId="0" borderId="86" xfId="5" applyBorder="1" applyAlignment="1">
      <alignment horizontal="center" vertical="center"/>
    </xf>
    <xf numFmtId="167" fontId="42" fillId="0" borderId="86" xfId="6" applyNumberFormat="1" applyFont="1" applyBorder="1" applyAlignment="1">
      <alignment vertical="center"/>
    </xf>
    <xf numFmtId="165" fontId="42" fillId="0" borderId="86" xfId="5" applyNumberFormat="1" applyFont="1" applyBorder="1" applyAlignment="1">
      <alignment vertical="center"/>
    </xf>
    <xf numFmtId="165" fontId="42" fillId="0" borderId="86" xfId="6" applyNumberFormat="1" applyFont="1" applyBorder="1" applyAlignment="1">
      <alignment vertical="center"/>
    </xf>
    <xf numFmtId="37" fontId="42" fillId="0" borderId="86" xfId="6" applyNumberFormat="1" applyFont="1" applyBorder="1" applyAlignment="1">
      <alignment vertical="center"/>
    </xf>
    <xf numFmtId="3" fontId="42" fillId="0" borderId="86" xfId="6" applyNumberFormat="1" applyFont="1" applyBorder="1" applyAlignment="1">
      <alignment vertical="center"/>
    </xf>
    <xf numFmtId="49" fontId="41" fillId="0" borderId="87" xfId="5" applyNumberFormat="1" applyFont="1" applyBorder="1" applyAlignment="1">
      <alignment vertical="center"/>
    </xf>
    <xf numFmtId="0" fontId="38" fillId="0" borderId="87" xfId="5" applyBorder="1" applyAlignment="1">
      <alignment vertical="center"/>
    </xf>
    <xf numFmtId="0" fontId="38" fillId="0" borderId="87" xfId="5" applyBorder="1" applyAlignment="1">
      <alignment horizontal="center" vertical="center"/>
    </xf>
    <xf numFmtId="167" fontId="42" fillId="0" borderId="87" xfId="6" applyNumberFormat="1" applyFont="1" applyBorder="1" applyAlignment="1">
      <alignment vertical="center"/>
    </xf>
    <xf numFmtId="165" fontId="42" fillId="0" borderId="87" xfId="5" applyNumberFormat="1" applyFont="1" applyBorder="1" applyAlignment="1">
      <alignment vertical="center"/>
    </xf>
    <xf numFmtId="165" fontId="42" fillId="0" borderId="87" xfId="6" applyNumberFormat="1" applyFont="1" applyBorder="1" applyAlignment="1">
      <alignment vertical="center"/>
    </xf>
    <xf numFmtId="37" fontId="42" fillId="0" borderId="87" xfId="6" applyNumberFormat="1" applyFont="1" applyBorder="1" applyAlignment="1">
      <alignment vertical="center"/>
    </xf>
    <xf numFmtId="3" fontId="42" fillId="0" borderId="87" xfId="6" applyNumberFormat="1" applyFont="1" applyBorder="1" applyAlignment="1">
      <alignment vertical="center"/>
    </xf>
    <xf numFmtId="49" fontId="41" fillId="0" borderId="87" xfId="5" applyNumberFormat="1" applyFont="1" applyFill="1" applyBorder="1" applyAlignment="1">
      <alignment vertical="center"/>
    </xf>
    <xf numFmtId="0" fontId="38" fillId="0" borderId="87" xfId="5" applyFill="1" applyBorder="1" applyAlignment="1">
      <alignment vertical="center"/>
    </xf>
    <xf numFmtId="0" fontId="38" fillId="0" borderId="87" xfId="5" applyFill="1" applyBorder="1" applyAlignment="1">
      <alignment horizontal="center" vertical="center"/>
    </xf>
    <xf numFmtId="165" fontId="42" fillId="0" borderId="88" xfId="5" applyNumberFormat="1" applyFont="1" applyBorder="1" applyAlignment="1">
      <alignment vertical="center"/>
    </xf>
    <xf numFmtId="165" fontId="42" fillId="0" borderId="88" xfId="6" applyNumberFormat="1" applyFont="1" applyBorder="1" applyAlignment="1">
      <alignment vertical="center"/>
    </xf>
    <xf numFmtId="0" fontId="38" fillId="0" borderId="0" xfId="5" applyAlignment="1">
      <alignment horizontal="center" vertical="center"/>
    </xf>
    <xf numFmtId="0" fontId="42" fillId="0" borderId="0" xfId="5" applyFont="1" applyAlignment="1">
      <alignment vertical="center"/>
    </xf>
    <xf numFmtId="3" fontId="43" fillId="0" borderId="0" xfId="5" applyNumberFormat="1" applyFont="1" applyFill="1" applyBorder="1" applyAlignment="1">
      <alignment vertical="center"/>
    </xf>
    <xf numFmtId="165" fontId="44" fillId="0" borderId="89" xfId="5" applyNumberFormat="1" applyFont="1" applyBorder="1" applyAlignment="1">
      <alignment horizontal="centerContinuous" vertical="center" wrapText="1"/>
    </xf>
    <xf numFmtId="165" fontId="44" fillId="0" borderId="90" xfId="5" applyNumberFormat="1" applyFont="1" applyBorder="1" applyAlignment="1">
      <alignment horizontal="centerContinuous" vertical="center" wrapText="1"/>
    </xf>
    <xf numFmtId="165" fontId="44" fillId="0" borderId="91" xfId="5" applyNumberFormat="1" applyFont="1" applyBorder="1" applyAlignment="1">
      <alignment horizontal="centerContinuous" vertical="center" wrapText="1"/>
    </xf>
    <xf numFmtId="165" fontId="42" fillId="0" borderId="0" xfId="5" applyNumberFormat="1" applyFont="1" applyAlignment="1">
      <alignment vertical="center"/>
    </xf>
    <xf numFmtId="49" fontId="38" fillId="0" borderId="86" xfId="5" applyNumberFormat="1" applyBorder="1" applyAlignment="1">
      <alignment vertical="center"/>
    </xf>
    <xf numFmtId="167" fontId="42" fillId="0" borderId="86" xfId="5" applyNumberFormat="1" applyFont="1" applyBorder="1" applyAlignment="1">
      <alignment vertical="center"/>
    </xf>
    <xf numFmtId="165" fontId="44" fillId="0" borderId="92" xfId="5" applyNumberFormat="1" applyFont="1" applyFill="1" applyBorder="1" applyAlignment="1">
      <alignment vertical="center"/>
    </xf>
    <xf numFmtId="165" fontId="44" fillId="0" borderId="93" xfId="5" applyNumberFormat="1" applyFont="1" applyFill="1" applyBorder="1" applyAlignment="1">
      <alignment vertical="center"/>
    </xf>
    <xf numFmtId="165" fontId="44" fillId="0" borderId="94" xfId="6" applyNumberFormat="1" applyFont="1" applyFill="1" applyBorder="1" applyAlignment="1">
      <alignment vertical="center"/>
    </xf>
    <xf numFmtId="165" fontId="0" fillId="0" borderId="0" xfId="7" applyNumberFormat="1" applyFont="1" applyAlignment="1">
      <alignment vertical="center"/>
    </xf>
    <xf numFmtId="0" fontId="38" fillId="0" borderId="0" xfId="5" applyAlignment="1">
      <alignment horizontal="center" vertical="top"/>
    </xf>
    <xf numFmtId="3" fontId="38" fillId="0" borderId="0" xfId="5" applyNumberFormat="1" applyAlignment="1">
      <alignment horizontal="center" vertical="top"/>
    </xf>
    <xf numFmtId="0" fontId="38" fillId="11" borderId="0" xfId="5" applyFill="1" applyAlignment="1">
      <alignment horizontal="centerContinuous" vertical="center"/>
    </xf>
    <xf numFmtId="0" fontId="39" fillId="11" borderId="0" xfId="5" applyFont="1" applyFill="1" applyAlignment="1">
      <alignment horizontal="centerContinuous" vertical="center"/>
    </xf>
    <xf numFmtId="49" fontId="46" fillId="0" borderId="86" xfId="5" applyNumberFormat="1" applyFont="1" applyBorder="1" applyAlignment="1">
      <alignment vertical="center"/>
    </xf>
    <xf numFmtId="0" fontId="0" fillId="0" borderId="0" xfId="0" applyAlignment="1">
      <alignment horizontal="left" vertical="center"/>
    </xf>
    <xf numFmtId="3" fontId="0" fillId="0" borderId="0" xfId="0" applyNumberFormat="1" applyAlignment="1">
      <alignment horizontal="center" vertical="center"/>
    </xf>
    <xf numFmtId="0" fontId="0" fillId="12" borderId="0" xfId="0" applyFill="1" applyAlignment="1">
      <alignment horizontal="left" vertical="center"/>
    </xf>
    <xf numFmtId="3" fontId="0" fillId="12" borderId="0" xfId="0" applyNumberFormat="1" applyFill="1" applyAlignment="1">
      <alignment horizontal="center" vertical="center"/>
    </xf>
    <xf numFmtId="164" fontId="0" fillId="0" borderId="0" xfId="0" applyNumberFormat="1" applyFill="1" applyAlignment="1">
      <alignment vertical="center"/>
    </xf>
    <xf numFmtId="0" fontId="31" fillId="0" borderId="0" xfId="0" applyFont="1" applyAlignment="1">
      <alignment horizontal="center" vertical="center"/>
    </xf>
    <xf numFmtId="0" fontId="25" fillId="0" borderId="0" xfId="0" applyFont="1" applyAlignment="1">
      <alignment horizontal="left" vertical="center"/>
    </xf>
    <xf numFmtId="0" fontId="15" fillId="11" borderId="95" xfId="0" applyFont="1" applyFill="1" applyBorder="1" applyAlignment="1" applyProtection="1">
      <alignment horizontal="center" vertical="center" wrapText="1"/>
    </xf>
    <xf numFmtId="0" fontId="15" fillId="11" borderId="25" xfId="0" applyFont="1" applyFill="1" applyBorder="1" applyAlignment="1">
      <alignment horizontal="centerContinuous" vertical="center"/>
    </xf>
    <xf numFmtId="0" fontId="15" fillId="11" borderId="32" xfId="0" applyFont="1" applyFill="1" applyBorder="1" applyAlignment="1" applyProtection="1">
      <alignment horizontal="center" vertical="center" wrapText="1"/>
    </xf>
    <xf numFmtId="3" fontId="13" fillId="0" borderId="97" xfId="0" applyNumberFormat="1" applyFont="1" applyBorder="1" applyAlignment="1">
      <alignment horizontal="center" vertical="center"/>
    </xf>
    <xf numFmtId="10" fontId="13" fillId="0" borderId="17" xfId="2" applyNumberFormat="1" applyFont="1" applyBorder="1" applyAlignment="1" applyProtection="1">
      <alignment horizontal="center" vertical="center" wrapText="1"/>
    </xf>
    <xf numFmtId="10" fontId="13" fillId="0" borderId="96" xfId="2" applyNumberFormat="1" applyFont="1" applyBorder="1" applyAlignment="1" applyProtection="1">
      <alignment horizontal="center" vertical="center"/>
    </xf>
    <xf numFmtId="0" fontId="15" fillId="3" borderId="95" xfId="0" applyFont="1" applyFill="1" applyBorder="1" applyAlignment="1" applyProtection="1">
      <alignment horizontal="center" vertical="center" wrapText="1"/>
    </xf>
    <xf numFmtId="0" fontId="15" fillId="0" borderId="0" xfId="0" quotePrefix="1" applyFont="1" applyAlignment="1">
      <alignment vertical="center"/>
    </xf>
    <xf numFmtId="3" fontId="13" fillId="0" borderId="1" xfId="0" applyNumberFormat="1" applyFont="1" applyBorder="1" applyAlignment="1" applyProtection="1">
      <alignment horizontal="center" vertical="center" wrapText="1"/>
    </xf>
    <xf numFmtId="0" fontId="11" fillId="0" borderId="7" xfId="0" applyFont="1" applyBorder="1" applyAlignment="1">
      <alignment horizontal="center" vertical="center"/>
    </xf>
    <xf numFmtId="166" fontId="13" fillId="0" borderId="5" xfId="0" applyNumberFormat="1" applyFont="1" applyFill="1" applyBorder="1" applyAlignment="1" applyProtection="1">
      <alignment horizontal="center" vertical="center"/>
    </xf>
    <xf numFmtId="166" fontId="13" fillId="0" borderId="13" xfId="0" applyNumberFormat="1" applyFont="1" applyFill="1" applyBorder="1" applyAlignment="1" applyProtection="1">
      <alignment horizontal="center" vertical="center"/>
    </xf>
    <xf numFmtId="0" fontId="11" fillId="0" borderId="7" xfId="0" applyFont="1" applyBorder="1" applyAlignment="1">
      <alignment horizontal="center" vertical="center"/>
    </xf>
    <xf numFmtId="0" fontId="11" fillId="0" borderId="31" xfId="0" applyFont="1" applyBorder="1" applyAlignment="1">
      <alignment horizontal="center"/>
    </xf>
    <xf numFmtId="0" fontId="11" fillId="0" borderId="7" xfId="0" applyFont="1" applyBorder="1" applyAlignment="1">
      <alignment horizontal="center"/>
    </xf>
    <xf numFmtId="0" fontId="15" fillId="11" borderId="26" xfId="0" applyFont="1" applyFill="1" applyBorder="1" applyAlignment="1">
      <alignment horizontal="centerContinuous" vertical="center"/>
    </xf>
    <xf numFmtId="0" fontId="15" fillId="11" borderId="33" xfId="0" applyFont="1" applyFill="1" applyBorder="1" applyAlignment="1" applyProtection="1">
      <alignment horizontal="center" vertical="center" wrapText="1"/>
    </xf>
    <xf numFmtId="0" fontId="15" fillId="11" borderId="25" xfId="0" applyFont="1" applyFill="1" applyBorder="1" applyAlignment="1">
      <alignment horizontal="centerContinuous" vertical="center" wrapText="1"/>
    </xf>
    <xf numFmtId="0" fontId="15" fillId="11" borderId="26" xfId="0" applyFont="1" applyFill="1" applyBorder="1" applyAlignment="1">
      <alignment horizontal="centerContinuous" vertical="center" wrapText="1"/>
    </xf>
    <xf numFmtId="0" fontId="15" fillId="3" borderId="48" xfId="0" applyFont="1" applyFill="1" applyBorder="1" applyAlignment="1" applyProtection="1">
      <alignment horizontal="center" vertical="center" wrapText="1"/>
    </xf>
    <xf numFmtId="3" fontId="13" fillId="0" borderId="36" xfId="0" applyNumberFormat="1" applyFont="1" applyBorder="1" applyAlignment="1">
      <alignment horizontal="center" vertical="center"/>
    </xf>
    <xf numFmtId="0" fontId="15" fillId="11" borderId="48" xfId="0" applyFont="1" applyFill="1" applyBorder="1" applyAlignment="1" applyProtection="1">
      <alignment horizontal="center" vertical="center" wrapText="1"/>
    </xf>
    <xf numFmtId="0" fontId="0" fillId="10" borderId="16" xfId="0" applyFont="1" applyFill="1" applyBorder="1" applyAlignment="1">
      <alignment horizontal="center" vertical="center"/>
    </xf>
    <xf numFmtId="0" fontId="0" fillId="10" borderId="17" xfId="0" applyFill="1" applyBorder="1" applyAlignment="1">
      <alignment horizontal="centerContinuous" vertical="center"/>
    </xf>
    <xf numFmtId="0" fontId="0" fillId="10" borderId="10" xfId="0" applyFill="1" applyBorder="1" applyAlignment="1">
      <alignment horizontal="centerContinuous" vertical="center"/>
    </xf>
    <xf numFmtId="0" fontId="0" fillId="10" borderId="4" xfId="0" applyFill="1" applyBorder="1" applyAlignment="1">
      <alignment horizontal="centerContinuous" vertical="center"/>
    </xf>
    <xf numFmtId="0" fontId="0" fillId="0" borderId="1" xfId="0" applyNumberFormat="1" applyFont="1" applyBorder="1" applyAlignment="1" applyProtection="1">
      <alignment horizontal="center" vertical="center"/>
      <protection locked="0"/>
    </xf>
    <xf numFmtId="0" fontId="0" fillId="0" borderId="4" xfId="0" applyNumberFormat="1" applyFont="1" applyBorder="1" applyAlignment="1" applyProtection="1">
      <alignment horizontal="center" vertical="center"/>
      <protection locked="0"/>
    </xf>
    <xf numFmtId="0" fontId="0" fillId="10" borderId="98" xfId="0" applyFont="1" applyFill="1" applyBorder="1" applyAlignment="1">
      <alignment horizontal="center" vertical="center"/>
    </xf>
    <xf numFmtId="0" fontId="11" fillId="10" borderId="37" xfId="0" applyFont="1" applyFill="1" applyBorder="1" applyAlignment="1">
      <alignment horizontal="center" vertical="center"/>
    </xf>
    <xf numFmtId="0" fontId="15" fillId="3" borderId="99" xfId="0" applyFont="1" applyFill="1" applyBorder="1" applyAlignment="1">
      <alignment horizontal="left" vertical="center" wrapText="1" indent="1"/>
    </xf>
    <xf numFmtId="0" fontId="15" fillId="3" borderId="100" xfId="0" applyFont="1" applyFill="1" applyBorder="1" applyAlignment="1">
      <alignment horizontal="left" vertical="center" wrapText="1" indent="1"/>
    </xf>
    <xf numFmtId="0" fontId="15" fillId="3" borderId="101" xfId="0" applyFont="1" applyFill="1" applyBorder="1" applyAlignment="1">
      <alignment horizontal="left" vertical="center" wrapText="1" indent="1"/>
    </xf>
    <xf numFmtId="165" fontId="13" fillId="0" borderId="5" xfId="0" applyNumberFormat="1" applyFont="1" applyBorder="1" applyAlignment="1" applyProtection="1">
      <alignment horizontal="center" vertical="center"/>
    </xf>
    <xf numFmtId="3" fontId="31" fillId="0" borderId="21" xfId="0" applyNumberFormat="1" applyFont="1" applyBorder="1" applyAlignment="1">
      <alignment horizontal="center" vertical="center"/>
    </xf>
    <xf numFmtId="3" fontId="31" fillId="0" borderId="12" xfId="0" applyNumberFormat="1" applyFont="1" applyBorder="1" applyAlignment="1">
      <alignment horizontal="center" vertical="center"/>
    </xf>
    <xf numFmtId="0" fontId="15" fillId="11" borderId="99" xfId="0" applyFont="1" applyFill="1" applyBorder="1" applyAlignment="1">
      <alignment horizontal="left" vertical="center" wrapText="1" indent="1"/>
    </xf>
    <xf numFmtId="0" fontId="15" fillId="11" borderId="100" xfId="0" applyFont="1" applyFill="1" applyBorder="1" applyAlignment="1">
      <alignment horizontal="left" vertical="center" wrapText="1" indent="1"/>
    </xf>
    <xf numFmtId="0" fontId="15" fillId="11" borderId="101" xfId="0" applyFont="1" applyFill="1" applyBorder="1" applyAlignment="1">
      <alignment horizontal="left" vertical="center" wrapText="1" indent="1"/>
    </xf>
    <xf numFmtId="165" fontId="31" fillId="0" borderId="12" xfId="2" applyNumberFormat="1" applyFont="1" applyBorder="1" applyAlignment="1">
      <alignment horizontal="center" vertical="center"/>
    </xf>
    <xf numFmtId="165" fontId="31" fillId="0" borderId="13" xfId="2" applyNumberFormat="1" applyFont="1" applyBorder="1" applyAlignment="1">
      <alignment horizontal="center" vertical="center"/>
    </xf>
    <xf numFmtId="1" fontId="0" fillId="0" borderId="0" xfId="0" applyNumberFormat="1" applyAlignment="1">
      <alignment vertical="center"/>
    </xf>
    <xf numFmtId="1" fontId="25" fillId="0" borderId="0" xfId="0" applyNumberFormat="1" applyFont="1" applyAlignment="1">
      <alignment vertical="center"/>
    </xf>
    <xf numFmtId="1" fontId="0" fillId="0" borderId="0" xfId="0" applyNumberFormat="1" applyAlignment="1">
      <alignment horizontal="left" vertical="center"/>
    </xf>
    <xf numFmtId="49" fontId="26" fillId="2" borderId="0" xfId="0" quotePrefix="1" applyNumberFormat="1" applyFont="1" applyFill="1" applyBorder="1" applyAlignment="1">
      <alignment horizontal="left" vertical="center"/>
    </xf>
    <xf numFmtId="164" fontId="25" fillId="0" borderId="0" xfId="0" applyNumberFormat="1" applyFont="1" applyFill="1" applyAlignment="1">
      <alignment horizontal="left" vertical="center"/>
    </xf>
    <xf numFmtId="3" fontId="13" fillId="0" borderId="4" xfId="0" applyNumberFormat="1" applyFont="1" applyBorder="1" applyAlignment="1" applyProtection="1">
      <alignment horizontal="center" vertical="center"/>
      <protection locked="0"/>
    </xf>
    <xf numFmtId="3" fontId="13" fillId="0" borderId="4" xfId="0" applyNumberFormat="1" applyFont="1" applyBorder="1" applyAlignment="1" applyProtection="1">
      <alignment horizontal="center" vertical="center"/>
    </xf>
    <xf numFmtId="0" fontId="15" fillId="11" borderId="100" xfId="0" applyFont="1" applyFill="1" applyBorder="1" applyAlignment="1" applyProtection="1">
      <alignment horizontal="left" vertical="center" wrapText="1" indent="1"/>
      <protection locked="0"/>
    </xf>
    <xf numFmtId="3" fontId="13" fillId="0" borderId="12" xfId="0" applyNumberFormat="1" applyFont="1" applyBorder="1" applyAlignment="1" applyProtection="1">
      <alignment horizontal="center" vertical="center"/>
    </xf>
    <xf numFmtId="165" fontId="13" fillId="0" borderId="12" xfId="0" applyNumberFormat="1" applyFont="1" applyBorder="1" applyAlignment="1" applyProtection="1">
      <alignment horizontal="center" vertical="center"/>
    </xf>
    <xf numFmtId="165" fontId="13" fillId="0" borderId="13" xfId="0" applyNumberFormat="1" applyFont="1" applyBorder="1" applyAlignment="1" applyProtection="1">
      <alignment horizontal="center" vertical="center"/>
    </xf>
    <xf numFmtId="0" fontId="31" fillId="11" borderId="25" xfId="0" applyFont="1" applyFill="1" applyBorder="1" applyAlignment="1">
      <alignment horizontal="centerContinuous" vertical="center"/>
    </xf>
    <xf numFmtId="0" fontId="31" fillId="11" borderId="26" xfId="0" applyFont="1" applyFill="1" applyBorder="1" applyAlignment="1">
      <alignment horizontal="centerContinuous" vertical="center"/>
    </xf>
    <xf numFmtId="0" fontId="31" fillId="3" borderId="56" xfId="0" applyFont="1" applyFill="1" applyBorder="1" applyAlignment="1">
      <alignment horizontal="centerContinuous" vertical="center"/>
    </xf>
    <xf numFmtId="0" fontId="15" fillId="11" borderId="102" xfId="0" applyFont="1" applyFill="1" applyBorder="1" applyAlignment="1" applyProtection="1">
      <alignment horizontal="left" vertical="center" wrapText="1" indent="1"/>
      <protection locked="0"/>
    </xf>
    <xf numFmtId="3" fontId="13" fillId="0" borderId="97" xfId="0" applyNumberFormat="1" applyFont="1" applyBorder="1" applyAlignment="1" applyProtection="1">
      <alignment horizontal="center" vertical="center"/>
    </xf>
    <xf numFmtId="0" fontId="15" fillId="3" borderId="103" xfId="0" applyFont="1" applyFill="1" applyBorder="1" applyAlignment="1">
      <alignment horizontal="center" vertical="center"/>
    </xf>
    <xf numFmtId="0" fontId="14" fillId="0" borderId="22" xfId="0" applyFont="1" applyBorder="1" applyAlignment="1">
      <alignment horizontal="center" vertical="center"/>
    </xf>
    <xf numFmtId="0" fontId="11" fillId="0" borderId="22" xfId="0" applyFont="1" applyBorder="1" applyAlignment="1">
      <alignment horizontal="center" vertical="center"/>
    </xf>
    <xf numFmtId="0" fontId="14" fillId="0" borderId="23" xfId="0" applyFont="1" applyBorder="1" applyAlignment="1">
      <alignment horizontal="center" vertical="center"/>
    </xf>
    <xf numFmtId="0" fontId="31" fillId="3" borderId="25" xfId="0" applyFont="1" applyFill="1" applyBorder="1" applyAlignment="1">
      <alignment horizontal="centerContinuous" vertical="center"/>
    </xf>
    <xf numFmtId="0" fontId="31" fillId="3" borderId="26" xfId="0" applyFont="1" applyFill="1" applyBorder="1" applyAlignment="1">
      <alignment horizontal="centerContinuous" vertical="center"/>
    </xf>
    <xf numFmtId="0" fontId="15" fillId="3" borderId="99" xfId="0" applyFont="1" applyFill="1" applyBorder="1" applyAlignment="1" applyProtection="1">
      <alignment horizontal="left" vertical="center" wrapText="1" indent="1"/>
      <protection locked="0"/>
    </xf>
    <xf numFmtId="0" fontId="15" fillId="3" borderId="100" xfId="0" applyFont="1" applyFill="1" applyBorder="1" applyAlignment="1" applyProtection="1">
      <alignment horizontal="left" vertical="center" wrapText="1" indent="1"/>
      <protection locked="0"/>
    </xf>
    <xf numFmtId="3" fontId="13" fillId="0" borderId="2" xfId="0" applyNumberFormat="1" applyFont="1" applyBorder="1" applyAlignment="1" applyProtection="1">
      <alignment horizontal="center" vertical="center"/>
    </xf>
    <xf numFmtId="3" fontId="13" fillId="0" borderId="21" xfId="0" applyNumberFormat="1" applyFont="1" applyBorder="1" applyAlignment="1" applyProtection="1">
      <alignment horizontal="center" vertical="center"/>
    </xf>
    <xf numFmtId="0" fontId="15" fillId="11" borderId="99" xfId="0" applyFont="1" applyFill="1" applyBorder="1" applyAlignment="1" applyProtection="1">
      <alignment horizontal="left" vertical="center" wrapText="1" indent="1"/>
      <protection locked="0"/>
    </xf>
    <xf numFmtId="0" fontId="48" fillId="11" borderId="25" xfId="0" applyFont="1" applyFill="1" applyBorder="1" applyAlignment="1">
      <alignment horizontal="centerContinuous" vertical="center"/>
    </xf>
    <xf numFmtId="0" fontId="48" fillId="3" borderId="24" xfId="0" applyFont="1" applyFill="1" applyBorder="1" applyAlignment="1">
      <alignment horizontal="centerContinuous" vertical="center"/>
    </xf>
    <xf numFmtId="0" fontId="48" fillId="11" borderId="24" xfId="0" applyFont="1" applyFill="1" applyBorder="1" applyAlignment="1">
      <alignment horizontal="centerContinuous" vertical="center"/>
    </xf>
    <xf numFmtId="0" fontId="48" fillId="3" borderId="25" xfId="0" applyFont="1" applyFill="1" applyBorder="1" applyAlignment="1">
      <alignment horizontal="centerContinuous" vertical="center"/>
    </xf>
    <xf numFmtId="0" fontId="48" fillId="3" borderId="25" xfId="0" applyFont="1" applyFill="1" applyBorder="1" applyAlignment="1">
      <alignment horizontal="centerContinuous" vertical="center" wrapText="1"/>
    </xf>
    <xf numFmtId="0" fontId="48" fillId="11" borderId="24" xfId="0" applyFont="1" applyFill="1" applyBorder="1" applyAlignment="1">
      <alignment horizontal="centerContinuous" vertical="center" wrapText="1"/>
    </xf>
    <xf numFmtId="49" fontId="40" fillId="13" borderId="0" xfId="5" applyNumberFormat="1" applyFont="1" applyFill="1" applyAlignment="1">
      <alignment horizontal="centerContinuous" vertical="center"/>
    </xf>
    <xf numFmtId="0" fontId="38" fillId="13" borderId="0" xfId="5" applyFill="1" applyAlignment="1">
      <alignment horizontal="centerContinuous" vertical="center"/>
    </xf>
    <xf numFmtId="0" fontId="0" fillId="12" borderId="17" xfId="0" applyFill="1" applyBorder="1" applyAlignment="1">
      <alignment vertical="center"/>
    </xf>
    <xf numFmtId="0" fontId="0" fillId="12" borderId="1" xfId="0" applyFill="1" applyBorder="1" applyAlignment="1">
      <alignment horizontal="center" vertical="center" wrapText="1"/>
    </xf>
    <xf numFmtId="0" fontId="15" fillId="12" borderId="17" xfId="0" applyFont="1" applyFill="1" applyBorder="1" applyAlignment="1">
      <alignment vertical="center"/>
    </xf>
    <xf numFmtId="0" fontId="15" fillId="12" borderId="1" xfId="0" applyFont="1" applyFill="1" applyBorder="1" applyAlignment="1">
      <alignment horizontal="center" vertical="center" wrapText="1"/>
    </xf>
    <xf numFmtId="0" fontId="53" fillId="0" borderId="0" xfId="0" applyFont="1" applyAlignment="1">
      <alignment horizontal="centerContinuous" vertical="center"/>
    </xf>
    <xf numFmtId="0" fontId="0" fillId="0" borderId="104" xfId="0" applyBorder="1" applyAlignment="1">
      <alignment horizontal="left" vertical="center"/>
    </xf>
    <xf numFmtId="3" fontId="0" fillId="0" borderId="104" xfId="0" applyNumberFormat="1" applyBorder="1" applyAlignment="1">
      <alignment horizontal="center" vertical="center"/>
    </xf>
    <xf numFmtId="0" fontId="0" fillId="0" borderId="105" xfId="0" applyBorder="1" applyAlignment="1">
      <alignment horizontal="left" vertical="center"/>
    </xf>
    <xf numFmtId="3" fontId="0" fillId="0" borderId="105" xfId="0" applyNumberFormat="1" applyBorder="1" applyAlignment="1">
      <alignment horizontal="center" vertical="center"/>
    </xf>
    <xf numFmtId="0" fontId="15" fillId="12" borderId="106" xfId="0" applyFont="1" applyFill="1" applyBorder="1" applyAlignment="1">
      <alignment horizontal="left" vertical="center"/>
    </xf>
    <xf numFmtId="3" fontId="15" fillId="12" borderId="106" xfId="0" applyNumberFormat="1" applyFont="1" applyFill="1" applyBorder="1" applyAlignment="1">
      <alignment horizontal="center" vertical="center"/>
    </xf>
    <xf numFmtId="0" fontId="15" fillId="12" borderId="104" xfId="0" applyFont="1" applyFill="1" applyBorder="1" applyAlignment="1">
      <alignment horizontal="left" vertical="center"/>
    </xf>
    <xf numFmtId="3" fontId="15" fillId="12" borderId="104" xfId="0" applyNumberFormat="1" applyFont="1" applyFill="1" applyBorder="1" applyAlignment="1">
      <alignment horizontal="center" vertical="center"/>
    </xf>
    <xf numFmtId="0" fontId="15" fillId="12" borderId="105" xfId="0" applyFont="1" applyFill="1" applyBorder="1" applyAlignment="1">
      <alignment horizontal="left" vertical="center"/>
    </xf>
    <xf numFmtId="3" fontId="15" fillId="12" borderId="105" xfId="0" applyNumberFormat="1" applyFont="1" applyFill="1" applyBorder="1" applyAlignment="1">
      <alignment horizontal="center" vertical="center"/>
    </xf>
    <xf numFmtId="0" fontId="37" fillId="12" borderId="0" xfId="3" applyFont="1" applyFill="1" applyAlignment="1">
      <alignment horizontal="centerContinuous" vertical="center"/>
    </xf>
    <xf numFmtId="0" fontId="10" fillId="12" borderId="0" xfId="3" applyFill="1" applyAlignment="1">
      <alignment horizontal="centerContinuous" vertical="center"/>
    </xf>
    <xf numFmtId="49" fontId="14" fillId="0" borderId="22" xfId="0" applyNumberFormat="1" applyFont="1" applyBorder="1" applyAlignment="1">
      <alignment horizontal="center" vertical="center"/>
    </xf>
    <xf numFmtId="49" fontId="11" fillId="0" borderId="22" xfId="0" applyNumberFormat="1" applyFont="1" applyBorder="1" applyAlignment="1">
      <alignment horizontal="center" vertical="center"/>
    </xf>
    <xf numFmtId="0" fontId="15" fillId="11" borderId="99" xfId="0" applyFont="1" applyFill="1" applyBorder="1" applyAlignment="1">
      <alignment horizontal="center" vertical="center" wrapText="1"/>
    </xf>
    <xf numFmtId="0" fontId="15" fillId="11" borderId="100" xfId="0" applyFont="1" applyFill="1" applyBorder="1" applyAlignment="1">
      <alignment horizontal="center" vertical="center" wrapText="1"/>
    </xf>
    <xf numFmtId="0" fontId="15" fillId="3" borderId="99" xfId="0" applyFont="1" applyFill="1" applyBorder="1" applyAlignment="1">
      <alignment horizontal="center" vertical="center" wrapText="1"/>
    </xf>
    <xf numFmtId="0" fontId="15" fillId="3" borderId="100" xfId="0" applyFont="1" applyFill="1" applyBorder="1" applyAlignment="1">
      <alignment horizontal="center" vertical="center" wrapText="1"/>
    </xf>
    <xf numFmtId="0" fontId="15" fillId="11" borderId="101" xfId="0" applyFont="1" applyFill="1" applyBorder="1" applyAlignment="1">
      <alignment horizontal="center" vertical="center" wrapText="1"/>
    </xf>
    <xf numFmtId="0" fontId="15" fillId="4" borderId="17" xfId="0" applyFont="1" applyFill="1" applyBorder="1" applyAlignment="1">
      <alignment horizontal="center" vertical="center"/>
    </xf>
    <xf numFmtId="0" fontId="0" fillId="5" borderId="17" xfId="0" applyFill="1" applyBorder="1" applyAlignment="1">
      <alignment horizontal="center" vertical="center"/>
    </xf>
    <xf numFmtId="0" fontId="0" fillId="0" borderId="17" xfId="0" applyNumberFormat="1" applyBorder="1" applyAlignment="1">
      <alignment horizontal="center" vertical="center"/>
    </xf>
    <xf numFmtId="0" fontId="0" fillId="6" borderId="107" xfId="0" applyFill="1" applyBorder="1" applyAlignment="1">
      <alignment horizontal="center" vertical="center"/>
    </xf>
    <xf numFmtId="49" fontId="0" fillId="0" borderId="107" xfId="0" applyNumberFormat="1" applyBorder="1" applyAlignment="1">
      <alignment horizontal="center" vertical="center"/>
    </xf>
    <xf numFmtId="49" fontId="11" fillId="0" borderId="108" xfId="0" applyNumberFormat="1" applyFont="1" applyBorder="1" applyAlignment="1">
      <alignment horizontal="center" vertical="center"/>
    </xf>
    <xf numFmtId="49" fontId="0" fillId="0" borderId="108" xfId="0" applyNumberFormat="1" applyBorder="1" applyAlignment="1">
      <alignment horizontal="center" vertical="center"/>
    </xf>
    <xf numFmtId="49" fontId="0" fillId="0" borderId="46" xfId="0" applyNumberFormat="1" applyBorder="1" applyAlignment="1">
      <alignment horizontal="center" vertical="center"/>
    </xf>
    <xf numFmtId="0" fontId="15" fillId="4" borderId="4" xfId="0" applyFont="1" applyFill="1" applyBorder="1" applyAlignment="1">
      <alignment horizontal="center" vertical="center"/>
    </xf>
    <xf numFmtId="0" fontId="0" fillId="5" borderId="4" xfId="0" applyFill="1" applyBorder="1" applyAlignment="1">
      <alignment horizontal="center" vertical="center"/>
    </xf>
    <xf numFmtId="0" fontId="0" fillId="0" borderId="4" xfId="0" applyNumberFormat="1" applyBorder="1" applyAlignment="1">
      <alignment horizontal="center" vertical="center"/>
    </xf>
    <xf numFmtId="0" fontId="0" fillId="6" borderId="37" xfId="0" applyFill="1" applyBorder="1" applyAlignment="1">
      <alignment horizontal="center" vertical="center"/>
    </xf>
    <xf numFmtId="49" fontId="0" fillId="0" borderId="37" xfId="0" applyNumberFormat="1" applyBorder="1" applyAlignment="1">
      <alignment horizontal="center" vertical="center"/>
    </xf>
    <xf numFmtId="49" fontId="11" fillId="0" borderId="109" xfId="0" applyNumberFormat="1" applyFont="1" applyBorder="1" applyAlignment="1">
      <alignment horizontal="center" vertical="center"/>
    </xf>
    <xf numFmtId="49" fontId="0" fillId="0" borderId="109" xfId="0" applyNumberFormat="1" applyBorder="1" applyAlignment="1">
      <alignment horizontal="center" vertical="center"/>
    </xf>
    <xf numFmtId="49" fontId="0" fillId="0" borderId="47" xfId="0" applyNumberFormat="1" applyBorder="1" applyAlignment="1">
      <alignment horizontal="center" vertical="center"/>
    </xf>
    <xf numFmtId="0" fontId="11" fillId="0" borderId="0" xfId="0" applyFont="1" applyFill="1" applyBorder="1" applyAlignment="1">
      <alignment vertical="center"/>
    </xf>
    <xf numFmtId="49" fontId="0" fillId="0" borderId="7" xfId="0" applyNumberFormat="1" applyFill="1" applyBorder="1" applyAlignment="1">
      <alignment horizontal="center" vertical="center"/>
    </xf>
    <xf numFmtId="49" fontId="11" fillId="0" borderId="23" xfId="0" applyNumberFormat="1" applyFont="1" applyBorder="1" applyAlignment="1">
      <alignment horizontal="center" vertical="center"/>
    </xf>
    <xf numFmtId="49" fontId="0" fillId="0" borderId="1" xfId="0" applyNumberFormat="1" applyBorder="1" applyAlignment="1">
      <alignment horizontal="center" vertical="center"/>
    </xf>
    <xf numFmtId="0" fontId="0" fillId="4" borderId="110" xfId="0" applyFill="1" applyBorder="1" applyAlignment="1">
      <alignment horizontal="centerContinuous" vertical="center"/>
    </xf>
    <xf numFmtId="0" fontId="0" fillId="6" borderId="31" xfId="0" applyFill="1" applyBorder="1" applyAlignment="1">
      <alignment horizontal="center" vertical="center"/>
    </xf>
    <xf numFmtId="0" fontId="0" fillId="5" borderId="31" xfId="0" applyFill="1" applyBorder="1" applyAlignment="1">
      <alignment horizontal="center" vertical="center"/>
    </xf>
    <xf numFmtId="0" fontId="0" fillId="6" borderId="39" xfId="0" applyFill="1" applyBorder="1" applyAlignment="1">
      <alignment horizontal="center" vertical="center"/>
    </xf>
    <xf numFmtId="0" fontId="0" fillId="6" borderId="111" xfId="0" applyFill="1" applyBorder="1" applyAlignment="1">
      <alignment horizontal="center" vertical="center"/>
    </xf>
    <xf numFmtId="0" fontId="11" fillId="0" borderId="0" xfId="0" applyFont="1" applyAlignment="1">
      <alignment horizontal="left" vertical="center" indent="1"/>
    </xf>
    <xf numFmtId="0" fontId="0" fillId="0" borderId="1" xfId="0" applyFill="1" applyBorder="1" applyAlignment="1">
      <alignment horizontal="center" vertical="center"/>
    </xf>
    <xf numFmtId="0" fontId="0" fillId="0" borderId="17" xfId="0" applyFill="1" applyBorder="1" applyAlignment="1">
      <alignment horizontal="center" vertical="center"/>
    </xf>
    <xf numFmtId="0" fontId="0" fillId="0" borderId="4" xfId="0" applyFill="1" applyBorder="1" applyAlignment="1">
      <alignment horizontal="center" vertical="center"/>
    </xf>
    <xf numFmtId="0" fontId="11" fillId="14" borderId="16" xfId="0" applyFont="1" applyFill="1" applyBorder="1" applyAlignment="1">
      <alignment horizontal="center" vertical="center"/>
    </xf>
    <xf numFmtId="49" fontId="11" fillId="4" borderId="48" xfId="1" applyNumberFormat="1" applyFont="1" applyFill="1" applyBorder="1" applyAlignment="1">
      <alignment horizontal="centerContinuous" vertical="center"/>
    </xf>
    <xf numFmtId="0" fontId="6" fillId="0" borderId="0" xfId="3" applyFont="1" applyAlignment="1">
      <alignment vertical="center"/>
    </xf>
    <xf numFmtId="0" fontId="11" fillId="0" borderId="0" xfId="0" applyFont="1"/>
    <xf numFmtId="0" fontId="5" fillId="0" borderId="0" xfId="3" applyFont="1" applyAlignment="1">
      <alignment vertical="center"/>
    </xf>
    <xf numFmtId="0" fontId="4" fillId="0" borderId="0" xfId="3" applyFont="1" applyAlignment="1">
      <alignment vertical="center"/>
    </xf>
    <xf numFmtId="3" fontId="14" fillId="0" borderId="61" xfId="1" applyNumberFormat="1" applyFill="1" applyBorder="1" applyAlignment="1">
      <alignment vertical="center"/>
    </xf>
    <xf numFmtId="3" fontId="14" fillId="0" borderId="67" xfId="1" applyNumberFormat="1" applyFill="1" applyBorder="1" applyAlignment="1">
      <alignment vertical="center"/>
    </xf>
    <xf numFmtId="3" fontId="14" fillId="0" borderId="64" xfId="1" applyNumberFormat="1" applyFill="1" applyBorder="1" applyAlignment="1">
      <alignment vertical="center"/>
    </xf>
    <xf numFmtId="3" fontId="14" fillId="0" borderId="71" xfId="1" applyNumberFormat="1" applyFill="1" applyBorder="1" applyAlignment="1">
      <alignment vertical="center"/>
    </xf>
    <xf numFmtId="3" fontId="14" fillId="0" borderId="57" xfId="1" applyNumberFormat="1" applyFill="1" applyBorder="1" applyAlignment="1">
      <alignment vertical="center"/>
    </xf>
    <xf numFmtId="0" fontId="38" fillId="0" borderId="0" xfId="5" applyAlignment="1">
      <alignment horizontal="centerContinuous" vertical="top"/>
    </xf>
    <xf numFmtId="0" fontId="38" fillId="0" borderId="0" xfId="5" applyAlignment="1">
      <alignment vertical="top"/>
    </xf>
    <xf numFmtId="0" fontId="40" fillId="12" borderId="112" xfId="5" applyFont="1" applyFill="1" applyBorder="1" applyAlignment="1">
      <alignment horizontal="centerContinuous" vertical="center" wrapText="1"/>
    </xf>
    <xf numFmtId="0" fontId="38" fillId="0" borderId="0" xfId="5"/>
    <xf numFmtId="0" fontId="0" fillId="0" borderId="17" xfId="0" pivotButton="1" applyBorder="1" applyAlignment="1">
      <alignment vertical="center"/>
    </xf>
    <xf numFmtId="0" fontId="0" fillId="0" borderId="113" xfId="0" applyBorder="1" applyAlignment="1">
      <alignment horizontal="left" vertical="center"/>
    </xf>
    <xf numFmtId="3" fontId="0" fillId="0" borderId="113" xfId="0" applyNumberFormat="1" applyBorder="1" applyAlignment="1">
      <alignment horizontal="center" vertical="center"/>
    </xf>
    <xf numFmtId="0" fontId="0" fillId="0" borderId="114" xfId="0" applyBorder="1" applyAlignment="1">
      <alignment horizontal="left" vertical="center"/>
    </xf>
    <xf numFmtId="3" fontId="0" fillId="0" borderId="114" xfId="0" applyNumberFormat="1" applyBorder="1" applyAlignment="1">
      <alignment horizontal="center" vertical="center"/>
    </xf>
    <xf numFmtId="49" fontId="24" fillId="11" borderId="0" xfId="5" applyNumberFormat="1" applyFont="1" applyFill="1" applyAlignment="1">
      <alignment vertical="center"/>
    </xf>
    <xf numFmtId="0" fontId="38" fillId="11" borderId="0" xfId="5" applyFill="1" applyAlignment="1">
      <alignment vertical="center"/>
    </xf>
    <xf numFmtId="0" fontId="24" fillId="11" borderId="0" xfId="5" applyFont="1" applyFill="1" applyAlignment="1">
      <alignment horizontal="center" vertical="center"/>
    </xf>
    <xf numFmtId="0" fontId="38" fillId="12" borderId="80" xfId="5" applyFont="1" applyFill="1" applyBorder="1" applyAlignment="1">
      <alignment horizontal="center" vertical="center" wrapText="1"/>
    </xf>
    <xf numFmtId="0" fontId="38" fillId="12" borderId="81" xfId="5" applyFont="1" applyFill="1" applyBorder="1" applyAlignment="1">
      <alignment horizontal="center" vertical="center" wrapText="1"/>
    </xf>
    <xf numFmtId="165" fontId="42" fillId="0" borderId="86" xfId="7" applyNumberFormat="1" applyFont="1" applyBorder="1" applyAlignment="1">
      <alignment horizontal="center" vertical="center"/>
    </xf>
    <xf numFmtId="165" fontId="42" fillId="0" borderId="86" xfId="6" applyNumberFormat="1" applyFont="1" applyBorder="1" applyAlignment="1">
      <alignment horizontal="center" vertical="center"/>
    </xf>
    <xf numFmtId="165" fontId="42" fillId="0" borderId="87" xfId="7" applyNumberFormat="1" applyFont="1" applyBorder="1" applyAlignment="1">
      <alignment horizontal="center" vertical="center"/>
    </xf>
    <xf numFmtId="165" fontId="42" fillId="0" borderId="87" xfId="6" applyNumberFormat="1" applyFont="1" applyBorder="1" applyAlignment="1">
      <alignment horizontal="center" vertical="center"/>
    </xf>
    <xf numFmtId="165" fontId="42" fillId="0" borderId="88" xfId="6" applyNumberFormat="1" applyFont="1" applyBorder="1" applyAlignment="1">
      <alignment horizontal="center" vertical="center"/>
    </xf>
    <xf numFmtId="165" fontId="0" fillId="0" borderId="0" xfId="7" applyNumberFormat="1" applyFont="1" applyAlignment="1">
      <alignment horizontal="center" vertical="center"/>
    </xf>
    <xf numFmtId="165" fontId="44" fillId="0" borderId="88" xfId="5" applyNumberFormat="1" applyFont="1" applyBorder="1" applyAlignment="1">
      <alignment horizontal="centerContinuous" vertical="center"/>
    </xf>
    <xf numFmtId="0" fontId="55" fillId="0" borderId="0" xfId="12" applyFont="1" applyAlignment="1">
      <alignment horizontal="centerContinuous" vertical="center"/>
    </xf>
    <xf numFmtId="0" fontId="11" fillId="0" borderId="0" xfId="12" applyAlignment="1">
      <alignment horizontal="centerContinuous" vertical="center"/>
    </xf>
    <xf numFmtId="0" fontId="11" fillId="0" borderId="0" xfId="12" applyAlignment="1">
      <alignment vertical="center"/>
    </xf>
    <xf numFmtId="0" fontId="15" fillId="0" borderId="0" xfId="13" applyFont="1" applyAlignment="1">
      <alignment horizontal="centerContinuous" vertical="center" wrapText="1"/>
    </xf>
    <xf numFmtId="0" fontId="11" fillId="0" borderId="0" xfId="12" applyAlignment="1">
      <alignment horizontal="centerContinuous" vertical="center" wrapText="1"/>
    </xf>
    <xf numFmtId="0" fontId="11" fillId="0" borderId="0" xfId="12" applyAlignment="1">
      <alignment horizontal="center" vertical="center"/>
    </xf>
    <xf numFmtId="0" fontId="11" fillId="0" borderId="1" xfId="0" applyFont="1" applyBorder="1" applyAlignment="1">
      <alignment horizontal="center" vertical="center" wrapText="1"/>
    </xf>
    <xf numFmtId="0" fontId="38" fillId="0" borderId="0" xfId="5" applyFont="1" applyAlignment="1">
      <alignment vertical="center"/>
    </xf>
    <xf numFmtId="0" fontId="0" fillId="0" borderId="10" xfId="0" applyBorder="1" applyAlignment="1">
      <alignment horizontal="center" vertical="center" wrapText="1"/>
    </xf>
    <xf numFmtId="0" fontId="15" fillId="14" borderId="6" xfId="0" applyFont="1" applyFill="1" applyBorder="1" applyAlignment="1" applyProtection="1">
      <alignment horizontal="center" vertical="center" wrapText="1"/>
    </xf>
    <xf numFmtId="0" fontId="15" fillId="14" borderId="3" xfId="0" applyFont="1" applyFill="1" applyBorder="1" applyAlignment="1" applyProtection="1">
      <alignment horizontal="center" vertical="center" wrapText="1"/>
    </xf>
    <xf numFmtId="0" fontId="15" fillId="14" borderId="27" xfId="0" applyFont="1" applyFill="1" applyBorder="1" applyAlignment="1" applyProtection="1">
      <alignment horizontal="center" vertical="center" wrapText="1"/>
    </xf>
    <xf numFmtId="0" fontId="29" fillId="11" borderId="25" xfId="0" applyFont="1" applyFill="1" applyBorder="1" applyAlignment="1">
      <alignment horizontal="centerContinuous" vertical="center"/>
    </xf>
    <xf numFmtId="0" fontId="29" fillId="11" borderId="26" xfId="0" applyFont="1" applyFill="1" applyBorder="1" applyAlignment="1">
      <alignment horizontal="centerContinuous" vertical="center"/>
    </xf>
    <xf numFmtId="0" fontId="48" fillId="14" borderId="24" xfId="0" applyFont="1" applyFill="1" applyBorder="1" applyAlignment="1">
      <alignment horizontal="centerContinuous" vertical="center" wrapText="1"/>
    </xf>
    <xf numFmtId="0" fontId="29" fillId="14" borderId="25" xfId="0" applyFont="1" applyFill="1" applyBorder="1" applyAlignment="1">
      <alignment horizontal="centerContinuous" vertical="center"/>
    </xf>
    <xf numFmtId="0" fontId="29" fillId="14" borderId="26" xfId="0" applyFont="1" applyFill="1" applyBorder="1" applyAlignment="1">
      <alignment horizontal="centerContinuous" vertical="center"/>
    </xf>
    <xf numFmtId="0" fontId="48" fillId="3" borderId="24" xfId="0" applyFont="1" applyFill="1" applyBorder="1" applyAlignment="1">
      <alignment horizontal="centerContinuous" vertical="center" wrapText="1"/>
    </xf>
    <xf numFmtId="0" fontId="29" fillId="3" borderId="25" xfId="0" applyFont="1" applyFill="1" applyBorder="1" applyAlignment="1">
      <alignment horizontal="centerContinuous" vertical="center"/>
    </xf>
    <xf numFmtId="0" fontId="29" fillId="3" borderId="26" xfId="0" applyFont="1" applyFill="1" applyBorder="1" applyAlignment="1">
      <alignment horizontal="centerContinuous" vertical="center"/>
    </xf>
    <xf numFmtId="0" fontId="11" fillId="0" borderId="0" xfId="0" applyFont="1" applyAlignment="1">
      <alignment horizontal="centerContinuous" vertical="center"/>
    </xf>
    <xf numFmtId="0" fontId="59" fillId="11" borderId="0" xfId="5" applyFont="1" applyFill="1" applyAlignment="1">
      <alignment horizontal="center" vertical="center"/>
    </xf>
    <xf numFmtId="3" fontId="38" fillId="0" borderId="0" xfId="5" applyNumberFormat="1" applyAlignment="1">
      <alignment horizontal="centerContinuous" vertical="top"/>
    </xf>
    <xf numFmtId="166" fontId="38" fillId="0" borderId="0" xfId="5" applyNumberFormat="1" applyAlignment="1">
      <alignment vertical="center"/>
    </xf>
    <xf numFmtId="3" fontId="38" fillId="0" borderId="0" xfId="5" applyNumberFormat="1" applyAlignment="1">
      <alignment vertical="center"/>
    </xf>
    <xf numFmtId="0" fontId="55" fillId="0" borderId="0" xfId="13" applyFont="1" applyAlignment="1">
      <alignment horizontal="centerContinuous" vertical="center"/>
    </xf>
    <xf numFmtId="0" fontId="11" fillId="0" borderId="0" xfId="13" applyAlignment="1">
      <alignment horizontal="centerContinuous" vertical="center"/>
    </xf>
    <xf numFmtId="0" fontId="11" fillId="0" borderId="0" xfId="13" applyAlignment="1">
      <alignment vertical="center"/>
    </xf>
    <xf numFmtId="0" fontId="11" fillId="0" borderId="0" xfId="13" applyAlignment="1">
      <alignment horizontal="centerContinuous" vertical="center" wrapText="1"/>
    </xf>
    <xf numFmtId="0" fontId="11" fillId="0" borderId="0" xfId="13" applyAlignment="1">
      <alignment horizontal="center" vertical="center"/>
    </xf>
    <xf numFmtId="167" fontId="29" fillId="12" borderId="82" xfId="6" applyNumberFormat="1" applyFont="1" applyFill="1" applyBorder="1" applyAlignment="1">
      <alignment horizontal="center" vertical="center" wrapText="1"/>
    </xf>
    <xf numFmtId="167" fontId="29" fillId="12" borderId="83" xfId="6" applyNumberFormat="1" applyFont="1" applyFill="1" applyBorder="1" applyAlignment="1">
      <alignment horizontal="center" vertical="center" wrapText="1"/>
    </xf>
    <xf numFmtId="167" fontId="29" fillId="12" borderId="84" xfId="6" applyNumberFormat="1" applyFont="1" applyFill="1" applyBorder="1" applyAlignment="1">
      <alignment horizontal="center" vertical="center" wrapText="1"/>
    </xf>
    <xf numFmtId="167" fontId="29" fillId="12" borderId="85" xfId="6" applyNumberFormat="1" applyFont="1" applyFill="1" applyBorder="1" applyAlignment="1">
      <alignment horizontal="center" vertical="center" wrapText="1"/>
    </xf>
    <xf numFmtId="0" fontId="3" fillId="0" borderId="0" xfId="3" applyFont="1" applyAlignment="1">
      <alignment vertical="center"/>
    </xf>
    <xf numFmtId="0" fontId="2" fillId="0" borderId="0" xfId="3" applyFont="1" applyAlignment="1">
      <alignment vertical="center"/>
    </xf>
    <xf numFmtId="0" fontId="0" fillId="0" borderId="115" xfId="0" applyBorder="1" applyAlignment="1">
      <alignment horizontal="left" vertical="center"/>
    </xf>
    <xf numFmtId="0" fontId="0" fillId="0" borderId="116" xfId="0" applyBorder="1" applyAlignment="1">
      <alignment horizontal="left" vertical="center"/>
    </xf>
    <xf numFmtId="0" fontId="0" fillId="0" borderId="117" xfId="0" applyBorder="1" applyAlignment="1">
      <alignment horizontal="left" vertical="center"/>
    </xf>
    <xf numFmtId="0" fontId="48" fillId="0" borderId="0" xfId="13" applyFont="1" applyAlignment="1">
      <alignment horizontal="centerContinuous" vertical="center" wrapText="1"/>
    </xf>
    <xf numFmtId="0" fontId="11" fillId="0" borderId="10" xfId="0" applyFont="1" applyBorder="1" applyAlignment="1">
      <alignment horizontal="center" vertical="center" wrapText="1"/>
    </xf>
    <xf numFmtId="0" fontId="29" fillId="12" borderId="0" xfId="0" applyFont="1" applyFill="1" applyAlignment="1">
      <alignment horizontal="left" vertical="center"/>
    </xf>
    <xf numFmtId="3" fontId="29" fillId="12" borderId="0" xfId="0" applyNumberFormat="1" applyFont="1" applyFill="1" applyAlignment="1">
      <alignment horizontal="center" vertical="center"/>
    </xf>
    <xf numFmtId="0" fontId="29" fillId="0" borderId="113" xfId="0" applyFont="1" applyBorder="1" applyAlignment="1">
      <alignment horizontal="left" vertical="center"/>
    </xf>
    <xf numFmtId="3" fontId="29" fillId="0" borderId="113" xfId="0" applyNumberFormat="1" applyFont="1" applyBorder="1" applyAlignment="1">
      <alignment horizontal="center" vertical="center"/>
    </xf>
    <xf numFmtId="0" fontId="29" fillId="0" borderId="114" xfId="0" applyFont="1" applyBorder="1" applyAlignment="1">
      <alignment horizontal="left" vertical="center"/>
    </xf>
    <xf numFmtId="3" fontId="29" fillId="0" borderId="114" xfId="0" applyNumberFormat="1" applyFont="1" applyBorder="1" applyAlignment="1">
      <alignment horizontal="center" vertical="center"/>
    </xf>
    <xf numFmtId="0" fontId="29" fillId="0" borderId="0" xfId="0" applyFont="1" applyAlignment="1">
      <alignment horizontal="left" vertical="center"/>
    </xf>
    <xf numFmtId="3" fontId="29" fillId="0" borderId="0" xfId="0" applyNumberFormat="1" applyFont="1" applyAlignment="1">
      <alignment horizontal="center" vertical="center"/>
    </xf>
    <xf numFmtId="3" fontId="29" fillId="0" borderId="115" xfId="0" applyNumberFormat="1" applyFont="1" applyBorder="1" applyAlignment="1">
      <alignment horizontal="center" vertical="center"/>
    </xf>
    <xf numFmtId="3" fontId="29" fillId="0" borderId="116" xfId="0" applyNumberFormat="1" applyFont="1" applyBorder="1" applyAlignment="1">
      <alignment horizontal="center" vertical="center"/>
    </xf>
    <xf numFmtId="3" fontId="29" fillId="0" borderId="117" xfId="0" applyNumberFormat="1" applyFont="1" applyBorder="1" applyAlignment="1">
      <alignment horizontal="center" vertical="center"/>
    </xf>
    <xf numFmtId="0" fontId="2" fillId="0" borderId="0" xfId="3" applyFont="1" applyBorder="1" applyAlignment="1">
      <alignment vertical="center"/>
    </xf>
    <xf numFmtId="0" fontId="38" fillId="0" borderId="17" xfId="5" applyBorder="1" applyAlignment="1">
      <alignment vertical="center"/>
    </xf>
    <xf numFmtId="0" fontId="58" fillId="0" borderId="1" xfId="5" applyFont="1" applyBorder="1" applyAlignment="1">
      <alignment horizontal="center" vertical="center" wrapText="1"/>
    </xf>
    <xf numFmtId="0" fontId="58" fillId="0" borderId="10" xfId="5" applyFont="1" applyBorder="1" applyAlignment="1">
      <alignment horizontal="center" vertical="center" wrapText="1"/>
    </xf>
    <xf numFmtId="0" fontId="11" fillId="0" borderId="0" xfId="13" applyFont="1" applyAlignment="1">
      <alignment horizontal="center" vertical="center" wrapText="1"/>
    </xf>
    <xf numFmtId="0" fontId="38" fillId="12" borderId="0" xfId="5" applyFill="1" applyAlignment="1">
      <alignment horizontal="left" vertical="center"/>
    </xf>
    <xf numFmtId="3" fontId="38" fillId="12" borderId="0" xfId="5" applyNumberFormat="1" applyFill="1" applyAlignment="1">
      <alignment horizontal="center" vertical="center"/>
    </xf>
    <xf numFmtId="3" fontId="11" fillId="0" borderId="0" xfId="13" applyNumberFormat="1" applyAlignment="1">
      <alignment vertical="center"/>
    </xf>
    <xf numFmtId="3" fontId="15" fillId="0" borderId="0" xfId="13" applyNumberFormat="1" applyFont="1" applyAlignment="1">
      <alignment vertical="center"/>
    </xf>
    <xf numFmtId="0" fontId="38" fillId="0" borderId="113" xfId="5" applyBorder="1" applyAlignment="1">
      <alignment horizontal="left" vertical="center"/>
    </xf>
    <xf numFmtId="3" fontId="38" fillId="0" borderId="113" xfId="5" applyNumberFormat="1" applyBorder="1" applyAlignment="1">
      <alignment horizontal="center" vertical="center"/>
    </xf>
    <xf numFmtId="0" fontId="38" fillId="0" borderId="114" xfId="5" applyBorder="1" applyAlignment="1">
      <alignment horizontal="left" vertical="center"/>
    </xf>
    <xf numFmtId="3" fontId="38" fillId="0" borderId="114" xfId="5" applyNumberFormat="1" applyBorder="1" applyAlignment="1">
      <alignment horizontal="center" vertical="center"/>
    </xf>
    <xf numFmtId="0" fontId="38" fillId="0" borderId="0" xfId="5" applyAlignment="1">
      <alignment horizontal="left" vertical="center"/>
    </xf>
    <xf numFmtId="3" fontId="38" fillId="0" borderId="0" xfId="5" applyNumberFormat="1" applyAlignment="1">
      <alignment horizontal="center" vertical="center"/>
    </xf>
    <xf numFmtId="0" fontId="38" fillId="0" borderId="115" xfId="5" applyBorder="1" applyAlignment="1">
      <alignment horizontal="left" vertical="center"/>
    </xf>
    <xf numFmtId="3" fontId="38" fillId="0" borderId="115" xfId="5" applyNumberFormat="1" applyBorder="1" applyAlignment="1">
      <alignment horizontal="center" vertical="center"/>
    </xf>
    <xf numFmtId="0" fontId="38" fillId="0" borderId="116" xfId="5" applyBorder="1" applyAlignment="1">
      <alignment horizontal="left" vertical="center"/>
    </xf>
    <xf numFmtId="3" fontId="38" fillId="0" borderId="116" xfId="5" applyNumberFormat="1" applyBorder="1" applyAlignment="1">
      <alignment horizontal="center" vertical="center"/>
    </xf>
    <xf numFmtId="0" fontId="38" fillId="0" borderId="117" xfId="5" applyBorder="1" applyAlignment="1">
      <alignment horizontal="left" vertical="center"/>
    </xf>
    <xf numFmtId="3" fontId="38" fillId="0" borderId="117" xfId="5" applyNumberFormat="1" applyBorder="1" applyAlignment="1">
      <alignment horizontal="center" vertical="center"/>
    </xf>
    <xf numFmtId="0" fontId="17" fillId="0" borderId="18" xfId="0" applyFont="1" applyBorder="1" applyAlignment="1" applyProtection="1">
      <alignment horizontal="center" vertical="center" wrapText="1"/>
      <protection locked="0"/>
    </xf>
    <xf numFmtId="0" fontId="17" fillId="0" borderId="19"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wrapText="1"/>
      <protection locked="0"/>
    </xf>
    <xf numFmtId="164" fontId="17" fillId="0" borderId="18" xfId="0" applyNumberFormat="1" applyFont="1" applyBorder="1" applyAlignment="1" applyProtection="1">
      <alignment horizontal="center" vertical="center" wrapText="1"/>
      <protection locked="0"/>
    </xf>
    <xf numFmtId="164" fontId="17" fillId="0" borderId="19" xfId="0" applyNumberFormat="1" applyFont="1" applyBorder="1" applyAlignment="1" applyProtection="1">
      <alignment horizontal="center" vertical="center" wrapText="1"/>
      <protection locked="0"/>
    </xf>
    <xf numFmtId="164" fontId="17" fillId="0" borderId="20" xfId="0" applyNumberFormat="1" applyFont="1" applyBorder="1" applyAlignment="1" applyProtection="1">
      <alignment horizontal="center" vertical="center" wrapText="1"/>
      <protection locked="0"/>
    </xf>
    <xf numFmtId="1" fontId="22" fillId="2" borderId="18" xfId="0" applyNumberFormat="1" applyFont="1" applyFill="1" applyBorder="1" applyAlignment="1" applyProtection="1">
      <alignment horizontal="center" vertical="center"/>
      <protection locked="0"/>
    </xf>
    <xf numFmtId="1" fontId="22" fillId="2" borderId="19" xfId="0" applyNumberFormat="1" applyFont="1" applyFill="1" applyBorder="1" applyAlignment="1" applyProtection="1">
      <alignment horizontal="center" vertical="center"/>
      <protection locked="0"/>
    </xf>
    <xf numFmtId="1" fontId="22" fillId="2" borderId="20" xfId="0" applyNumberFormat="1" applyFont="1" applyFill="1" applyBorder="1" applyAlignment="1" applyProtection="1">
      <alignment horizontal="center" vertical="center"/>
      <protection locked="0"/>
    </xf>
    <xf numFmtId="49" fontId="17" fillId="0" borderId="18" xfId="0" applyNumberFormat="1" applyFont="1" applyBorder="1" applyAlignment="1" applyProtection="1">
      <alignment horizontal="center" vertical="center"/>
      <protection locked="0"/>
    </xf>
    <xf numFmtId="49" fontId="17" fillId="0" borderId="19" xfId="0" applyNumberFormat="1" applyFont="1" applyBorder="1" applyAlignment="1" applyProtection="1">
      <alignment horizontal="center" vertical="center"/>
      <protection locked="0"/>
    </xf>
    <xf numFmtId="49" fontId="17" fillId="0" borderId="20" xfId="0" applyNumberFormat="1" applyFont="1" applyBorder="1" applyAlignment="1" applyProtection="1">
      <alignment horizontal="center" vertical="center"/>
      <protection locked="0"/>
    </xf>
    <xf numFmtId="0" fontId="29" fillId="0" borderId="0" xfId="0" applyFont="1" applyAlignment="1">
      <alignment horizontal="justify" vertical="top" wrapText="1"/>
    </xf>
    <xf numFmtId="0" fontId="15" fillId="0" borderId="0" xfId="0" applyFont="1" applyAlignment="1">
      <alignment horizontal="center" vertical="center" wrapText="1"/>
    </xf>
    <xf numFmtId="0" fontId="38" fillId="0" borderId="0" xfId="5" applyFont="1" applyAlignment="1">
      <alignment vertical="center" wrapText="1"/>
    </xf>
    <xf numFmtId="0" fontId="58" fillId="0" borderId="0" xfId="0" applyFont="1" applyAlignment="1">
      <alignment vertical="center" wrapText="1"/>
    </xf>
    <xf numFmtId="0" fontId="38" fillId="0" borderId="0" xfId="5" applyAlignment="1">
      <alignment vertical="center" wrapText="1"/>
    </xf>
    <xf numFmtId="0" fontId="58" fillId="0" borderId="0" xfId="5" applyFont="1" applyAlignment="1">
      <alignment vertical="center" wrapText="1"/>
    </xf>
  </cellXfs>
  <cellStyles count="16">
    <cellStyle name="Comma 2" xfId="6"/>
    <cellStyle name="Normal" xfId="0" builtinId="0"/>
    <cellStyle name="Normal 2" xfId="1"/>
    <cellStyle name="Normal 2 2" xfId="14"/>
    <cellStyle name="Normal 3" xfId="3"/>
    <cellStyle name="Normal 4" xfId="5"/>
    <cellStyle name="Normal 5" xfId="8"/>
    <cellStyle name="Normal 6" xfId="9"/>
    <cellStyle name="Normal 6 2" xfId="15"/>
    <cellStyle name="Normal 7" xfId="10"/>
    <cellStyle name="Normal 7 2" xfId="11"/>
    <cellStyle name="Normal 7 2 2" xfId="13"/>
    <cellStyle name="Normal 7 3" xfId="12"/>
    <cellStyle name="Percent" xfId="2" builtinId="5"/>
    <cellStyle name="Percent 2" xfId="4"/>
    <cellStyle name="Percent 3" xfId="7"/>
  </cellStyles>
  <dxfs count="951">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border>
        <top style="thin">
          <color indexed="64"/>
        </top>
        <bottom style="thin">
          <color indexed="64"/>
        </bottom>
      </border>
    </dxf>
    <dxf>
      <alignment horizontal="center" readingOrder="0"/>
    </dxf>
    <dxf>
      <alignment wrapText="1" readingOrder="0"/>
    </dxf>
    <dxf>
      <font>
        <sz val="10"/>
      </font>
    </dxf>
    <dxf>
      <numFmt numFmtId="3" formatCode="#,##0"/>
    </dxf>
    <dxf>
      <border>
        <bottom style="thin">
          <color theme="8" tint="0.39994506668294322"/>
        </bottom>
        <horizontal style="thin">
          <color theme="8" tint="0.39994506668294322"/>
        </horizontal>
      </border>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border>
        <bottom style="thin">
          <color theme="8" tint="0.39994506668294322"/>
        </bottom>
        <horizontal style="thin">
          <color theme="8" tint="0.39994506668294322"/>
        </horizontal>
      </border>
    </dxf>
    <dxf>
      <font>
        <sz val="11"/>
      </font>
    </dxf>
    <dxf>
      <font>
        <sz val="11"/>
      </font>
    </dxf>
    <dxf>
      <font>
        <sz val="11"/>
      </font>
    </dxf>
    <dxf>
      <font>
        <sz val="11"/>
      </font>
    </dxf>
    <dxf>
      <font>
        <sz val="11"/>
      </font>
    </dxf>
    <dxf>
      <border>
        <horizontal style="thin">
          <color theme="8" tint="0.39991454817346722"/>
        </horizontal>
      </border>
    </dxf>
    <dxf>
      <border>
        <horizontal style="thin">
          <color theme="8" tint="0.39991454817346722"/>
        </horizontal>
      </border>
    </dxf>
    <dxf>
      <border>
        <top style="thin">
          <color indexed="64"/>
        </top>
        <bottom style="thin">
          <color indexed="64"/>
        </bottom>
      </border>
    </dxf>
    <dxf>
      <numFmt numFmtId="3" formatCode="#,##0"/>
    </dxf>
    <dxf>
      <alignment horizontal="center" readingOrder="0"/>
    </dxf>
    <dxf>
      <alignment wrapText="1" readingOrder="0"/>
    </dxf>
    <dxf>
      <font>
        <sz val="10"/>
      </font>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alignment horizontal="center" readingOrder="0"/>
    </dxf>
    <dxf>
      <alignment wrapText="1" readingOrder="0"/>
    </dxf>
    <dxf>
      <border>
        <top style="thin">
          <color indexed="64"/>
        </top>
        <bottom style="thin">
          <color indexed="64"/>
        </bottom>
      </border>
    </dxf>
    <dxf>
      <numFmt numFmtId="3" formatCode="#,##0"/>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border>
        <bottom style="thin">
          <color theme="8" tint="0.39994506668294322"/>
        </bottom>
        <horizontal style="thin">
          <color theme="8" tint="0.39994506668294322"/>
        </horizontal>
      </border>
    </dxf>
    <dxf>
      <fill>
        <patternFill patternType="solid">
          <bgColor theme="8" tint="0.79998168889431442"/>
        </patternFill>
      </fill>
    </dxf>
    <dxf>
      <font>
        <sz val="10"/>
      </font>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fill>
        <patternFill patternType="solid">
          <bgColor theme="8" tint="0.79998168889431442"/>
        </patternFill>
      </fill>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wrapText="1" readingOrder="0"/>
    </dxf>
    <dxf>
      <numFmt numFmtId="3" formatCode="#,##0"/>
    </dxf>
    <dxf>
      <numFmt numFmtId="3" formatCode="#,##0"/>
    </dxf>
    <dxf>
      <numFmt numFmtId="3" formatCode="#,##0"/>
    </dxf>
    <dxf>
      <alignment horizontal="center" readingOrder="0"/>
    </dxf>
    <dxf>
      <alignment horizontal="center" readingOrder="0"/>
    </dxf>
    <dxf>
      <alignment vertical="center" indent="0" readingOrder="0"/>
    </dxf>
    <dxf>
      <alignment wrapText="1" readingOrder="0"/>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0" tint="-0.24994659260841701"/>
        </patternFill>
      </fill>
    </dxf>
    <dxf>
      <fill>
        <patternFill>
          <bgColor theme="4" tint="0.59996337778862885"/>
        </patternFill>
      </fill>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0" tint="-0.14996795556505021"/>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s>
  <tableStyles count="1" defaultTableStyle="TableStyleMedium9" defaultPivotStyle="PivotTable Style 1">
    <tableStyle name="PivotTable Style 1"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pivotCacheDefinition" Target="pivotCache/pivotCacheDefinition1.xml"/><Relationship Id="rId50" Type="http://schemas.openxmlformats.org/officeDocument/2006/relationships/pivotCacheDefinition" Target="pivotCache/pivotCacheDefinition4.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pivotCacheDefinition" Target="pivotCache/pivotCacheDefinition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pivotCacheDefinition" Target="pivotCache/pivotCacheDefinition2.xml"/><Relationship Id="rId8" Type="http://schemas.openxmlformats.org/officeDocument/2006/relationships/worksheet" Target="worksheets/sheet8.xml"/><Relationship Id="rId51" Type="http://schemas.openxmlformats.org/officeDocument/2006/relationships/pivotCacheDefinition" Target="pivotCache/pivotCacheDefinition5.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2</xdr:col>
      <xdr:colOff>295275</xdr:colOff>
      <xdr:row>17</xdr:row>
      <xdr:rowOff>95249</xdr:rowOff>
    </xdr:from>
    <xdr:to>
      <xdr:col>10</xdr:col>
      <xdr:colOff>876300</xdr:colOff>
      <xdr:row>49</xdr:row>
      <xdr:rowOff>28575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124075" y="5133974"/>
          <a:ext cx="7162800" cy="5114926"/>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chemeClr val="tx2"/>
              </a:solidFill>
            </a:rPr>
            <a:t>Use This Report Template For SFY2018 Quarterly Reports.  </a:t>
          </a:r>
        </a:p>
        <a:p>
          <a:pPr algn="ctr"/>
          <a:r>
            <a:rPr lang="en-US" sz="1200" b="1">
              <a:solidFill>
                <a:schemeClr val="tx2"/>
              </a:solidFill>
            </a:rPr>
            <a:t>It May</a:t>
          </a:r>
          <a:r>
            <a:rPr lang="en-US" sz="1200" b="1" baseline="0">
              <a:solidFill>
                <a:schemeClr val="tx2"/>
              </a:solidFill>
            </a:rPr>
            <a:t> Also Be Used For the SFY2019 </a:t>
          </a:r>
          <a:r>
            <a:rPr kumimoji="0" lang="en-US" sz="1200" b="1" i="0" u="none" strike="noStrike" kern="0" cap="none" spc="0" normalizeH="0" baseline="0" noProof="0">
              <a:ln>
                <a:noFill/>
              </a:ln>
              <a:solidFill>
                <a:srgbClr val="3333FF"/>
              </a:solidFill>
              <a:effectLst/>
              <a:uLnTx/>
              <a:uFillTx/>
              <a:latin typeface="+mn-lt"/>
              <a:ea typeface="+mn-ea"/>
              <a:cs typeface="+mn-cs"/>
            </a:rPr>
            <a:t>1st Quarter </a:t>
          </a:r>
          <a:r>
            <a:rPr lang="en-US" sz="1200" b="1" baseline="0">
              <a:solidFill>
                <a:schemeClr val="tx2"/>
              </a:solidFill>
            </a:rPr>
            <a:t>Report.</a:t>
          </a:r>
          <a:endParaRPr lang="en-US" sz="1200" b="1">
            <a:solidFill>
              <a:schemeClr val="tx2"/>
            </a:solidFill>
          </a:endParaRPr>
        </a:p>
        <a:p>
          <a:endParaRPr lang="en-US" sz="1100" b="1"/>
        </a:p>
        <a:p>
          <a:r>
            <a:rPr lang="en-US" sz="1100"/>
            <a:t>This</a:t>
          </a:r>
          <a:r>
            <a:rPr lang="en-US" sz="1100" baseline="0"/>
            <a:t> report template includes all DMH/DD/SAS measures in Part II of the Combined DMA and DMH/DD/SAS Performance Measures Guidelines.</a:t>
          </a:r>
        </a:p>
        <a:p>
          <a:endParaRPr lang="en-US" sz="1100" baseline="0"/>
        </a:p>
        <a:p>
          <a:r>
            <a:rPr lang="en-US" sz="1100" baseline="0"/>
            <a:t>Until LME-MCO shadow/encounter claims reporting issues are resolved and DMH/DD/SAS generated reports and LME-MCO self-reports produce consistent results, LME-MCOs are requested to </a:t>
          </a:r>
          <a:r>
            <a:rPr lang="en-US" sz="1100" b="1" baseline="0"/>
            <a:t>submit data each quarter for the measures listed in the "Report Schedule (2)" worksheet</a:t>
          </a:r>
          <a:r>
            <a:rPr lang="en-US" sz="1100" baseline="0"/>
            <a:t> towards the end of this workbook.</a:t>
          </a:r>
        </a:p>
        <a:p>
          <a:endParaRPr lang="en-US" sz="1100" baseline="0"/>
        </a:p>
        <a:p>
          <a:pPr marL="171450" marR="0" lvl="0"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This report template revises the prior report template (dated 9/19/16) as follows:</a:t>
          </a:r>
          <a:endParaRPr kumimoji="0" lang="en-US" sz="1100" b="0" i="0" u="none" strike="noStrike" kern="0" cap="none" spc="0" normalizeH="0" baseline="0" noProof="0">
            <a:ln>
              <a:noFill/>
            </a:ln>
            <a:solidFill>
              <a:schemeClr val="dk1"/>
            </a:solidFill>
            <a:effectLst/>
            <a:uLnTx/>
            <a:uFillTx/>
            <a:latin typeface="+mn-lt"/>
            <a:ea typeface="+mn-ea"/>
            <a:cs typeface="+mn-cs"/>
          </a:endParaRP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Revised the list of LME-MCOs in the drop-down list on the </a:t>
          </a:r>
          <a:r>
            <a:rPr kumimoji="0" lang="en-US" sz="1100" b="1" i="0" u="none" strike="noStrike" kern="0" cap="none" spc="0" normalizeH="0" baseline="0" noProof="0">
              <a:ln>
                <a:noFill/>
              </a:ln>
              <a:solidFill>
                <a:prstClr val="black"/>
              </a:solidFill>
              <a:effectLst/>
              <a:uLnTx/>
              <a:uFillTx/>
              <a:latin typeface="+mn-lt"/>
              <a:ea typeface="+mn-ea"/>
              <a:cs typeface="+mn-cs"/>
            </a:rPr>
            <a:t>Set-Up Worksheet</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1085850" marR="0" lvl="2"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Please note:  Due to claims lag, the </a:t>
          </a:r>
          <a:r>
            <a:rPr kumimoji="0" lang="en-US" sz="1100" b="1" i="0" u="none" strike="noStrike" kern="0" cap="none" spc="0" normalizeH="0" baseline="0" noProof="0">
              <a:ln>
                <a:noFill/>
              </a:ln>
              <a:solidFill>
                <a:prstClr val="black"/>
              </a:solidFill>
              <a:effectLst/>
              <a:uLnTx/>
              <a:uFillTx/>
              <a:latin typeface="+mn-lt"/>
              <a:ea typeface="+mn-ea"/>
              <a:cs typeface="+mn-cs"/>
            </a:rPr>
            <a:t>measurement period </a:t>
          </a:r>
          <a:r>
            <a:rPr kumimoji="0" lang="en-US" sz="1100" b="0" i="0" u="none" strike="noStrike" kern="0" cap="none" spc="0" normalizeH="0" baseline="0" noProof="0">
              <a:ln>
                <a:noFill/>
              </a:ln>
              <a:solidFill>
                <a:prstClr val="black"/>
              </a:solidFill>
              <a:effectLst/>
              <a:uLnTx/>
              <a:uFillTx/>
              <a:latin typeface="+mn-lt"/>
              <a:ea typeface="+mn-ea"/>
              <a:cs typeface="+mn-cs"/>
            </a:rPr>
            <a:t>covers the period one quarter prior to the </a:t>
          </a:r>
          <a:r>
            <a:rPr kumimoji="0" lang="en-US" sz="1100" b="1" i="0" u="none" strike="noStrike" kern="0" cap="none" spc="0" normalizeH="0" baseline="0" noProof="0">
              <a:ln>
                <a:noFill/>
              </a:ln>
              <a:solidFill>
                <a:prstClr val="black"/>
              </a:solidFill>
              <a:effectLst/>
              <a:uLnTx/>
              <a:uFillTx/>
              <a:latin typeface="+mn-lt"/>
              <a:ea typeface="+mn-ea"/>
              <a:cs typeface="+mn-cs"/>
            </a:rPr>
            <a:t>Report Quarter </a:t>
          </a:r>
          <a:r>
            <a:rPr kumimoji="0" lang="en-US" sz="1100" b="0" i="0" u="none" strike="noStrike" kern="0" cap="none" spc="0" normalizeH="0" baseline="0" noProof="0">
              <a:ln>
                <a:noFill/>
              </a:ln>
              <a:solidFill>
                <a:prstClr val="black"/>
              </a:solidFill>
              <a:effectLst/>
              <a:uLnTx/>
              <a:uFillTx/>
              <a:latin typeface="+mn-lt"/>
              <a:ea typeface="+mn-ea"/>
              <a:cs typeface="+mn-cs"/>
            </a:rPr>
            <a:t>shown on the </a:t>
          </a:r>
          <a:r>
            <a:rPr kumimoji="0" lang="en-US" sz="1100" b="1" i="0" u="none" strike="noStrike" kern="0" cap="none" spc="0" normalizeH="0" baseline="0" noProof="0">
              <a:ln>
                <a:noFill/>
              </a:ln>
              <a:solidFill>
                <a:prstClr val="black"/>
              </a:solidFill>
              <a:effectLst/>
              <a:uLnTx/>
              <a:uFillTx/>
              <a:latin typeface="+mn-lt"/>
              <a:ea typeface="+mn-ea"/>
              <a:cs typeface="+mn-cs"/>
            </a:rPr>
            <a:t>Set-Up Worksheet</a:t>
          </a:r>
          <a:r>
            <a:rPr kumimoji="0" lang="en-US" sz="1100" b="0" i="0" u="none" strike="noStrike" kern="0" cap="none" spc="0" normalizeH="0" baseline="0" noProof="0">
              <a:ln>
                <a:noFill/>
              </a:ln>
              <a:solidFill>
                <a:prstClr val="black"/>
              </a:solidFill>
              <a:effectLst/>
              <a:uLnTx/>
              <a:uFillTx/>
              <a:latin typeface="+mn-lt"/>
              <a:ea typeface="+mn-ea"/>
              <a:cs typeface="+mn-cs"/>
            </a:rPr>
            <a:t>.  For example, the SFY2018 1st Quarter Report covers events that occurred during the SFY2017 4th Quarter.  The SFY2018 2nd Quarter Report covers events that occurred during the SFY2018 1st Quarter, and so on.</a:t>
          </a:r>
        </a:p>
        <a:p>
          <a:pPr marL="1085850" marR="0" lvl="2"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Performance measures that include county-level data use the LME-MCO name entered in the </a:t>
          </a:r>
          <a:r>
            <a:rPr kumimoji="0" lang="en-US" sz="1100" b="1" i="0" u="none" strike="noStrike" kern="0" cap="none" spc="0" normalizeH="0" baseline="0" noProof="0">
              <a:ln>
                <a:noFill/>
              </a:ln>
              <a:solidFill>
                <a:prstClr val="black"/>
              </a:solidFill>
              <a:effectLst/>
              <a:uLnTx/>
              <a:uFillTx/>
              <a:latin typeface="+mn-lt"/>
              <a:ea typeface="+mn-ea"/>
              <a:cs typeface="+mn-cs"/>
            </a:rPr>
            <a:t>Set-Up Worksheet </a:t>
          </a:r>
          <a:r>
            <a:rPr kumimoji="0" lang="en-US" sz="1100" b="0" i="0" u="none" strike="noStrike" kern="0" cap="none" spc="0" normalizeH="0" baseline="0" noProof="0">
              <a:ln>
                <a:noFill/>
              </a:ln>
              <a:solidFill>
                <a:prstClr val="black"/>
              </a:solidFill>
              <a:effectLst/>
              <a:uLnTx/>
              <a:uFillTx/>
              <a:latin typeface="+mn-lt"/>
              <a:ea typeface="+mn-ea"/>
              <a:cs typeface="+mn-cs"/>
            </a:rPr>
            <a:t>to autopopulate county names.  </a:t>
          </a:r>
        </a:p>
        <a:p>
          <a:pPr marL="1085850" marR="0" lvl="2"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Eastpointe and Trillum are listed twice.  One selection is labeled (SFY18 Q1 only).  This selection is to be used for the SFY2018 1st Quarter report which covers the SFY2017 4th Quarter measurement period when Nash County was part of Eastpointe.  Selecting the name of the LME-MCO without "(SFY18 Q1 only)", assigns Nash County to Trillium.</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Added two worksheets (Uninsured By County SFY2018 and Pivot Table- Uninsured SFY2018) with uninsured estimates for SFY2018.  </a:t>
          </a:r>
        </a:p>
        <a:p>
          <a:pPr marL="628650" marR="0" lvl="1" indent="-1714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Revised the lookup formulas for Performance Measure 3.2 to enter SFY2018 estimated uninsured numbers for SFY2018 reports and SFY2017 estimated uninsured numbers for SFY2017 reports.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495300</xdr:colOff>
      <xdr:row>0</xdr:row>
      <xdr:rowOff>104775</xdr:rowOff>
    </xdr:from>
    <xdr:to>
      <xdr:col>14</xdr:col>
      <xdr:colOff>76199</xdr:colOff>
      <xdr:row>3</xdr:row>
      <xdr:rowOff>171451</xdr:rowOff>
    </xdr:to>
    <xdr:sp macro="" textlink="">
      <xdr:nvSpPr>
        <xdr:cNvPr id="2" name="TextBox 1">
          <a:extLst>
            <a:ext uri="{FF2B5EF4-FFF2-40B4-BE49-F238E27FC236}">
              <a16:creationId xmlns:a16="http://schemas.microsoft.com/office/drawing/2014/main" id="{00000000-0008-0000-2000-000002000000}"/>
            </a:ext>
          </a:extLst>
        </xdr:cNvPr>
        <xdr:cNvSpPr txBox="1"/>
      </xdr:nvSpPr>
      <xdr:spPr>
        <a:xfrm>
          <a:off x="12515850" y="104775"/>
          <a:ext cx="3238499" cy="714376"/>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Indicator names and numbering follow the Combined DMA and DMH/DD/SAS Performance Measure Guidelines numbering system</a:t>
          </a:r>
          <a:r>
            <a:rPr lang="en-US" sz="1100" baseline="0"/>
            <a:t>.</a:t>
          </a:r>
          <a:endParaRPr lang="en-US" sz="1100"/>
        </a:p>
      </xdr:txBody>
    </xdr:sp>
    <xdr:clientData/>
  </xdr:twoCellAnchor>
  <xdr:twoCellAnchor>
    <xdr:from>
      <xdr:col>8</xdr:col>
      <xdr:colOff>495300</xdr:colOff>
      <xdr:row>3</xdr:row>
      <xdr:rowOff>219075</xdr:rowOff>
    </xdr:from>
    <xdr:to>
      <xdr:col>14</xdr:col>
      <xdr:colOff>76199</xdr:colOff>
      <xdr:row>8</xdr:row>
      <xdr:rowOff>161925</xdr:rowOff>
    </xdr:to>
    <xdr:sp macro="" textlink="">
      <xdr:nvSpPr>
        <xdr:cNvPr id="3" name="TextBox 2">
          <a:extLst>
            <a:ext uri="{FF2B5EF4-FFF2-40B4-BE49-F238E27FC236}">
              <a16:creationId xmlns:a16="http://schemas.microsoft.com/office/drawing/2014/main" id="{00000000-0008-0000-2000-000003000000}"/>
            </a:ext>
          </a:extLst>
        </xdr:cNvPr>
        <xdr:cNvSpPr txBox="1"/>
      </xdr:nvSpPr>
      <xdr:spPr>
        <a:xfrm>
          <a:off x="12515850" y="866775"/>
          <a:ext cx="3238499" cy="762000"/>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CAUTION:  DO NOT ALTER OR DELETE</a:t>
          </a:r>
          <a:r>
            <a:rPr lang="en-US" sz="1100"/>
            <a:t>. </a:t>
          </a:r>
        </a:p>
        <a:p>
          <a:r>
            <a:rPr lang="en-US" sz="1100"/>
            <a:t>The measurement periods for the individual performance measures worksheets are linked to the measurement</a:t>
          </a:r>
          <a:r>
            <a:rPr lang="en-US" sz="1100" baseline="0"/>
            <a:t> periods on this worksheet.</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47621</xdr:colOff>
      <xdr:row>0</xdr:row>
      <xdr:rowOff>28575</xdr:rowOff>
    </xdr:from>
    <xdr:to>
      <xdr:col>10</xdr:col>
      <xdr:colOff>1162049</xdr:colOff>
      <xdr:row>3</xdr:row>
      <xdr:rowOff>219075</xdr:rowOff>
    </xdr:to>
    <xdr:sp macro="" textlink="">
      <xdr:nvSpPr>
        <xdr:cNvPr id="2" name="TextBox 1">
          <a:extLst>
            <a:ext uri="{FF2B5EF4-FFF2-40B4-BE49-F238E27FC236}">
              <a16:creationId xmlns:a16="http://schemas.microsoft.com/office/drawing/2014/main" id="{00000000-0008-0000-2100-000002000000}"/>
            </a:ext>
          </a:extLst>
        </xdr:cNvPr>
        <xdr:cNvSpPr txBox="1"/>
      </xdr:nvSpPr>
      <xdr:spPr>
        <a:xfrm>
          <a:off x="9010646" y="28575"/>
          <a:ext cx="3562353" cy="79057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t>Rows have been </a:t>
          </a:r>
          <a:r>
            <a:rPr lang="en-US" sz="1100" baseline="0"/>
            <a:t>hidden to display measures to be reported by LME-MCOs. </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Due dates to DMH/DD/SAS are shaded green.</a:t>
          </a:r>
          <a:endParaRPr lang="en-US" sz="1100">
            <a:effectLst/>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t>Measurement periods are shaded blue (lagged). </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214312</xdr:colOff>
      <xdr:row>2</xdr:row>
      <xdr:rowOff>250031</xdr:rowOff>
    </xdr:from>
    <xdr:to>
      <xdr:col>25</xdr:col>
      <xdr:colOff>511969</xdr:colOff>
      <xdr:row>4</xdr:row>
      <xdr:rowOff>547687</xdr:rowOff>
    </xdr:to>
    <xdr:sp macro="" textlink="">
      <xdr:nvSpPr>
        <xdr:cNvPr id="2" name="TextBox 1">
          <a:extLst>
            <a:ext uri="{FF2B5EF4-FFF2-40B4-BE49-F238E27FC236}">
              <a16:creationId xmlns:a16="http://schemas.microsoft.com/office/drawing/2014/main" id="{00000000-0008-0000-2200-000002000000}"/>
            </a:ext>
          </a:extLst>
        </xdr:cNvPr>
        <xdr:cNvSpPr txBox="1"/>
      </xdr:nvSpPr>
      <xdr:spPr>
        <a:xfrm>
          <a:off x="22455187" y="478631"/>
          <a:ext cx="2355057" cy="92630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 conserve space, Cols Q, R, and U are hidden.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214312</xdr:colOff>
      <xdr:row>2</xdr:row>
      <xdr:rowOff>250031</xdr:rowOff>
    </xdr:from>
    <xdr:to>
      <xdr:col>25</xdr:col>
      <xdr:colOff>511969</xdr:colOff>
      <xdr:row>4</xdr:row>
      <xdr:rowOff>547687</xdr:rowOff>
    </xdr:to>
    <xdr:sp macro="" textlink="">
      <xdr:nvSpPr>
        <xdr:cNvPr id="2" name="TextBox 1">
          <a:extLst>
            <a:ext uri="{FF2B5EF4-FFF2-40B4-BE49-F238E27FC236}">
              <a16:creationId xmlns:a16="http://schemas.microsoft.com/office/drawing/2014/main" id="{00000000-0008-0000-2400-000002000000}"/>
            </a:ext>
          </a:extLst>
        </xdr:cNvPr>
        <xdr:cNvSpPr txBox="1"/>
      </xdr:nvSpPr>
      <xdr:spPr>
        <a:xfrm>
          <a:off x="22455187" y="812006"/>
          <a:ext cx="2126457" cy="92630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 conserve space, Cols Q, R, and U are hidden.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19049</xdr:colOff>
      <xdr:row>5</xdr:row>
      <xdr:rowOff>9523</xdr:rowOff>
    </xdr:from>
    <xdr:to>
      <xdr:col>15</xdr:col>
      <xdr:colOff>228600</xdr:colOff>
      <xdr:row>26</xdr:row>
      <xdr:rowOff>114300</xdr:rowOff>
    </xdr:to>
    <xdr:sp macro="" textlink="">
      <xdr:nvSpPr>
        <xdr:cNvPr id="2" name="TextBox 1">
          <a:extLst>
            <a:ext uri="{FF2B5EF4-FFF2-40B4-BE49-F238E27FC236}">
              <a16:creationId xmlns:a16="http://schemas.microsoft.com/office/drawing/2014/main" id="{00000000-0008-0000-2B00-000002000000}"/>
            </a:ext>
          </a:extLst>
        </xdr:cNvPr>
        <xdr:cNvSpPr txBox="1"/>
      </xdr:nvSpPr>
      <xdr:spPr>
        <a:xfrm>
          <a:off x="11801474" y="1552573"/>
          <a:ext cx="3257551" cy="3905252"/>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pPr>
            <a:spcBef>
              <a:spcPts val="600"/>
            </a:spcBef>
          </a:pPr>
          <a:r>
            <a:rPr lang="en-US" sz="1100"/>
            <a:t>Note:  The Total Uninsured NonElderly Population (Ages 3-64) in column F ≠ the sum of Uninsured for Ages 3-17 + Ages 18-64 in columns B and E.  </a:t>
          </a:r>
        </a:p>
        <a:p>
          <a:pPr>
            <a:spcBef>
              <a:spcPts val="600"/>
            </a:spcBef>
          </a:pPr>
          <a:r>
            <a:rPr lang="en-US" sz="1100"/>
            <a:t>The SAHIE separately calculated uninsured rates for 3 age groups (0-18, 18-64, and 0-64), two of which overlapped with 18 year</a:t>
          </a:r>
          <a:r>
            <a:rPr lang="en-US" sz="1100" baseline="0"/>
            <a:t> olds in both age groups. The uninsured rate for the 0-64 age group is considered to be the more accurate number and </a:t>
          </a:r>
          <a:r>
            <a:rPr lang="en-US" sz="1100" baseline="0">
              <a:solidFill>
                <a:schemeClr val="dk1"/>
              </a:solidFill>
              <a:effectLst/>
              <a:latin typeface="+mn-lt"/>
              <a:ea typeface="+mn-ea"/>
              <a:cs typeface="+mn-cs"/>
            </a:rPr>
            <a:t>produced a lower number than the sum of the results for the other two age groups.</a:t>
          </a:r>
        </a:p>
        <a:p>
          <a:pPr>
            <a:spcBef>
              <a:spcPts val="600"/>
            </a:spcBef>
          </a:pPr>
          <a:r>
            <a:rPr lang="en-US" sz="1100" baseline="0">
              <a:solidFill>
                <a:schemeClr val="dk1"/>
              </a:solidFill>
              <a:effectLst/>
              <a:latin typeface="+mn-lt"/>
              <a:ea typeface="+mn-ea"/>
              <a:cs typeface="+mn-cs"/>
            </a:rPr>
            <a:t>In applying the SAHIE uninsured rates to the current NC population, the number of total uninsured non-elderly was calculated by multiplying the SAHIE uninsured rate for the 0-64 population times the 3-64 population, not by adding the calculated numbers for the 3-17 and 18-64 age groups.  </a:t>
          </a:r>
        </a:p>
        <a:p>
          <a:pPr>
            <a:spcBef>
              <a:spcPts val="600"/>
            </a:spcBef>
          </a:pPr>
          <a:r>
            <a:rPr lang="en-US" sz="1100" baseline="0">
              <a:solidFill>
                <a:schemeClr val="dk1"/>
              </a:solidFill>
              <a:effectLst/>
              <a:latin typeface="+mn-lt"/>
              <a:ea typeface="+mn-ea"/>
              <a:cs typeface="+mn-cs"/>
            </a:rPr>
            <a:t>Adding the calculated numbers for the 3-17 and 18-64 age groups statewide would result in a higher count of uninsured by 41,064.</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28576</xdr:colOff>
      <xdr:row>142</xdr:row>
      <xdr:rowOff>28573</xdr:rowOff>
    </xdr:from>
    <xdr:to>
      <xdr:col>6</xdr:col>
      <xdr:colOff>723901</xdr:colOff>
      <xdr:row>181</xdr:row>
      <xdr:rowOff>104775</xdr:rowOff>
    </xdr:to>
    <xdr:sp macro="" textlink="">
      <xdr:nvSpPr>
        <xdr:cNvPr id="3" name="TextBox 2">
          <a:extLst>
            <a:ext uri="{FF2B5EF4-FFF2-40B4-BE49-F238E27FC236}">
              <a16:creationId xmlns:a16="http://schemas.microsoft.com/office/drawing/2014/main" id="{00000000-0008-0000-2C00-000003000000}"/>
            </a:ext>
          </a:extLst>
        </xdr:cNvPr>
        <xdr:cNvSpPr txBox="1"/>
      </xdr:nvSpPr>
      <xdr:spPr>
        <a:xfrm>
          <a:off x="28576" y="22421848"/>
          <a:ext cx="7239000" cy="63912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000" b="1" i="0" u="none" strike="noStrike" kern="0" cap="none" spc="0" normalizeH="0" baseline="0" noProof="0">
              <a:ln>
                <a:noFill/>
              </a:ln>
              <a:solidFill>
                <a:srgbClr val="000000"/>
              </a:solidFill>
              <a:effectLst/>
              <a:uLnTx/>
              <a:uFillTx/>
              <a:latin typeface="+mn-lt"/>
              <a:ea typeface="+mn-ea"/>
              <a:cs typeface="Arial"/>
            </a:rPr>
            <a:t>Number Of Youth "At Risk"</a:t>
          </a:r>
          <a:r>
            <a:rPr kumimoji="0" lang="en-US" sz="1000" b="0" i="0" u="none" strike="noStrike" kern="0" cap="none" spc="0" normalizeH="0" baseline="0" noProof="0">
              <a:ln>
                <a:noFill/>
              </a:ln>
              <a:solidFill>
                <a:srgbClr val="000000"/>
              </a:solidFill>
              <a:effectLst/>
              <a:uLnTx/>
              <a:uFillTx/>
              <a:latin typeface="+mn-lt"/>
              <a:ea typeface="+mn-ea"/>
              <a:cs typeface="Arial"/>
            </a:rPr>
            <a:t>:  Calculated by multiplying the percent of youth (ages 6-17) in each LME-MCO by a prevalence factor selected from a review of the most recent available NC survey results from the National Survey on Drug Use and Health (NSDUH), available at the SAMHSA website: http://www.samhsa.gov/data/population-data-nsduh/reports?tab=33, and the NC Youth Risk Behavior Survey (YRBS), available at the NC Healthy Schools website: http://www.nchealthyschools.org/data/yrbs/.  In 2017, YRBS data is also available by state on the CDC website at: https://nccd.cdc.gov/youthonline/app/Default.aspx.  The YRBS is administered in odd numbered years.  The number of youth in each LME-MCO in each age group was calculated from </a:t>
          </a:r>
          <a:r>
            <a:rPr lang="en-US" sz="1000" b="0" i="0" baseline="0">
              <a:solidFill>
                <a:schemeClr val="dk1"/>
              </a:solidFill>
              <a:effectLst/>
              <a:latin typeface="+mn-lt"/>
              <a:ea typeface="+mn-ea"/>
              <a:cs typeface="+mn-cs"/>
            </a:rPr>
            <a:t>Office of State Budget and Management (OSBM)</a:t>
          </a:r>
          <a:r>
            <a:rPr kumimoji="0" lang="en-US" sz="1000" b="0" i="0" u="none" strike="noStrike" kern="0" cap="none" spc="0" normalizeH="0" baseline="0" noProof="0">
              <a:ln>
                <a:noFill/>
              </a:ln>
              <a:solidFill>
                <a:srgbClr val="000000"/>
              </a:solidFill>
              <a:effectLst/>
              <a:uLnTx/>
              <a:uFillTx/>
              <a:latin typeface="+mn-lt"/>
              <a:ea typeface="+mn-ea"/>
              <a:cs typeface="Arial"/>
            </a:rPr>
            <a:t> single-age population estimates by county in July </a:t>
          </a:r>
          <a:r>
            <a:rPr lang="en-US" sz="1000" b="0" i="0" baseline="0">
              <a:solidFill>
                <a:schemeClr val="dk1"/>
              </a:solidFill>
              <a:effectLst/>
              <a:latin typeface="+mn-lt"/>
              <a:ea typeface="+mn-ea"/>
              <a:cs typeface="+mn-cs"/>
            </a:rPr>
            <a:t>at the beginning of each SFY. This data is available on the NC OSBM website:  </a:t>
          </a:r>
          <a:r>
            <a:rPr lang="en-US" sz="1000" b="0" i="0">
              <a:solidFill>
                <a:schemeClr val="dk1"/>
              </a:solidFill>
              <a:effectLst/>
              <a:latin typeface="+mn-lt"/>
              <a:ea typeface="+mn-ea"/>
              <a:cs typeface="+mn-cs"/>
            </a:rPr>
            <a:t>http://www.osbm.state.nc.us/demog/countytotals_singleage_20XX.html where "20XX" is the year.</a:t>
          </a:r>
          <a:endParaRPr kumimoji="0" lang="en-US" sz="1000" b="0" i="0" u="none" strike="noStrike" kern="0" cap="none" spc="0" normalizeH="0" baseline="0" noProof="0">
            <a:ln>
              <a:noFill/>
            </a:ln>
            <a:solidFill>
              <a:srgbClr val="000000"/>
            </a:solidFill>
            <a:effectLst/>
            <a:uLnTx/>
            <a:uFillTx/>
            <a:latin typeface="+mn-lt"/>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1000" b="0" i="0" u="none" strike="noStrike" kern="0" cap="none" spc="0" normalizeH="0" baseline="0" noProof="0">
            <a:ln>
              <a:noFill/>
            </a:ln>
            <a:solidFill>
              <a:srgbClr val="000000"/>
            </a:solidFill>
            <a:effectLst/>
            <a:uLnTx/>
            <a:uFillTx/>
            <a:latin typeface="+mn-lt"/>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000" b="0" i="0" u="none" strike="noStrike" kern="0" cap="none" spc="0" normalizeH="0" baseline="0" noProof="0">
              <a:ln>
                <a:noFill/>
              </a:ln>
              <a:solidFill>
                <a:srgbClr val="000000"/>
              </a:solidFill>
              <a:effectLst/>
              <a:uLnTx/>
              <a:uFillTx/>
              <a:latin typeface="+mn-lt"/>
              <a:ea typeface="+mn-ea"/>
              <a:cs typeface="Arial"/>
            </a:rPr>
            <a:t>A number of measures were considered, and two were selected to estimate the number of youth "at risk" for developing substance abuse.  </a:t>
          </a:r>
          <a:r>
            <a:rPr lang="en-US" sz="1000" b="0" i="0" baseline="0">
              <a:solidFill>
                <a:schemeClr val="dk1"/>
              </a:solidFill>
              <a:effectLst/>
              <a:latin typeface="+mn-lt"/>
              <a:ea typeface="+mn-ea"/>
              <a:cs typeface="+mn-cs"/>
            </a:rPr>
            <a:t>For youth ages 6-11, t</a:t>
          </a:r>
          <a:r>
            <a:rPr kumimoji="0" lang="en-US" sz="1000" b="0" i="0" u="none" strike="noStrike" kern="0" cap="none" spc="0" normalizeH="0" baseline="0" noProof="0">
              <a:ln>
                <a:noFill/>
              </a:ln>
              <a:solidFill>
                <a:srgbClr val="000000"/>
              </a:solidFill>
              <a:effectLst/>
              <a:uLnTx/>
              <a:uFillTx/>
              <a:latin typeface="+mn-lt"/>
              <a:ea typeface="+mn-ea"/>
              <a:cs typeface="Arial"/>
            </a:rPr>
            <a:t>he NC YRBS Middle School Survey question "ever had a drink of alcohol, other than a few sips" responses for 6th graders were used</a:t>
          </a:r>
          <a:r>
            <a:rPr lang="en-US" sz="1000" b="0" i="0" baseline="0">
              <a:solidFill>
                <a:schemeClr val="dk1"/>
              </a:solidFill>
              <a:effectLst/>
              <a:latin typeface="+mn-lt"/>
              <a:ea typeface="+mn-ea"/>
              <a:cs typeface="+mn-cs"/>
            </a:rPr>
            <a:t>.  For youth ages 12-17, the NSDUH Table B.1Illicit Drug Use in Past Month, by Age Group and State results for NC was used.  Illicit drugs include nine categories of illicit drugs: marijuana/hashish, cocaine (including crack), heroin, hallucinogens, inhalants, and the nonmedical use of prescription-type pain relievers, tranquilizers, stimulants, and sedatives. </a:t>
          </a:r>
          <a:endParaRPr kumimoji="0" lang="en-US" sz="1000" b="0" i="0" u="none" strike="noStrike" kern="0" cap="none" spc="0" normalizeH="0" baseline="0" noProof="0">
            <a:ln>
              <a:noFill/>
            </a:ln>
            <a:solidFill>
              <a:srgbClr val="000000"/>
            </a:solidFill>
            <a:effectLst/>
            <a:uLnTx/>
            <a:uFillTx/>
            <a:latin typeface="+mn-lt"/>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en-US" sz="1000" b="0" i="0" u="none" strike="noStrike" kern="0" cap="none" spc="0" normalizeH="0" baseline="0" noProof="0">
            <a:ln>
              <a:noFill/>
            </a:ln>
            <a:solidFill>
              <a:srgbClr val="000000"/>
            </a:solidFill>
            <a:effectLst/>
            <a:uLnTx/>
            <a:uFillTx/>
            <a:latin typeface="+mn-lt"/>
            <a:ea typeface="+mn-ea"/>
            <a:cs typeface="Arial"/>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mn-lt"/>
              <a:ea typeface="+mn-ea"/>
              <a:cs typeface="+mn-cs"/>
            </a:rPr>
            <a:t>For SFY2014</a:t>
          </a:r>
          <a:r>
            <a:rPr kumimoji="0" lang="en-US" sz="1000" b="0" i="0" u="none" strike="noStrike" kern="0" cap="none" spc="0" normalizeH="0" baseline="0" noProof="0">
              <a:ln>
                <a:noFill/>
              </a:ln>
              <a:solidFill>
                <a:sysClr val="windowText" lastClr="000000"/>
              </a:solidFill>
              <a:effectLst/>
              <a:uLnTx/>
              <a:uFillTx/>
              <a:latin typeface="+mn-lt"/>
              <a:ea typeface="+mn-ea"/>
              <a:cs typeface="+mn-cs"/>
            </a:rPr>
            <a:t>.  For youth (ages 6-11), 14.1% of respondents (ages 11 or younger) to Question 26 of the NC YRBS 2011 Middle School Survey (Published Dec 2012) "ever had a drink of alcohol, other than a few sips".  A smaller percentage reported using illicit drugs or tobacco in response to other questions.  If all of these questions could be combined, the percentage "at risk" for all types of substance abuse may be higher.  For youth (ages 12-17), 10.33% of youth in NC have used illicit drugs in the past month, as reported in Table B.1 Illicit Drug Use in Past Month, by Age Group and State:  Percentages, Annual Averages Based on 2010 and 2011 NSDUHs, published Dec 2012</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sysClr val="windowText" lastClr="000000"/>
              </a:solidFill>
              <a:effectLst/>
              <a:uLnTx/>
              <a:uFillTx/>
              <a:latin typeface="+mn-lt"/>
              <a:ea typeface="+mn-ea"/>
              <a:cs typeface="+mn-cs"/>
            </a:rPr>
            <a:t>For SFY2015</a:t>
          </a:r>
          <a:r>
            <a:rPr kumimoji="0" lang="en-US" sz="1000" b="0" i="0" u="none" strike="noStrike" kern="0" cap="none" spc="0" normalizeH="0" baseline="0" noProof="0">
              <a:ln>
                <a:noFill/>
              </a:ln>
              <a:solidFill>
                <a:sysClr val="windowText" lastClr="000000"/>
              </a:solidFill>
              <a:effectLst/>
              <a:uLnTx/>
              <a:uFillTx/>
              <a:latin typeface="+mn-lt"/>
              <a:ea typeface="+mn-ea"/>
              <a:cs typeface="+mn-cs"/>
            </a:rPr>
            <a:t>.  </a:t>
          </a:r>
          <a:r>
            <a:rPr kumimoji="0" lang="en-US" sz="1000" b="0" i="0" u="none" strike="noStrike" kern="0" cap="none" spc="0" normalizeH="0" baseline="0" noProof="0">
              <a:ln>
                <a:noFill/>
              </a:ln>
              <a:solidFill>
                <a:prstClr val="black"/>
              </a:solidFill>
              <a:effectLst/>
              <a:uLnTx/>
              <a:uFillTx/>
              <a:latin typeface="+mn-lt"/>
              <a:ea typeface="+mn-ea"/>
              <a:cs typeface="+mn-cs"/>
            </a:rPr>
            <a:t>For youth (ages 6-11), 8.4% of respondents (ages 11 or younger) to Question 26 of the NC YRBS 2013 Middle School Survey (Published April 2014) "ever had a drink of alcohol, other than a few sips".  </a:t>
          </a:r>
          <a:r>
            <a:rPr lang="en-US" sz="1000" b="0" i="0" baseline="0">
              <a:solidFill>
                <a:schemeClr val="dk1"/>
              </a:solidFill>
              <a:effectLst/>
              <a:latin typeface="+mn-lt"/>
              <a:ea typeface="+mn-ea"/>
              <a:cs typeface="+mn-cs"/>
            </a:rPr>
            <a:t>For youth (ages 12-17), 9.65% of youth in NC have used illicit drugs in the past month, as reported in Table B.1 Illicit Drug Use in Past Month, by Age Group and State:  Percentages, Annual Averages Based on 2011 and 2012 NSDUHs, published Oct 2013.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chemeClr val="dk1"/>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prstClr val="black"/>
              </a:solidFill>
              <a:effectLst/>
              <a:uLnTx/>
              <a:uFillTx/>
              <a:latin typeface="+mn-lt"/>
              <a:ea typeface="+mn-ea"/>
              <a:cs typeface="+mn-cs"/>
            </a:rPr>
            <a:t>For SFY2016</a:t>
          </a:r>
          <a:r>
            <a:rPr kumimoji="0" lang="en-US" sz="1000" b="0" i="0" u="none" strike="noStrike" kern="0" cap="none" spc="0" normalizeH="0" baseline="0" noProof="0">
              <a:ln>
                <a:noFill/>
              </a:ln>
              <a:solidFill>
                <a:prstClr val="black"/>
              </a:solidFill>
              <a:effectLst/>
              <a:uLnTx/>
              <a:uFillTx/>
              <a:latin typeface="+mn-lt"/>
              <a:ea typeface="+mn-ea"/>
              <a:cs typeface="+mn-cs"/>
            </a:rPr>
            <a:t>.  </a:t>
          </a:r>
          <a:r>
            <a:rPr lang="en-US" sz="1000" b="0" i="0" baseline="0">
              <a:solidFill>
                <a:schemeClr val="dk1"/>
              </a:solidFill>
              <a:effectLst/>
              <a:latin typeface="+mn-lt"/>
              <a:ea typeface="+mn-ea"/>
              <a:cs typeface="+mn-cs"/>
            </a:rPr>
            <a:t>For youth (ages 6-11), 8.4% of respondents (ages 11 or younger) to Question 26 of the NC YRBS 2013 Middle School Survey (Published April 2014) "ever had a drink of alcohol, other than a few sips".  </a:t>
          </a:r>
          <a:r>
            <a:rPr kumimoji="0" lang="en-US" sz="1000" b="0" i="0" u="none" strike="noStrike" kern="0" cap="none" spc="0" normalizeH="0" baseline="0" noProof="0">
              <a:ln>
                <a:noFill/>
              </a:ln>
              <a:solidFill>
                <a:prstClr val="black"/>
              </a:solidFill>
              <a:effectLst/>
              <a:uLnTx/>
              <a:uFillTx/>
              <a:latin typeface="+mn-lt"/>
              <a:ea typeface="+mn-ea"/>
              <a:cs typeface="+mn-cs"/>
            </a:rPr>
            <a:t>For youth (ages 12-17), 8.74% of youth in NC have used illicit drugs in the past month, as reported in Table B.1 Illicit Drug Use in Past Month, by Age Group and State:  Percentages, Annual Averages Based on 2012 and 2013 NSDUHs, published Dec 2014.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prstClr val="black"/>
              </a:solidFill>
              <a:effectLst/>
              <a:uLnTx/>
              <a:uFillTx/>
              <a:latin typeface="+mn-lt"/>
              <a:ea typeface="+mn-ea"/>
              <a:cs typeface="+mn-cs"/>
            </a:rPr>
            <a:t>For SFY2017</a:t>
          </a:r>
          <a:r>
            <a:rPr kumimoji="0" lang="en-US" sz="1000" b="0" i="0" u="none" strike="noStrike" kern="0" cap="none" spc="0" normalizeH="0" baseline="0" noProof="0">
              <a:ln>
                <a:noFill/>
              </a:ln>
              <a:solidFill>
                <a:prstClr val="black"/>
              </a:solidFill>
              <a:effectLst/>
              <a:uLnTx/>
              <a:uFillTx/>
              <a:latin typeface="+mn-lt"/>
              <a:ea typeface="+mn-ea"/>
              <a:cs typeface="+mn-cs"/>
            </a:rPr>
            <a:t>.  For youth (ages 6-11), 8.4% of respondents (ages 11 or younger) to Question 26 of the NC YRBS 2013 Middle School Survey (Published April 2014) "ever had a drink of alcohol, other than a few sips".  For youth (ages 12-17), 5.20% of youth in NC have used illicit drugs in the past month, as reported in Table B.1 Illicit Drug Use in Past Month, by Age Group and State:  Percentages, Annual Averages Based on 2013 and 2014 NSDUHs, published Dec 2015.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srgbClr val="000000"/>
              </a:solidFill>
              <a:effectLst/>
              <a:uLnTx/>
              <a:uFillTx/>
              <a:latin typeface="+mn-lt"/>
              <a:ea typeface="+mn-ea"/>
              <a:cs typeface="Arial"/>
            </a:rPr>
            <a:t>For SFY2018</a:t>
          </a:r>
          <a:r>
            <a:rPr kumimoji="0" lang="en-US" sz="1000" b="0" i="0" u="none" strike="noStrike" kern="0" cap="none" spc="0" normalizeH="0" baseline="0" noProof="0">
              <a:ln>
                <a:noFill/>
              </a:ln>
              <a:solidFill>
                <a:srgbClr val="000000"/>
              </a:solidFill>
              <a:effectLst/>
              <a:uLnTx/>
              <a:uFillTx/>
              <a:latin typeface="+mn-lt"/>
              <a:ea typeface="+mn-ea"/>
              <a:cs typeface="Arial"/>
            </a:rPr>
            <a:t>.  For youth (ages 6-11), 8.4% of respondents (ages 11 or younger) to Question 26 of the NC YRBS 2013 Middle School Survey (Published April 2014) "ever had a drink of alcohol, other than a few sips".  For youth (ages 12-17), 5.2% of youth in NC have used illicit drugs in the past month, as reported in Table B.1 Illicit Drug Use in Past Month, by Age Group and State:  Percentages, Annual Averages Based on 2013 and 2014 NSDUHs, published Dec 2015.</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rgbClr val="000000"/>
            </a:solidFill>
            <a:effectLst/>
            <a:uLnTx/>
            <a:uFillTx/>
            <a:latin typeface="+mn-lt"/>
            <a:ea typeface="+mn-ea"/>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schwartz/Desktop/NC%20Medicaid%20Waiver%20Quarter%20Template%20DMHDDSAS%20Measures%20Revised%209-18-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Worksheet"/>
      <sheetName val="Prevention 1.1"/>
      <sheetName val="Access 2.1"/>
      <sheetName val="Access 2.2"/>
      <sheetName val="Access 2.3"/>
      <sheetName val="Penetration 3.1"/>
      <sheetName val="Penetration 3.2"/>
      <sheetName val="UOS D.4."/>
      <sheetName val="Report Schedule"/>
      <sheetName val="EOC A.1."/>
      <sheetName val="EOC A.2."/>
      <sheetName val="EOC A.3."/>
      <sheetName val="EOC A.4."/>
      <sheetName val="AA B.1."/>
      <sheetName val="AA B.2."/>
      <sheetName val="AA B.3."/>
      <sheetName val="AA B.4."/>
      <sheetName val="AA B.5."/>
      <sheetName val="AA B.6."/>
      <sheetName val="PPS C.1. "/>
      <sheetName val="PPS C.2. Complaint&amp;Grievance"/>
      <sheetName val="PPS C.2. Medicaid Appeals"/>
      <sheetName val="PPS C.3."/>
      <sheetName val="UOS D.1."/>
      <sheetName val="UOS D.2."/>
      <sheetName val="UOS D.3."/>
      <sheetName val="UOS D.6."/>
      <sheetName val="UOS D.7."/>
      <sheetName val="HPS E.1."/>
      <sheetName val="PDI F.1."/>
      <sheetName val="PDI  F.2. (1)"/>
      <sheetName val="PDI F.2. (2)"/>
      <sheetName val="PDI F.2. (3)"/>
      <sheetName val="HAS G.1."/>
      <sheetName val="Data Validation"/>
      <sheetName val="Uninsured By County"/>
      <sheetName val="Pivot Table-Uninsur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4">
          <cell r="A4" t="str">
            <v>Alliance Behavioral Healthcare</v>
          </cell>
        </row>
        <row r="68">
          <cell r="A68" t="str">
            <v>Alliance Behavioral Healthcare</v>
          </cell>
          <cell r="B68">
            <v>151023</v>
          </cell>
          <cell r="C68">
            <v>144897</v>
          </cell>
          <cell r="D68">
            <v>295920</v>
          </cell>
          <cell r="E68">
            <v>22955</v>
          </cell>
          <cell r="F68">
            <v>14968</v>
          </cell>
          <cell r="G68">
            <v>37923</v>
          </cell>
        </row>
        <row r="69">
          <cell r="A69" t="str">
            <v>Cardinal Innovations Healthcare Solutions</v>
          </cell>
          <cell r="B69">
            <v>116018</v>
          </cell>
          <cell r="C69">
            <v>119978</v>
          </cell>
          <cell r="D69">
            <v>235996</v>
          </cell>
          <cell r="E69">
            <v>17635</v>
          </cell>
          <cell r="F69">
            <v>12394</v>
          </cell>
          <cell r="G69">
            <v>30029</v>
          </cell>
        </row>
        <row r="70">
          <cell r="A70" t="str">
            <v>CenterPoint Human Services</v>
          </cell>
          <cell r="B70">
            <v>42167</v>
          </cell>
          <cell r="C70">
            <v>43223</v>
          </cell>
          <cell r="D70">
            <v>85390</v>
          </cell>
          <cell r="E70">
            <v>6409</v>
          </cell>
          <cell r="F70">
            <v>4465</v>
          </cell>
          <cell r="G70">
            <v>10874</v>
          </cell>
        </row>
        <row r="71">
          <cell r="A71" t="str">
            <v>CoastalCare</v>
          </cell>
          <cell r="B71">
            <v>44762</v>
          </cell>
          <cell r="C71">
            <v>42190</v>
          </cell>
          <cell r="D71">
            <v>86952</v>
          </cell>
          <cell r="E71">
            <v>6804</v>
          </cell>
          <cell r="F71">
            <v>4358</v>
          </cell>
          <cell r="G71">
            <v>11162</v>
          </cell>
        </row>
        <row r="72">
          <cell r="A72" t="str">
            <v>East Carolina Behavioral Health</v>
          </cell>
          <cell r="B72">
            <v>44639</v>
          </cell>
          <cell r="C72">
            <v>44273</v>
          </cell>
          <cell r="D72">
            <v>88912</v>
          </cell>
          <cell r="E72">
            <v>6785</v>
          </cell>
          <cell r="F72">
            <v>4573</v>
          </cell>
          <cell r="G72">
            <v>11358</v>
          </cell>
        </row>
        <row r="73">
          <cell r="A73" t="str">
            <v>Eastpointe</v>
          </cell>
          <cell r="B73">
            <v>66612</v>
          </cell>
          <cell r="C73">
            <v>68774</v>
          </cell>
          <cell r="D73">
            <v>135386</v>
          </cell>
          <cell r="E73">
            <v>10125</v>
          </cell>
          <cell r="F73">
            <v>7104</v>
          </cell>
          <cell r="G73">
            <v>17229</v>
          </cell>
        </row>
        <row r="74">
          <cell r="A74" t="str">
            <v>MeckLINK Behavioral Healthcare</v>
          </cell>
          <cell r="B74">
            <v>83026</v>
          </cell>
          <cell r="C74">
            <v>75907</v>
          </cell>
          <cell r="D74">
            <v>158933</v>
          </cell>
          <cell r="E74">
            <v>12620</v>
          </cell>
          <cell r="F74">
            <v>7841</v>
          </cell>
          <cell r="G74">
            <v>20461</v>
          </cell>
        </row>
        <row r="75">
          <cell r="A75" t="str">
            <v>Partners Behavioral Health Management</v>
          </cell>
          <cell r="B75">
            <v>69571</v>
          </cell>
          <cell r="C75">
            <v>75764</v>
          </cell>
          <cell r="D75">
            <v>145335</v>
          </cell>
          <cell r="E75">
            <v>10575</v>
          </cell>
          <cell r="F75">
            <v>7826</v>
          </cell>
          <cell r="G75">
            <v>18401</v>
          </cell>
        </row>
        <row r="76">
          <cell r="A76" t="str">
            <v>Sandhills Center</v>
          </cell>
          <cell r="B76">
            <v>86029</v>
          </cell>
          <cell r="C76">
            <v>88198</v>
          </cell>
          <cell r="D76">
            <v>174227</v>
          </cell>
          <cell r="E76">
            <v>13076</v>
          </cell>
          <cell r="F76">
            <v>9111</v>
          </cell>
          <cell r="G76">
            <v>22187</v>
          </cell>
        </row>
        <row r="77">
          <cell r="A77" t="str">
            <v>Smoky Mountain Center (&lt;10/1/2013)</v>
          </cell>
          <cell r="B77">
            <v>34880</v>
          </cell>
          <cell r="C77">
            <v>37782</v>
          </cell>
          <cell r="D77">
            <v>72662</v>
          </cell>
          <cell r="E77">
            <v>5302</v>
          </cell>
          <cell r="F77">
            <v>3903</v>
          </cell>
          <cell r="G77">
            <v>9205</v>
          </cell>
        </row>
        <row r="78">
          <cell r="A78" t="str">
            <v>Smoky Mountain Center (≥10/1/2013)</v>
          </cell>
          <cell r="B78">
            <v>70484</v>
          </cell>
          <cell r="C78">
            <v>74978</v>
          </cell>
          <cell r="D78">
            <v>145462</v>
          </cell>
          <cell r="E78">
            <v>10714</v>
          </cell>
          <cell r="F78">
            <v>7745</v>
          </cell>
          <cell r="G78">
            <v>18459</v>
          </cell>
        </row>
        <row r="79">
          <cell r="A79" t="str">
            <v>Western Highlands Network</v>
          </cell>
          <cell r="B79">
            <v>35604</v>
          </cell>
          <cell r="C79">
            <v>37196</v>
          </cell>
          <cell r="D79">
            <v>72800</v>
          </cell>
          <cell r="E79">
            <v>5412</v>
          </cell>
          <cell r="F79">
            <v>3842</v>
          </cell>
          <cell r="G79">
            <v>9254</v>
          </cell>
        </row>
      </sheetData>
      <sheetData sheetId="35">
        <row r="5">
          <cell r="A5" t="str">
            <v>Alamance</v>
          </cell>
          <cell r="B5" t="str">
            <v>Cardinal Innovations Healthcare Solutions</v>
          </cell>
          <cell r="C5" t="str">
            <v>Urban</v>
          </cell>
          <cell r="D5">
            <v>154151</v>
          </cell>
          <cell r="E5">
            <v>5331</v>
          </cell>
          <cell r="F5">
            <v>29904</v>
          </cell>
          <cell r="G5">
            <v>2392</v>
          </cell>
          <cell r="H5">
            <v>5438</v>
          </cell>
          <cell r="I5">
            <v>87069</v>
          </cell>
          <cell r="J5">
            <v>24017</v>
          </cell>
          <cell r="K5">
            <v>124803</v>
          </cell>
          <cell r="L5">
            <v>8.7999999999999995E-2</v>
          </cell>
          <cell r="M5">
            <v>0.21299999999999999</v>
          </cell>
          <cell r="N5">
            <v>0.17599999999999999</v>
          </cell>
          <cell r="O5">
            <v>469.12799999999999</v>
          </cell>
          <cell r="P5">
            <v>2631.5519999999997</v>
          </cell>
          <cell r="Q5">
            <v>210.49599999999998</v>
          </cell>
          <cell r="R5">
            <v>1158.2939999999999</v>
          </cell>
          <cell r="S5">
            <v>1368.79</v>
          </cell>
          <cell r="T5">
            <v>18545.697</v>
          </cell>
          <cell r="U5">
            <v>19914.487000000001</v>
          </cell>
          <cell r="V5">
            <v>22546.039000000001</v>
          </cell>
        </row>
        <row r="6">
          <cell r="A6" t="str">
            <v>Alexander</v>
          </cell>
          <cell r="B6" t="str">
            <v>Smoky Mountain Center</v>
          </cell>
          <cell r="C6" t="str">
            <v>Rural</v>
          </cell>
          <cell r="D6">
            <v>37209</v>
          </cell>
          <cell r="E6">
            <v>1087</v>
          </cell>
          <cell r="F6">
            <v>6852</v>
          </cell>
          <cell r="G6">
            <v>465</v>
          </cell>
          <cell r="H6">
            <v>878</v>
          </cell>
          <cell r="I6">
            <v>21538</v>
          </cell>
          <cell r="J6">
            <v>6389</v>
          </cell>
          <cell r="K6">
            <v>29733</v>
          </cell>
          <cell r="L6">
            <v>7.5999999999999998E-2</v>
          </cell>
          <cell r="M6">
            <v>0.19500000000000001</v>
          </cell>
          <cell r="N6">
            <v>0.16200000000000001</v>
          </cell>
          <cell r="O6">
            <v>82.611999999999995</v>
          </cell>
          <cell r="P6">
            <v>520.75199999999995</v>
          </cell>
          <cell r="Q6">
            <v>35.339999999999996</v>
          </cell>
          <cell r="R6">
            <v>171.21</v>
          </cell>
          <cell r="S6">
            <v>206.55</v>
          </cell>
          <cell r="T6">
            <v>4199.91</v>
          </cell>
          <cell r="U6">
            <v>4406.46</v>
          </cell>
          <cell r="V6">
            <v>4927.2119999999995</v>
          </cell>
        </row>
        <row r="7">
          <cell r="A7" t="str">
            <v>Alleghany</v>
          </cell>
          <cell r="B7" t="str">
            <v>Smoky Mountain Center</v>
          </cell>
          <cell r="C7" t="str">
            <v>Rural</v>
          </cell>
          <cell r="D7">
            <v>10874</v>
          </cell>
          <cell r="E7">
            <v>260</v>
          </cell>
          <cell r="F7">
            <v>1775</v>
          </cell>
          <cell r="G7">
            <v>132</v>
          </cell>
          <cell r="H7">
            <v>260</v>
          </cell>
          <cell r="I7">
            <v>5918</v>
          </cell>
          <cell r="J7">
            <v>2529</v>
          </cell>
          <cell r="K7">
            <v>8085</v>
          </cell>
          <cell r="L7">
            <v>8.6999999999999994E-2</v>
          </cell>
          <cell r="M7">
            <v>0.216</v>
          </cell>
          <cell r="N7">
            <v>0.182</v>
          </cell>
          <cell r="O7">
            <v>22.619999999999997</v>
          </cell>
          <cell r="P7">
            <v>154.42499999999998</v>
          </cell>
          <cell r="Q7">
            <v>11.484</v>
          </cell>
          <cell r="R7">
            <v>56.16</v>
          </cell>
          <cell r="S7">
            <v>67.643999999999991</v>
          </cell>
          <cell r="T7">
            <v>1278.288</v>
          </cell>
          <cell r="U7">
            <v>1345.932</v>
          </cell>
          <cell r="V7">
            <v>1500.357</v>
          </cell>
        </row>
        <row r="8">
          <cell r="A8" t="str">
            <v>Anson</v>
          </cell>
          <cell r="B8" t="str">
            <v>Sandhills Center</v>
          </cell>
          <cell r="C8" t="str">
            <v>Rural</v>
          </cell>
          <cell r="D8">
            <v>26635</v>
          </cell>
          <cell r="E8">
            <v>803</v>
          </cell>
          <cell r="F8">
            <v>4770</v>
          </cell>
          <cell r="G8">
            <v>340</v>
          </cell>
          <cell r="H8">
            <v>764</v>
          </cell>
          <cell r="I8">
            <v>15836</v>
          </cell>
          <cell r="J8">
            <v>4122</v>
          </cell>
          <cell r="K8">
            <v>21710</v>
          </cell>
          <cell r="L8">
            <v>8.5000000000000006E-2</v>
          </cell>
          <cell r="M8">
            <v>0.23100000000000001</v>
          </cell>
          <cell r="N8">
            <v>0.192</v>
          </cell>
          <cell r="O8">
            <v>68.25500000000001</v>
          </cell>
          <cell r="P8">
            <v>405.45000000000005</v>
          </cell>
          <cell r="Q8">
            <v>28.900000000000002</v>
          </cell>
          <cell r="R8">
            <v>176.48400000000001</v>
          </cell>
          <cell r="S8">
            <v>205.38400000000001</v>
          </cell>
          <cell r="T8">
            <v>3658.116</v>
          </cell>
          <cell r="U8">
            <v>3863.5</v>
          </cell>
          <cell r="V8">
            <v>4268.95</v>
          </cell>
        </row>
        <row r="9">
          <cell r="A9" t="str">
            <v>Ashe</v>
          </cell>
          <cell r="B9" t="str">
            <v>Smoky Mountain Center</v>
          </cell>
          <cell r="C9" t="str">
            <v>Rural</v>
          </cell>
          <cell r="D9">
            <v>27468</v>
          </cell>
          <cell r="E9">
            <v>758</v>
          </cell>
          <cell r="F9">
            <v>4489</v>
          </cell>
          <cell r="G9">
            <v>279</v>
          </cell>
          <cell r="H9">
            <v>553</v>
          </cell>
          <cell r="I9">
            <v>15281</v>
          </cell>
          <cell r="J9">
            <v>6108</v>
          </cell>
          <cell r="K9">
            <v>20602</v>
          </cell>
          <cell r="L9">
            <v>7.5999999999999998E-2</v>
          </cell>
          <cell r="M9">
            <v>0.19700000000000001</v>
          </cell>
          <cell r="N9">
            <v>0.16700000000000001</v>
          </cell>
          <cell r="O9">
            <v>57.607999999999997</v>
          </cell>
          <cell r="P9">
            <v>341.16399999999999</v>
          </cell>
          <cell r="Q9">
            <v>21.204000000000001</v>
          </cell>
          <cell r="R9">
            <v>108.941</v>
          </cell>
          <cell r="S9">
            <v>130.14500000000001</v>
          </cell>
          <cell r="T9">
            <v>3010.357</v>
          </cell>
          <cell r="U9">
            <v>3140.502</v>
          </cell>
          <cell r="V9">
            <v>3481.6660000000002</v>
          </cell>
        </row>
        <row r="10">
          <cell r="A10" t="str">
            <v>Avery</v>
          </cell>
          <cell r="B10" t="str">
            <v>Smoky Mountain Center</v>
          </cell>
          <cell r="C10" t="str">
            <v>Rural</v>
          </cell>
          <cell r="D10">
            <v>17842</v>
          </cell>
          <cell r="E10">
            <v>442</v>
          </cell>
          <cell r="F10">
            <v>2459</v>
          </cell>
          <cell r="G10">
            <v>196</v>
          </cell>
          <cell r="H10">
            <v>451</v>
          </cell>
          <cell r="I10">
            <v>10853</v>
          </cell>
          <cell r="J10">
            <v>3441</v>
          </cell>
          <cell r="K10">
            <v>13959</v>
          </cell>
          <cell r="L10">
            <v>8.2000000000000003E-2</v>
          </cell>
          <cell r="M10">
            <v>0.21099999999999999</v>
          </cell>
          <cell r="N10">
            <v>0.182</v>
          </cell>
          <cell r="O10">
            <v>36.244</v>
          </cell>
          <cell r="P10">
            <v>201.63800000000001</v>
          </cell>
          <cell r="Q10">
            <v>16.071999999999999</v>
          </cell>
          <cell r="R10">
            <v>95.161000000000001</v>
          </cell>
          <cell r="S10">
            <v>111.233</v>
          </cell>
          <cell r="T10">
            <v>2289.9829999999997</v>
          </cell>
          <cell r="U10">
            <v>2401.2159999999999</v>
          </cell>
          <cell r="V10">
            <v>2602.8539999999998</v>
          </cell>
        </row>
        <row r="11">
          <cell r="A11" t="str">
            <v>Beaufort</v>
          </cell>
          <cell r="B11" t="str">
            <v>East Carolina Behavioral Health</v>
          </cell>
          <cell r="C11" t="str">
            <v>Rural</v>
          </cell>
          <cell r="D11">
            <v>48010</v>
          </cell>
          <cell r="E11">
            <v>1548</v>
          </cell>
          <cell r="F11">
            <v>8751</v>
          </cell>
          <cell r="G11">
            <v>554</v>
          </cell>
          <cell r="H11">
            <v>1036</v>
          </cell>
          <cell r="I11">
            <v>26140</v>
          </cell>
          <cell r="J11">
            <v>9981</v>
          </cell>
          <cell r="K11">
            <v>36481</v>
          </cell>
          <cell r="L11">
            <v>8.5000000000000006E-2</v>
          </cell>
          <cell r="M11">
            <v>0.20300000000000001</v>
          </cell>
          <cell r="N11">
            <v>0.17</v>
          </cell>
          <cell r="O11">
            <v>131.58000000000001</v>
          </cell>
          <cell r="P11">
            <v>743.83500000000004</v>
          </cell>
          <cell r="Q11">
            <v>47.09</v>
          </cell>
          <cell r="R11">
            <v>210.30800000000002</v>
          </cell>
          <cell r="S11">
            <v>257.39800000000002</v>
          </cell>
          <cell r="T11">
            <v>5306.42</v>
          </cell>
          <cell r="U11">
            <v>5563.8180000000002</v>
          </cell>
          <cell r="V11">
            <v>6307.6530000000002</v>
          </cell>
        </row>
        <row r="12">
          <cell r="A12" t="str">
            <v>Bertie</v>
          </cell>
          <cell r="B12" t="str">
            <v>East Carolina Behavioral Health</v>
          </cell>
          <cell r="C12" t="str">
            <v>Rural</v>
          </cell>
          <cell r="D12">
            <v>20450</v>
          </cell>
          <cell r="E12">
            <v>586</v>
          </cell>
          <cell r="F12">
            <v>3508</v>
          </cell>
          <cell r="G12">
            <v>215</v>
          </cell>
          <cell r="H12">
            <v>419</v>
          </cell>
          <cell r="I12">
            <v>12042</v>
          </cell>
          <cell r="J12">
            <v>3680</v>
          </cell>
          <cell r="K12">
            <v>16184</v>
          </cell>
          <cell r="L12">
            <v>8.6999999999999994E-2</v>
          </cell>
          <cell r="M12">
            <v>0.248</v>
          </cell>
          <cell r="N12">
            <v>0.20599999999999999</v>
          </cell>
          <cell r="O12">
            <v>50.981999999999999</v>
          </cell>
          <cell r="P12">
            <v>305.19599999999997</v>
          </cell>
          <cell r="Q12">
            <v>18.704999999999998</v>
          </cell>
          <cell r="R12">
            <v>103.91200000000001</v>
          </cell>
          <cell r="S12">
            <v>122.617</v>
          </cell>
          <cell r="T12">
            <v>2986.4160000000002</v>
          </cell>
          <cell r="U12">
            <v>3109.0330000000004</v>
          </cell>
          <cell r="V12">
            <v>3414.2290000000003</v>
          </cell>
        </row>
        <row r="13">
          <cell r="A13" t="str">
            <v>Bladen</v>
          </cell>
          <cell r="B13" t="str">
            <v>Eastpointe</v>
          </cell>
          <cell r="C13" t="str">
            <v>Rural</v>
          </cell>
          <cell r="D13">
            <v>35226</v>
          </cell>
          <cell r="E13">
            <v>1078</v>
          </cell>
          <cell r="F13">
            <v>6648</v>
          </cell>
          <cell r="G13">
            <v>455</v>
          </cell>
          <cell r="H13">
            <v>906</v>
          </cell>
          <cell r="I13">
            <v>19979</v>
          </cell>
          <cell r="J13">
            <v>6160</v>
          </cell>
          <cell r="K13">
            <v>27988</v>
          </cell>
          <cell r="L13">
            <v>8.5999999999999993E-2</v>
          </cell>
          <cell r="M13">
            <v>0.21199999999999999</v>
          </cell>
          <cell r="N13">
            <v>0.17699999999999999</v>
          </cell>
          <cell r="O13">
            <v>92.707999999999998</v>
          </cell>
          <cell r="P13">
            <v>571.72799999999995</v>
          </cell>
          <cell r="Q13">
            <v>39.129999999999995</v>
          </cell>
          <cell r="R13">
            <v>192.072</v>
          </cell>
          <cell r="S13">
            <v>231.202</v>
          </cell>
          <cell r="T13">
            <v>4235.5479999999998</v>
          </cell>
          <cell r="U13">
            <v>4466.75</v>
          </cell>
          <cell r="V13">
            <v>5038.4780000000001</v>
          </cell>
        </row>
        <row r="14">
          <cell r="A14" t="str">
            <v>Brunswick</v>
          </cell>
          <cell r="B14" t="str">
            <v>CoastalCare</v>
          </cell>
          <cell r="C14" t="str">
            <v>Rural</v>
          </cell>
          <cell r="D14">
            <v>114882</v>
          </cell>
          <cell r="E14">
            <v>3187</v>
          </cell>
          <cell r="F14">
            <v>17605</v>
          </cell>
          <cell r="G14">
            <v>1018</v>
          </cell>
          <cell r="H14">
            <v>2076</v>
          </cell>
          <cell r="I14">
            <v>61680</v>
          </cell>
          <cell r="J14">
            <v>29316</v>
          </cell>
          <cell r="K14">
            <v>82379</v>
          </cell>
          <cell r="L14">
            <v>7.8E-2</v>
          </cell>
          <cell r="M14">
            <v>0.2</v>
          </cell>
          <cell r="N14">
            <v>0.17</v>
          </cell>
          <cell r="O14">
            <v>248.58600000000001</v>
          </cell>
          <cell r="P14">
            <v>1373.19</v>
          </cell>
          <cell r="Q14">
            <v>79.403999999999996</v>
          </cell>
          <cell r="R14">
            <v>415.20000000000005</v>
          </cell>
          <cell r="S14">
            <v>494.60400000000004</v>
          </cell>
          <cell r="T14">
            <v>12336</v>
          </cell>
          <cell r="U14">
            <v>12830.603999999999</v>
          </cell>
          <cell r="V14">
            <v>14203.794</v>
          </cell>
        </row>
        <row r="15">
          <cell r="A15" t="str">
            <v>Buncombe</v>
          </cell>
          <cell r="B15" t="str">
            <v>Western Highlands Network</v>
          </cell>
          <cell r="C15" t="str">
            <v>Urban</v>
          </cell>
          <cell r="D15">
            <v>248578</v>
          </cell>
          <cell r="E15">
            <v>7837</v>
          </cell>
          <cell r="F15">
            <v>41423</v>
          </cell>
          <cell r="G15">
            <v>2884</v>
          </cell>
          <cell r="H15">
            <v>5859</v>
          </cell>
          <cell r="I15">
            <v>147277</v>
          </cell>
          <cell r="J15">
            <v>43298</v>
          </cell>
          <cell r="K15">
            <v>197443</v>
          </cell>
          <cell r="L15">
            <v>7.6999999999999999E-2</v>
          </cell>
          <cell r="M15">
            <v>0.185</v>
          </cell>
          <cell r="N15">
            <v>0.158</v>
          </cell>
          <cell r="O15">
            <v>603.44899999999996</v>
          </cell>
          <cell r="P15">
            <v>3189.5709999999999</v>
          </cell>
          <cell r="Q15">
            <v>222.06799999999998</v>
          </cell>
          <cell r="R15">
            <v>1083.915</v>
          </cell>
          <cell r="S15">
            <v>1305.9829999999999</v>
          </cell>
          <cell r="T15">
            <v>27246.244999999999</v>
          </cell>
          <cell r="U15">
            <v>28552.227999999999</v>
          </cell>
          <cell r="V15">
            <v>31741.798999999999</v>
          </cell>
        </row>
        <row r="16">
          <cell r="A16" t="str">
            <v>Burke</v>
          </cell>
          <cell r="B16" t="str">
            <v>Partners Behavioral Health Management</v>
          </cell>
          <cell r="C16" t="str">
            <v>Rural</v>
          </cell>
          <cell r="D16">
            <v>89604</v>
          </cell>
          <cell r="E16">
            <v>2609</v>
          </cell>
          <cell r="F16">
            <v>16406</v>
          </cell>
          <cell r="G16">
            <v>1702</v>
          </cell>
          <cell r="H16">
            <v>2811</v>
          </cell>
          <cell r="I16">
            <v>50316</v>
          </cell>
          <cell r="J16">
            <v>15760</v>
          </cell>
          <cell r="K16">
            <v>71235</v>
          </cell>
          <cell r="L16">
            <v>0.08</v>
          </cell>
          <cell r="M16">
            <v>0.187</v>
          </cell>
          <cell r="N16">
            <v>0.156</v>
          </cell>
          <cell r="O16">
            <v>208.72</v>
          </cell>
          <cell r="P16">
            <v>1312.48</v>
          </cell>
          <cell r="Q16">
            <v>136.16</v>
          </cell>
          <cell r="R16">
            <v>525.65700000000004</v>
          </cell>
          <cell r="S16">
            <v>661.81700000000001</v>
          </cell>
          <cell r="T16">
            <v>9409.0920000000006</v>
          </cell>
          <cell r="U16">
            <v>10070.909</v>
          </cell>
          <cell r="V16">
            <v>11383.388999999999</v>
          </cell>
        </row>
        <row r="17">
          <cell r="A17" t="str">
            <v>Cabarrus</v>
          </cell>
          <cell r="B17" t="str">
            <v>Cardinal Innovations Healthcare Solutions</v>
          </cell>
          <cell r="C17" t="str">
            <v>Urban</v>
          </cell>
          <cell r="D17">
            <v>186531</v>
          </cell>
          <cell r="E17">
            <v>7146</v>
          </cell>
          <cell r="F17">
            <v>41700</v>
          </cell>
          <cell r="G17">
            <v>2533</v>
          </cell>
          <cell r="H17">
            <v>5009</v>
          </cell>
          <cell r="I17">
            <v>107427</v>
          </cell>
          <cell r="J17">
            <v>22716</v>
          </cell>
          <cell r="K17">
            <v>156669</v>
          </cell>
          <cell r="L17">
            <v>8.1000000000000003E-2</v>
          </cell>
          <cell r="M17">
            <v>0.20899999999999999</v>
          </cell>
          <cell r="N17">
            <v>0.16800000000000001</v>
          </cell>
          <cell r="O17">
            <v>578.82600000000002</v>
          </cell>
          <cell r="P17">
            <v>3377.7000000000003</v>
          </cell>
          <cell r="Q17">
            <v>205.173</v>
          </cell>
          <cell r="R17">
            <v>1046.8809999999999</v>
          </cell>
          <cell r="S17">
            <v>1252.0539999999999</v>
          </cell>
          <cell r="T17">
            <v>22452.242999999999</v>
          </cell>
          <cell r="U17">
            <v>23704.296999999999</v>
          </cell>
          <cell r="V17">
            <v>27081.996999999999</v>
          </cell>
        </row>
        <row r="18">
          <cell r="A18" t="str">
            <v>Caldwell</v>
          </cell>
          <cell r="B18" t="str">
            <v>Smoky Mountain Center</v>
          </cell>
          <cell r="C18" t="str">
            <v>Rural</v>
          </cell>
          <cell r="D18">
            <v>82362</v>
          </cell>
          <cell r="E18">
            <v>2395</v>
          </cell>
          <cell r="F18">
            <v>15188</v>
          </cell>
          <cell r="G18">
            <v>1099</v>
          </cell>
          <cell r="H18">
            <v>2348</v>
          </cell>
          <cell r="I18">
            <v>47273</v>
          </cell>
          <cell r="J18">
            <v>14059</v>
          </cell>
          <cell r="K18">
            <v>65908</v>
          </cell>
          <cell r="L18">
            <v>7.6999999999999999E-2</v>
          </cell>
          <cell r="M18">
            <v>0.186</v>
          </cell>
          <cell r="N18">
            <v>0.156</v>
          </cell>
          <cell r="O18">
            <v>184.41499999999999</v>
          </cell>
          <cell r="P18">
            <v>1169.4759999999999</v>
          </cell>
          <cell r="Q18">
            <v>84.623000000000005</v>
          </cell>
          <cell r="R18">
            <v>436.72800000000001</v>
          </cell>
          <cell r="S18">
            <v>521.351</v>
          </cell>
          <cell r="T18">
            <v>8792.7780000000002</v>
          </cell>
          <cell r="U18">
            <v>9314.1290000000008</v>
          </cell>
          <cell r="V18">
            <v>10483.605000000001</v>
          </cell>
        </row>
        <row r="19">
          <cell r="A19" t="str">
            <v>Camden</v>
          </cell>
          <cell r="B19" t="str">
            <v>East Carolina Behavioral Health</v>
          </cell>
          <cell r="C19" t="str">
            <v>Rural</v>
          </cell>
          <cell r="D19">
            <v>9802</v>
          </cell>
          <cell r="E19">
            <v>239</v>
          </cell>
          <cell r="F19">
            <v>1944</v>
          </cell>
          <cell r="G19">
            <v>141</v>
          </cell>
          <cell r="H19">
            <v>251</v>
          </cell>
          <cell r="I19">
            <v>5766</v>
          </cell>
          <cell r="J19">
            <v>1461</v>
          </cell>
          <cell r="K19">
            <v>8102</v>
          </cell>
          <cell r="L19">
            <v>6.8000000000000005E-2</v>
          </cell>
          <cell r="M19">
            <v>0.19500000000000001</v>
          </cell>
          <cell r="N19">
            <v>0.156</v>
          </cell>
          <cell r="O19">
            <v>16.252000000000002</v>
          </cell>
          <cell r="P19">
            <v>132.19200000000001</v>
          </cell>
          <cell r="Q19">
            <v>9.588000000000001</v>
          </cell>
          <cell r="R19">
            <v>48.945</v>
          </cell>
          <cell r="S19">
            <v>58.533000000000001</v>
          </cell>
          <cell r="T19">
            <v>1124.3700000000001</v>
          </cell>
          <cell r="U19">
            <v>1182.903</v>
          </cell>
          <cell r="V19">
            <v>1315.095</v>
          </cell>
        </row>
        <row r="20">
          <cell r="A20" t="str">
            <v>Carteret</v>
          </cell>
          <cell r="B20" t="str">
            <v>CoastalCare</v>
          </cell>
          <cell r="C20" t="str">
            <v>Rural</v>
          </cell>
          <cell r="D20">
            <v>69138</v>
          </cell>
          <cell r="E20">
            <v>1865</v>
          </cell>
          <cell r="F20">
            <v>10642</v>
          </cell>
          <cell r="G20">
            <v>790</v>
          </cell>
          <cell r="H20">
            <v>1501</v>
          </cell>
          <cell r="I20">
            <v>39709</v>
          </cell>
          <cell r="J20">
            <v>14631</v>
          </cell>
          <cell r="K20">
            <v>52642</v>
          </cell>
          <cell r="L20">
            <v>7.3999999999999996E-2</v>
          </cell>
          <cell r="M20">
            <v>0.188</v>
          </cell>
          <cell r="N20">
            <v>0.161</v>
          </cell>
          <cell r="O20">
            <v>138.01</v>
          </cell>
          <cell r="P20">
            <v>787.50799999999992</v>
          </cell>
          <cell r="Q20">
            <v>58.459999999999994</v>
          </cell>
          <cell r="R20">
            <v>282.18799999999999</v>
          </cell>
          <cell r="S20">
            <v>340.64799999999997</v>
          </cell>
          <cell r="T20">
            <v>7465.2920000000004</v>
          </cell>
          <cell r="U20">
            <v>7805.9400000000005</v>
          </cell>
          <cell r="V20">
            <v>8593.4480000000003</v>
          </cell>
        </row>
        <row r="21">
          <cell r="A21" t="str">
            <v>Caswell</v>
          </cell>
          <cell r="B21" t="str">
            <v>Cardinal Innovations Healthcare Solutions</v>
          </cell>
          <cell r="C21" t="str">
            <v>Rural</v>
          </cell>
          <cell r="D21">
            <v>23582</v>
          </cell>
          <cell r="E21">
            <v>600</v>
          </cell>
          <cell r="F21">
            <v>3906</v>
          </cell>
          <cell r="G21">
            <v>257</v>
          </cell>
          <cell r="H21">
            <v>558</v>
          </cell>
          <cell r="I21">
            <v>14064</v>
          </cell>
          <cell r="J21">
            <v>4197</v>
          </cell>
          <cell r="K21">
            <v>18785</v>
          </cell>
          <cell r="L21">
            <v>8.1000000000000003E-2</v>
          </cell>
          <cell r="M21">
            <v>0.23200000000000001</v>
          </cell>
          <cell r="N21">
            <v>0.19400000000000001</v>
          </cell>
          <cell r="O21">
            <v>48.6</v>
          </cell>
          <cell r="P21">
            <v>316.38600000000002</v>
          </cell>
          <cell r="Q21">
            <v>20.817</v>
          </cell>
          <cell r="R21">
            <v>129.45600000000002</v>
          </cell>
          <cell r="S21">
            <v>150.27300000000002</v>
          </cell>
          <cell r="T21">
            <v>3262.848</v>
          </cell>
          <cell r="U21">
            <v>3413.1210000000001</v>
          </cell>
          <cell r="V21">
            <v>3729.5070000000001</v>
          </cell>
        </row>
        <row r="22">
          <cell r="A22" t="str">
            <v>Catawba</v>
          </cell>
          <cell r="B22" t="str">
            <v>Partners Behavioral Health Management</v>
          </cell>
          <cell r="C22" t="str">
            <v>Urban</v>
          </cell>
          <cell r="D22">
            <v>156287</v>
          </cell>
          <cell r="E22">
            <v>5438</v>
          </cell>
          <cell r="F22">
            <v>30614</v>
          </cell>
          <cell r="G22">
            <v>2126</v>
          </cell>
          <cell r="H22">
            <v>4264</v>
          </cell>
          <cell r="I22">
            <v>89481</v>
          </cell>
          <cell r="J22">
            <v>24364</v>
          </cell>
          <cell r="K22">
            <v>126485</v>
          </cell>
          <cell r="L22">
            <v>7.9000000000000001E-2</v>
          </cell>
          <cell r="M22">
            <v>0.17499999999999999</v>
          </cell>
          <cell r="N22">
            <v>0.14699999999999999</v>
          </cell>
          <cell r="O22">
            <v>429.60200000000003</v>
          </cell>
          <cell r="P22">
            <v>2418.5059999999999</v>
          </cell>
          <cell r="Q22">
            <v>167.95400000000001</v>
          </cell>
          <cell r="R22">
            <v>746.19999999999993</v>
          </cell>
          <cell r="S22">
            <v>914.154</v>
          </cell>
          <cell r="T22">
            <v>15659.174999999999</v>
          </cell>
          <cell r="U22">
            <v>16573.328999999998</v>
          </cell>
          <cell r="V22">
            <v>18991.834999999999</v>
          </cell>
        </row>
        <row r="23">
          <cell r="A23" t="str">
            <v>Chatham</v>
          </cell>
          <cell r="B23" t="str">
            <v>Cardinal Innovations Healthcare Solutions</v>
          </cell>
          <cell r="C23" t="str">
            <v>Rural</v>
          </cell>
          <cell r="D23">
            <v>67857</v>
          </cell>
          <cell r="E23">
            <v>1960</v>
          </cell>
          <cell r="F23">
            <v>12024</v>
          </cell>
          <cell r="G23">
            <v>721</v>
          </cell>
          <cell r="H23">
            <v>1340</v>
          </cell>
          <cell r="I23">
            <v>37438</v>
          </cell>
          <cell r="J23">
            <v>14374</v>
          </cell>
          <cell r="K23">
            <v>51523</v>
          </cell>
          <cell r="L23">
            <v>8.8999999999999996E-2</v>
          </cell>
          <cell r="M23">
            <v>0.22500000000000001</v>
          </cell>
          <cell r="N23">
            <v>0.188</v>
          </cell>
          <cell r="O23">
            <v>174.44</v>
          </cell>
          <cell r="P23">
            <v>1070.136</v>
          </cell>
          <cell r="Q23">
            <v>64.168999999999997</v>
          </cell>
          <cell r="R23">
            <v>301.5</v>
          </cell>
          <cell r="S23">
            <v>365.66899999999998</v>
          </cell>
          <cell r="T23">
            <v>8423.5500000000011</v>
          </cell>
          <cell r="U23">
            <v>8789.219000000001</v>
          </cell>
          <cell r="V23">
            <v>9859.3550000000014</v>
          </cell>
        </row>
        <row r="24">
          <cell r="A24" t="str">
            <v>Cherokee</v>
          </cell>
          <cell r="B24" t="str">
            <v>Smoky Mountain Center</v>
          </cell>
          <cell r="C24" t="str">
            <v>Rural</v>
          </cell>
          <cell r="D24">
            <v>26907</v>
          </cell>
          <cell r="E24">
            <v>578</v>
          </cell>
          <cell r="F24">
            <v>4311</v>
          </cell>
          <cell r="G24">
            <v>301</v>
          </cell>
          <cell r="H24">
            <v>543</v>
          </cell>
          <cell r="I24">
            <v>14192</v>
          </cell>
          <cell r="J24">
            <v>6982</v>
          </cell>
          <cell r="K24">
            <v>19347</v>
          </cell>
          <cell r="L24">
            <v>7.9000000000000001E-2</v>
          </cell>
          <cell r="M24">
            <v>0.17199999999999999</v>
          </cell>
          <cell r="N24">
            <v>0.14799999999999999</v>
          </cell>
          <cell r="O24">
            <v>45.661999999999999</v>
          </cell>
          <cell r="P24">
            <v>340.56900000000002</v>
          </cell>
          <cell r="Q24">
            <v>23.779</v>
          </cell>
          <cell r="R24">
            <v>93.395999999999987</v>
          </cell>
          <cell r="S24">
            <v>117.17499999999998</v>
          </cell>
          <cell r="T24">
            <v>2441.0239999999999</v>
          </cell>
          <cell r="U24">
            <v>2558.1990000000001</v>
          </cell>
          <cell r="V24">
            <v>2898.768</v>
          </cell>
        </row>
        <row r="25">
          <cell r="A25" t="str">
            <v>Chowan</v>
          </cell>
          <cell r="B25" t="str">
            <v>East Carolina Behavioral Health</v>
          </cell>
          <cell r="C25" t="str">
            <v>Rural</v>
          </cell>
          <cell r="D25">
            <v>14761</v>
          </cell>
          <cell r="E25">
            <v>480</v>
          </cell>
          <cell r="F25">
            <v>2699</v>
          </cell>
          <cell r="G25">
            <v>206</v>
          </cell>
          <cell r="H25">
            <v>323</v>
          </cell>
          <cell r="I25">
            <v>7913</v>
          </cell>
          <cell r="J25">
            <v>3140</v>
          </cell>
          <cell r="K25">
            <v>11141</v>
          </cell>
          <cell r="L25">
            <v>8.2000000000000003E-2</v>
          </cell>
          <cell r="M25">
            <v>0.20599999999999999</v>
          </cell>
          <cell r="N25">
            <v>0.17</v>
          </cell>
          <cell r="O25">
            <v>39.36</v>
          </cell>
          <cell r="P25">
            <v>221.31800000000001</v>
          </cell>
          <cell r="Q25">
            <v>16.891999999999999</v>
          </cell>
          <cell r="R25">
            <v>66.537999999999997</v>
          </cell>
          <cell r="S25">
            <v>83.429999999999993</v>
          </cell>
          <cell r="T25">
            <v>1630.078</v>
          </cell>
          <cell r="U25">
            <v>1713.508</v>
          </cell>
          <cell r="V25">
            <v>1934.826</v>
          </cell>
        </row>
        <row r="26">
          <cell r="A26" t="str">
            <v>Clay</v>
          </cell>
          <cell r="B26" t="str">
            <v>Smoky Mountain Center</v>
          </cell>
          <cell r="C26" t="str">
            <v>Rural</v>
          </cell>
          <cell r="D26">
            <v>10559</v>
          </cell>
          <cell r="E26">
            <v>192</v>
          </cell>
          <cell r="F26">
            <v>1649</v>
          </cell>
          <cell r="G26">
            <v>103</v>
          </cell>
          <cell r="H26">
            <v>202</v>
          </cell>
          <cell r="I26">
            <v>5540</v>
          </cell>
          <cell r="J26">
            <v>2873</v>
          </cell>
          <cell r="K26">
            <v>7494</v>
          </cell>
          <cell r="L26">
            <v>7.5999999999999998E-2</v>
          </cell>
          <cell r="M26">
            <v>0.187</v>
          </cell>
          <cell r="N26">
            <v>0.16</v>
          </cell>
          <cell r="O26">
            <v>14.591999999999999</v>
          </cell>
          <cell r="P26">
            <v>125.324</v>
          </cell>
          <cell r="Q26">
            <v>7.8279999999999994</v>
          </cell>
          <cell r="R26">
            <v>37.774000000000001</v>
          </cell>
          <cell r="S26">
            <v>45.602000000000004</v>
          </cell>
          <cell r="T26">
            <v>1035.98</v>
          </cell>
          <cell r="U26">
            <v>1081.5820000000001</v>
          </cell>
          <cell r="V26">
            <v>1206.9060000000002</v>
          </cell>
        </row>
        <row r="27">
          <cell r="A27" t="str">
            <v>Cleveland</v>
          </cell>
          <cell r="B27" t="str">
            <v>Partners Behavioral Health Management</v>
          </cell>
          <cell r="C27" t="str">
            <v>Rural</v>
          </cell>
          <cell r="D27">
            <v>97280</v>
          </cell>
          <cell r="E27">
            <v>3237</v>
          </cell>
          <cell r="F27">
            <v>18607</v>
          </cell>
          <cell r="G27">
            <v>1461</v>
          </cell>
          <cell r="H27">
            <v>3026</v>
          </cell>
          <cell r="I27">
            <v>54887</v>
          </cell>
          <cell r="J27">
            <v>16062</v>
          </cell>
          <cell r="K27">
            <v>77981</v>
          </cell>
          <cell r="L27">
            <v>7.9000000000000001E-2</v>
          </cell>
          <cell r="M27">
            <v>0.193</v>
          </cell>
          <cell r="N27">
            <v>0.16</v>
          </cell>
          <cell r="O27">
            <v>255.72300000000001</v>
          </cell>
          <cell r="P27">
            <v>1469.953</v>
          </cell>
          <cell r="Q27">
            <v>115.419</v>
          </cell>
          <cell r="R27">
            <v>584.01800000000003</v>
          </cell>
          <cell r="S27">
            <v>699.43700000000001</v>
          </cell>
          <cell r="T27">
            <v>10593.191000000001</v>
          </cell>
          <cell r="U27">
            <v>11292.628000000001</v>
          </cell>
          <cell r="V27">
            <v>12762.581</v>
          </cell>
        </row>
        <row r="28">
          <cell r="A28" t="str">
            <v>Columbus</v>
          </cell>
          <cell r="B28" t="str">
            <v>Eastpointe</v>
          </cell>
          <cell r="C28" t="str">
            <v>Rural</v>
          </cell>
          <cell r="D28">
            <v>57846</v>
          </cell>
          <cell r="E28">
            <v>1874</v>
          </cell>
          <cell r="F28">
            <v>11035</v>
          </cell>
          <cell r="G28">
            <v>825</v>
          </cell>
          <cell r="H28">
            <v>1439</v>
          </cell>
          <cell r="I28">
            <v>32914</v>
          </cell>
          <cell r="J28">
            <v>9759</v>
          </cell>
          <cell r="K28">
            <v>46213</v>
          </cell>
          <cell r="L28">
            <v>8.5000000000000006E-2</v>
          </cell>
          <cell r="M28">
            <v>0.222</v>
          </cell>
          <cell r="N28">
            <v>0.183</v>
          </cell>
          <cell r="O28">
            <v>159.29000000000002</v>
          </cell>
          <cell r="P28">
            <v>937.97500000000002</v>
          </cell>
          <cell r="Q28">
            <v>70.125</v>
          </cell>
          <cell r="R28">
            <v>319.45800000000003</v>
          </cell>
          <cell r="S28">
            <v>389.58300000000003</v>
          </cell>
          <cell r="T28">
            <v>7306.9080000000004</v>
          </cell>
          <cell r="U28">
            <v>7696.491</v>
          </cell>
          <cell r="V28">
            <v>8634.4660000000003</v>
          </cell>
        </row>
        <row r="29">
          <cell r="A29" t="str">
            <v>Craven</v>
          </cell>
          <cell r="B29" t="str">
            <v>East Carolina Behavioral Health</v>
          </cell>
          <cell r="C29" t="str">
            <v>Rural</v>
          </cell>
          <cell r="D29">
            <v>105373</v>
          </cell>
          <cell r="E29">
            <v>4964</v>
          </cell>
          <cell r="F29">
            <v>20610</v>
          </cell>
          <cell r="G29">
            <v>1281</v>
          </cell>
          <cell r="H29">
            <v>3518</v>
          </cell>
          <cell r="I29">
            <v>57921</v>
          </cell>
          <cell r="J29">
            <v>17079</v>
          </cell>
          <cell r="K29">
            <v>83330</v>
          </cell>
          <cell r="L29">
            <v>0.08</v>
          </cell>
          <cell r="M29">
            <v>0.20200000000000001</v>
          </cell>
          <cell r="N29">
            <v>0.16600000000000001</v>
          </cell>
          <cell r="O29">
            <v>397.12</v>
          </cell>
          <cell r="P29">
            <v>1648.8</v>
          </cell>
          <cell r="Q29">
            <v>102.48</v>
          </cell>
          <cell r="R29">
            <v>710.63600000000008</v>
          </cell>
          <cell r="S29">
            <v>813.1160000000001</v>
          </cell>
          <cell r="T29">
            <v>11700.042000000001</v>
          </cell>
          <cell r="U29">
            <v>12513.158000000001</v>
          </cell>
          <cell r="V29">
            <v>14161.958000000001</v>
          </cell>
        </row>
        <row r="30">
          <cell r="A30" t="str">
            <v>Cumberland</v>
          </cell>
          <cell r="B30" t="str">
            <v>Alliance Behavioral Healthcare</v>
          </cell>
          <cell r="C30" t="str">
            <v>Urban</v>
          </cell>
          <cell r="D30">
            <v>334126</v>
          </cell>
          <cell r="E30">
            <v>17307</v>
          </cell>
          <cell r="F30">
            <v>72310</v>
          </cell>
          <cell r="G30">
            <v>4499</v>
          </cell>
          <cell r="H30">
            <v>11488</v>
          </cell>
          <cell r="I30">
            <v>193622</v>
          </cell>
          <cell r="J30">
            <v>34900</v>
          </cell>
          <cell r="K30">
            <v>281919</v>
          </cell>
          <cell r="L30">
            <v>8.5999999999999993E-2</v>
          </cell>
          <cell r="M30">
            <v>0.22800000000000001</v>
          </cell>
          <cell r="N30">
            <v>0.184</v>
          </cell>
          <cell r="O30">
            <v>1488.4019999999998</v>
          </cell>
          <cell r="P30">
            <v>6218.66</v>
          </cell>
          <cell r="Q30">
            <v>386.91399999999999</v>
          </cell>
          <cell r="R30">
            <v>2619.2640000000001</v>
          </cell>
          <cell r="S30">
            <v>3006.1779999999999</v>
          </cell>
          <cell r="T30">
            <v>44145.815999999999</v>
          </cell>
          <cell r="U30">
            <v>47151.993999999999</v>
          </cell>
          <cell r="V30">
            <v>53370.653999999995</v>
          </cell>
        </row>
        <row r="31">
          <cell r="A31" t="str">
            <v>Currituck</v>
          </cell>
          <cell r="B31" t="str">
            <v>East Carolina Behavioral Health</v>
          </cell>
          <cell r="C31" t="str">
            <v>Rural</v>
          </cell>
          <cell r="D31">
            <v>23550</v>
          </cell>
          <cell r="E31">
            <v>580</v>
          </cell>
          <cell r="F31">
            <v>4452</v>
          </cell>
          <cell r="G31">
            <v>332</v>
          </cell>
          <cell r="H31">
            <v>594</v>
          </cell>
          <cell r="I31">
            <v>14112</v>
          </cell>
          <cell r="J31">
            <v>3480</v>
          </cell>
          <cell r="K31">
            <v>19490</v>
          </cell>
          <cell r="L31">
            <v>7.0000000000000007E-2</v>
          </cell>
          <cell r="M31">
            <v>0.19800000000000001</v>
          </cell>
          <cell r="N31">
            <v>0.16200000000000001</v>
          </cell>
          <cell r="O31">
            <v>40.6</v>
          </cell>
          <cell r="P31">
            <v>311.64000000000004</v>
          </cell>
          <cell r="Q31">
            <v>23.240000000000002</v>
          </cell>
          <cell r="R31">
            <v>117.61200000000001</v>
          </cell>
          <cell r="S31">
            <v>140.852</v>
          </cell>
          <cell r="T31">
            <v>2794.1759999999999</v>
          </cell>
          <cell r="U31">
            <v>2935.0279999999998</v>
          </cell>
          <cell r="V31">
            <v>3246.6679999999997</v>
          </cell>
        </row>
        <row r="32">
          <cell r="A32" t="str">
            <v>Dare</v>
          </cell>
          <cell r="B32" t="str">
            <v>East Carolina Behavioral Health</v>
          </cell>
          <cell r="C32" t="str">
            <v>Rural</v>
          </cell>
          <cell r="D32">
            <v>35330</v>
          </cell>
          <cell r="E32">
            <v>1131</v>
          </cell>
          <cell r="F32">
            <v>5754</v>
          </cell>
          <cell r="G32">
            <v>322</v>
          </cell>
          <cell r="H32">
            <v>610</v>
          </cell>
          <cell r="I32">
            <v>21296</v>
          </cell>
          <cell r="J32">
            <v>6217</v>
          </cell>
          <cell r="K32">
            <v>27982</v>
          </cell>
          <cell r="L32">
            <v>7.8E-2</v>
          </cell>
          <cell r="M32">
            <v>0.182</v>
          </cell>
          <cell r="N32">
            <v>0.157</v>
          </cell>
          <cell r="O32">
            <v>88.218000000000004</v>
          </cell>
          <cell r="P32">
            <v>448.81200000000001</v>
          </cell>
          <cell r="Q32">
            <v>25.116</v>
          </cell>
          <cell r="R32">
            <v>111.02</v>
          </cell>
          <cell r="S32">
            <v>136.136</v>
          </cell>
          <cell r="T32">
            <v>3875.8719999999998</v>
          </cell>
          <cell r="U32">
            <v>4012.0079999999998</v>
          </cell>
          <cell r="V32">
            <v>4460.82</v>
          </cell>
        </row>
        <row r="33">
          <cell r="A33" t="str">
            <v>Davidson</v>
          </cell>
          <cell r="B33" t="str">
            <v>Cardinal Innovations Healthcare Solutions</v>
          </cell>
          <cell r="C33" t="str">
            <v>Urban</v>
          </cell>
          <cell r="D33">
            <v>164232</v>
          </cell>
          <cell r="E33">
            <v>5240</v>
          </cell>
          <cell r="F33">
            <v>32230</v>
          </cell>
          <cell r="G33">
            <v>1962</v>
          </cell>
          <cell r="H33">
            <v>3937</v>
          </cell>
          <cell r="I33">
            <v>94775</v>
          </cell>
          <cell r="J33">
            <v>26088</v>
          </cell>
          <cell r="K33">
            <v>132904</v>
          </cell>
          <cell r="L33">
            <v>7.8E-2</v>
          </cell>
          <cell r="M33">
            <v>0.20499999999999999</v>
          </cell>
          <cell r="N33">
            <v>0.16900000000000001</v>
          </cell>
          <cell r="O33">
            <v>408.72</v>
          </cell>
          <cell r="P33">
            <v>2513.94</v>
          </cell>
          <cell r="Q33">
            <v>153.036</v>
          </cell>
          <cell r="R33">
            <v>807.08499999999992</v>
          </cell>
          <cell r="S33">
            <v>960.12099999999987</v>
          </cell>
          <cell r="T33">
            <v>19428.875</v>
          </cell>
          <cell r="U33">
            <v>20388.995999999999</v>
          </cell>
          <cell r="V33">
            <v>22902.935999999998</v>
          </cell>
        </row>
        <row r="34">
          <cell r="A34" t="str">
            <v>Davie</v>
          </cell>
          <cell r="B34" t="str">
            <v>CenterPoint Human Services</v>
          </cell>
          <cell r="C34" t="str">
            <v>Rural</v>
          </cell>
          <cell r="D34">
            <v>41453</v>
          </cell>
          <cell r="E34">
            <v>1212</v>
          </cell>
          <cell r="F34">
            <v>7889</v>
          </cell>
          <cell r="G34">
            <v>598</v>
          </cell>
          <cell r="H34">
            <v>923</v>
          </cell>
          <cell r="I34">
            <v>23280</v>
          </cell>
          <cell r="J34">
            <v>7551</v>
          </cell>
          <cell r="K34">
            <v>32690</v>
          </cell>
          <cell r="L34">
            <v>7.5999999999999998E-2</v>
          </cell>
          <cell r="M34">
            <v>0.19800000000000001</v>
          </cell>
          <cell r="N34">
            <v>0.16300000000000001</v>
          </cell>
          <cell r="O34">
            <v>92.111999999999995</v>
          </cell>
          <cell r="P34">
            <v>599.56399999999996</v>
          </cell>
          <cell r="Q34">
            <v>45.448</v>
          </cell>
          <cell r="R34">
            <v>182.75400000000002</v>
          </cell>
          <cell r="S34">
            <v>228.20200000000003</v>
          </cell>
          <cell r="T34">
            <v>4609.4400000000005</v>
          </cell>
          <cell r="U34">
            <v>4837.6420000000007</v>
          </cell>
          <cell r="V34">
            <v>5437.206000000001</v>
          </cell>
        </row>
        <row r="35">
          <cell r="A35" t="str">
            <v>Duplin</v>
          </cell>
          <cell r="B35" t="str">
            <v>Eastpointe</v>
          </cell>
          <cell r="C35" t="str">
            <v>Rural</v>
          </cell>
          <cell r="D35">
            <v>60760</v>
          </cell>
          <cell r="E35">
            <v>2338</v>
          </cell>
          <cell r="F35">
            <v>12680</v>
          </cell>
          <cell r="G35">
            <v>775</v>
          </cell>
          <cell r="H35">
            <v>1556</v>
          </cell>
          <cell r="I35">
            <v>33788</v>
          </cell>
          <cell r="J35">
            <v>9623</v>
          </cell>
          <cell r="K35">
            <v>48799</v>
          </cell>
          <cell r="L35">
            <v>0.1</v>
          </cell>
          <cell r="M35">
            <v>0.26700000000000002</v>
          </cell>
          <cell r="N35">
            <v>0.216</v>
          </cell>
          <cell r="O35">
            <v>233.8</v>
          </cell>
          <cell r="P35">
            <v>1268</v>
          </cell>
          <cell r="Q35">
            <v>77.5</v>
          </cell>
          <cell r="R35">
            <v>415.452</v>
          </cell>
          <cell r="S35">
            <v>492.952</v>
          </cell>
          <cell r="T35">
            <v>9021.3960000000006</v>
          </cell>
          <cell r="U35">
            <v>9514.348</v>
          </cell>
          <cell r="V35">
            <v>10782.348</v>
          </cell>
        </row>
        <row r="36">
          <cell r="A36" t="str">
            <v>Durham</v>
          </cell>
          <cell r="B36" t="str">
            <v>Alliance Behavioral Healthcare</v>
          </cell>
          <cell r="C36" t="str">
            <v>Urban</v>
          </cell>
          <cell r="D36">
            <v>289042</v>
          </cell>
          <cell r="E36">
            <v>13077</v>
          </cell>
          <cell r="F36">
            <v>52749</v>
          </cell>
          <cell r="G36">
            <v>4022</v>
          </cell>
          <cell r="H36">
            <v>10179</v>
          </cell>
          <cell r="I36">
            <v>178192</v>
          </cell>
          <cell r="J36">
            <v>30823</v>
          </cell>
          <cell r="K36">
            <v>245142</v>
          </cell>
          <cell r="L36">
            <v>9.0999999999999998E-2</v>
          </cell>
          <cell r="M36">
            <v>0.215</v>
          </cell>
          <cell r="N36">
            <v>0.18099999999999999</v>
          </cell>
          <cell r="O36">
            <v>1190.0070000000001</v>
          </cell>
          <cell r="P36">
            <v>4800.1589999999997</v>
          </cell>
          <cell r="Q36">
            <v>366.00200000000001</v>
          </cell>
          <cell r="R36">
            <v>2188.4850000000001</v>
          </cell>
          <cell r="S36">
            <v>2554.4870000000001</v>
          </cell>
          <cell r="T36">
            <v>38311.279999999999</v>
          </cell>
          <cell r="U36">
            <v>40865.767</v>
          </cell>
          <cell r="V36">
            <v>45665.925999999999</v>
          </cell>
        </row>
        <row r="37">
          <cell r="A37" t="str">
            <v>Edgecombe</v>
          </cell>
          <cell r="B37" t="str">
            <v>Eastpointe</v>
          </cell>
          <cell r="C37" t="str">
            <v>Rural</v>
          </cell>
          <cell r="D37">
            <v>55840</v>
          </cell>
          <cell r="E37">
            <v>2029</v>
          </cell>
          <cell r="F37">
            <v>11150</v>
          </cell>
          <cell r="G37">
            <v>819</v>
          </cell>
          <cell r="H37">
            <v>1589</v>
          </cell>
          <cell r="I37">
            <v>31312</v>
          </cell>
          <cell r="J37">
            <v>8941</v>
          </cell>
          <cell r="K37">
            <v>44870</v>
          </cell>
          <cell r="L37">
            <v>8.7999999999999995E-2</v>
          </cell>
          <cell r="M37">
            <v>0.222</v>
          </cell>
          <cell r="N37">
            <v>0.182</v>
          </cell>
          <cell r="O37">
            <v>178.55199999999999</v>
          </cell>
          <cell r="P37">
            <v>981.19999999999993</v>
          </cell>
          <cell r="Q37">
            <v>72.072000000000003</v>
          </cell>
          <cell r="R37">
            <v>352.75799999999998</v>
          </cell>
          <cell r="S37">
            <v>424.83</v>
          </cell>
          <cell r="T37">
            <v>6951.2640000000001</v>
          </cell>
          <cell r="U37">
            <v>7376.0940000000001</v>
          </cell>
          <cell r="V37">
            <v>8357.2939999999999</v>
          </cell>
        </row>
        <row r="38">
          <cell r="A38" t="str">
            <v>Forsyth</v>
          </cell>
          <cell r="B38" t="str">
            <v>CenterPoint Human Services</v>
          </cell>
          <cell r="C38" t="str">
            <v>Urban</v>
          </cell>
          <cell r="D38">
            <v>361710</v>
          </cell>
          <cell r="E38">
            <v>14048</v>
          </cell>
          <cell r="F38">
            <v>72642</v>
          </cell>
          <cell r="G38">
            <v>4680</v>
          </cell>
          <cell r="H38">
            <v>9926</v>
          </cell>
          <cell r="I38">
            <v>209721</v>
          </cell>
          <cell r="J38">
            <v>50693</v>
          </cell>
          <cell r="K38">
            <v>296969</v>
          </cell>
          <cell r="L38">
            <v>8.8999999999999996E-2</v>
          </cell>
          <cell r="M38">
            <v>0.20300000000000001</v>
          </cell>
          <cell r="N38">
            <v>0.16900000000000001</v>
          </cell>
          <cell r="O38">
            <v>1250.2719999999999</v>
          </cell>
          <cell r="P38">
            <v>6465.1379999999999</v>
          </cell>
          <cell r="Q38">
            <v>416.52</v>
          </cell>
          <cell r="R38">
            <v>2014.9780000000001</v>
          </cell>
          <cell r="S38">
            <v>2431.498</v>
          </cell>
          <cell r="T38">
            <v>42573.363000000005</v>
          </cell>
          <cell r="U38">
            <v>45004.861000000004</v>
          </cell>
          <cell r="V38">
            <v>51469.999000000003</v>
          </cell>
        </row>
        <row r="39">
          <cell r="A39" t="str">
            <v>Franklin</v>
          </cell>
          <cell r="B39" t="str">
            <v>Cardinal Innovations Healthcare Solutions</v>
          </cell>
          <cell r="C39" t="str">
            <v>Rural</v>
          </cell>
          <cell r="D39">
            <v>62346</v>
          </cell>
          <cell r="E39">
            <v>2052</v>
          </cell>
          <cell r="F39">
            <v>12569</v>
          </cell>
          <cell r="G39">
            <v>833</v>
          </cell>
          <cell r="H39">
            <v>1544</v>
          </cell>
          <cell r="I39">
            <v>36415</v>
          </cell>
          <cell r="J39">
            <v>8933</v>
          </cell>
          <cell r="K39">
            <v>51361</v>
          </cell>
          <cell r="L39">
            <v>8.4000000000000005E-2</v>
          </cell>
          <cell r="M39">
            <v>0.23</v>
          </cell>
          <cell r="N39">
            <v>0.187</v>
          </cell>
          <cell r="O39">
            <v>172.36800000000002</v>
          </cell>
          <cell r="P39">
            <v>1055.796</v>
          </cell>
          <cell r="Q39">
            <v>69.972000000000008</v>
          </cell>
          <cell r="R39">
            <v>355.12</v>
          </cell>
          <cell r="S39">
            <v>425.09199999999998</v>
          </cell>
          <cell r="T39">
            <v>8375.4500000000007</v>
          </cell>
          <cell r="U39">
            <v>8800.5420000000013</v>
          </cell>
          <cell r="V39">
            <v>9856.3380000000016</v>
          </cell>
        </row>
        <row r="40">
          <cell r="A40" t="str">
            <v>Gaston</v>
          </cell>
          <cell r="B40" t="str">
            <v>Partners Behavioral Health Management</v>
          </cell>
          <cell r="C40" t="str">
            <v>Urban</v>
          </cell>
          <cell r="D40">
            <v>209652</v>
          </cell>
          <cell r="E40">
            <v>7657</v>
          </cell>
          <cell r="F40">
            <v>41169</v>
          </cell>
          <cell r="G40">
            <v>2810</v>
          </cell>
          <cell r="H40">
            <v>5589</v>
          </cell>
          <cell r="I40">
            <v>122146</v>
          </cell>
          <cell r="J40">
            <v>30281</v>
          </cell>
          <cell r="K40">
            <v>171714</v>
          </cell>
          <cell r="L40">
            <v>0.08</v>
          </cell>
          <cell r="M40">
            <v>0.20300000000000001</v>
          </cell>
          <cell r="N40">
            <v>0.16800000000000001</v>
          </cell>
          <cell r="O40">
            <v>612.56000000000006</v>
          </cell>
          <cell r="P40">
            <v>3293.52</v>
          </cell>
          <cell r="Q40">
            <v>224.8</v>
          </cell>
          <cell r="R40">
            <v>1134.567</v>
          </cell>
          <cell r="S40">
            <v>1359.367</v>
          </cell>
          <cell r="T40">
            <v>24795.638000000003</v>
          </cell>
          <cell r="U40">
            <v>26155.005000000001</v>
          </cell>
          <cell r="V40">
            <v>29448.525000000001</v>
          </cell>
        </row>
        <row r="41">
          <cell r="A41" t="str">
            <v>Gates</v>
          </cell>
          <cell r="B41" t="str">
            <v>East Carolina Behavioral Health</v>
          </cell>
          <cell r="C41" t="str">
            <v>Rural</v>
          </cell>
          <cell r="D41">
            <v>11569</v>
          </cell>
          <cell r="E41">
            <v>252</v>
          </cell>
          <cell r="F41">
            <v>2111</v>
          </cell>
          <cell r="G41">
            <v>162</v>
          </cell>
          <cell r="H41">
            <v>391</v>
          </cell>
          <cell r="I41">
            <v>6663</v>
          </cell>
          <cell r="J41">
            <v>1990</v>
          </cell>
          <cell r="K41">
            <v>9327</v>
          </cell>
          <cell r="L41">
            <v>7.6999999999999999E-2</v>
          </cell>
          <cell r="M41">
            <v>0.22800000000000001</v>
          </cell>
          <cell r="N41">
            <v>0.185</v>
          </cell>
          <cell r="O41">
            <v>19.404</v>
          </cell>
          <cell r="P41">
            <v>162.547</v>
          </cell>
          <cell r="Q41">
            <v>12.474</v>
          </cell>
          <cell r="R41">
            <v>89.147999999999996</v>
          </cell>
          <cell r="S41">
            <v>101.622</v>
          </cell>
          <cell r="T41">
            <v>1519.164</v>
          </cell>
          <cell r="U41">
            <v>1620.7860000000001</v>
          </cell>
          <cell r="V41">
            <v>1783.3330000000001</v>
          </cell>
        </row>
        <row r="42">
          <cell r="A42" t="str">
            <v>Graham</v>
          </cell>
          <cell r="B42" t="str">
            <v>Smoky Mountain Center</v>
          </cell>
          <cell r="C42" t="str">
            <v>Rural</v>
          </cell>
          <cell r="D42">
            <v>8994</v>
          </cell>
          <cell r="E42">
            <v>282</v>
          </cell>
          <cell r="F42">
            <v>1616</v>
          </cell>
          <cell r="G42">
            <v>110</v>
          </cell>
          <cell r="H42">
            <v>209</v>
          </cell>
          <cell r="I42">
            <v>4825</v>
          </cell>
          <cell r="J42">
            <v>1952</v>
          </cell>
          <cell r="K42">
            <v>6760</v>
          </cell>
          <cell r="L42">
            <v>7.9000000000000001E-2</v>
          </cell>
          <cell r="M42">
            <v>0.20399999999999999</v>
          </cell>
          <cell r="N42">
            <v>0.16900000000000001</v>
          </cell>
          <cell r="O42">
            <v>22.277999999999999</v>
          </cell>
          <cell r="P42">
            <v>127.664</v>
          </cell>
          <cell r="Q42">
            <v>8.69</v>
          </cell>
          <cell r="R42">
            <v>42.635999999999996</v>
          </cell>
          <cell r="S42">
            <v>51.325999999999993</v>
          </cell>
          <cell r="T42">
            <v>984.3</v>
          </cell>
          <cell r="U42">
            <v>1035.626</v>
          </cell>
          <cell r="V42">
            <v>1163.29</v>
          </cell>
        </row>
        <row r="43">
          <cell r="A43" t="str">
            <v>Granville</v>
          </cell>
          <cell r="B43" t="str">
            <v>Cardinal Innovations Healthcare Solutions</v>
          </cell>
          <cell r="C43" t="str">
            <v>Rural</v>
          </cell>
          <cell r="D43">
            <v>56845</v>
          </cell>
          <cell r="E43">
            <v>1708</v>
          </cell>
          <cell r="F43">
            <v>10303</v>
          </cell>
          <cell r="G43">
            <v>699</v>
          </cell>
          <cell r="H43">
            <v>1973</v>
          </cell>
          <cell r="I43">
            <v>34094</v>
          </cell>
          <cell r="J43">
            <v>8068</v>
          </cell>
          <cell r="K43">
            <v>47069</v>
          </cell>
          <cell r="L43">
            <v>8.4000000000000005E-2</v>
          </cell>
          <cell r="M43">
            <v>0.20499999999999999</v>
          </cell>
          <cell r="N43">
            <v>0.17299999999999999</v>
          </cell>
          <cell r="O43">
            <v>143.47200000000001</v>
          </cell>
          <cell r="P43">
            <v>865.452</v>
          </cell>
          <cell r="Q43">
            <v>58.716000000000001</v>
          </cell>
          <cell r="R43">
            <v>404.46499999999997</v>
          </cell>
          <cell r="S43">
            <v>463.18099999999998</v>
          </cell>
          <cell r="T43">
            <v>6989.2699999999995</v>
          </cell>
          <cell r="U43">
            <v>7452.4509999999991</v>
          </cell>
          <cell r="V43">
            <v>8317.9029999999984</v>
          </cell>
        </row>
        <row r="44">
          <cell r="A44" t="str">
            <v>Greene</v>
          </cell>
          <cell r="B44" t="str">
            <v>Eastpointe</v>
          </cell>
          <cell r="C44" t="str">
            <v>Rural</v>
          </cell>
          <cell r="D44">
            <v>21296</v>
          </cell>
          <cell r="E44">
            <v>679</v>
          </cell>
          <cell r="F44">
            <v>4133</v>
          </cell>
          <cell r="G44">
            <v>235</v>
          </cell>
          <cell r="H44">
            <v>490</v>
          </cell>
          <cell r="I44">
            <v>12812</v>
          </cell>
          <cell r="J44">
            <v>2947</v>
          </cell>
          <cell r="K44">
            <v>17670</v>
          </cell>
          <cell r="L44">
            <v>9.7000000000000003E-2</v>
          </cell>
          <cell r="M44">
            <v>0.27</v>
          </cell>
          <cell r="N44">
            <v>0.223</v>
          </cell>
          <cell r="O44">
            <v>65.863</v>
          </cell>
          <cell r="P44">
            <v>400.90100000000001</v>
          </cell>
          <cell r="Q44">
            <v>22.795000000000002</v>
          </cell>
          <cell r="R44">
            <v>132.30000000000001</v>
          </cell>
          <cell r="S44">
            <v>155.09500000000003</v>
          </cell>
          <cell r="T44">
            <v>3459.2400000000002</v>
          </cell>
          <cell r="U44">
            <v>3614.335</v>
          </cell>
          <cell r="V44">
            <v>4015.2359999999999</v>
          </cell>
        </row>
        <row r="45">
          <cell r="A45" t="str">
            <v>Guilford</v>
          </cell>
          <cell r="B45" t="str">
            <v>Sandhills Center</v>
          </cell>
          <cell r="C45" t="str">
            <v>Urban</v>
          </cell>
          <cell r="D45">
            <v>509388</v>
          </cell>
          <cell r="E45">
            <v>18417</v>
          </cell>
          <cell r="F45">
            <v>97026</v>
          </cell>
          <cell r="G45">
            <v>8287</v>
          </cell>
          <cell r="H45">
            <v>18972</v>
          </cell>
          <cell r="I45">
            <v>298563</v>
          </cell>
          <cell r="J45">
            <v>68123</v>
          </cell>
          <cell r="K45">
            <v>422848</v>
          </cell>
          <cell r="L45">
            <v>8.5000000000000006E-2</v>
          </cell>
          <cell r="M45">
            <v>0.20300000000000001</v>
          </cell>
          <cell r="N45">
            <v>0.16900000000000001</v>
          </cell>
          <cell r="O45">
            <v>1565.4450000000002</v>
          </cell>
          <cell r="P45">
            <v>8247.2100000000009</v>
          </cell>
          <cell r="Q45">
            <v>704.3950000000001</v>
          </cell>
          <cell r="R45">
            <v>3851.3160000000003</v>
          </cell>
          <cell r="S45">
            <v>4555.7110000000002</v>
          </cell>
          <cell r="T45">
            <v>60608.289000000004</v>
          </cell>
          <cell r="U45">
            <v>65164.000000000007</v>
          </cell>
          <cell r="V45">
            <v>73411.210000000006</v>
          </cell>
        </row>
        <row r="46">
          <cell r="A46" t="str">
            <v>Halifax</v>
          </cell>
          <cell r="B46" t="str">
            <v>Cardinal Innovations Healthcare Solutions</v>
          </cell>
          <cell r="C46" t="str">
            <v>Rural</v>
          </cell>
          <cell r="D46">
            <v>54064</v>
          </cell>
          <cell r="E46">
            <v>1789</v>
          </cell>
          <cell r="F46">
            <v>10106</v>
          </cell>
          <cell r="G46">
            <v>667</v>
          </cell>
          <cell r="H46">
            <v>1489</v>
          </cell>
          <cell r="I46">
            <v>30561</v>
          </cell>
          <cell r="J46">
            <v>9452</v>
          </cell>
          <cell r="K46">
            <v>42823</v>
          </cell>
          <cell r="L46">
            <v>8.5999999999999993E-2</v>
          </cell>
          <cell r="M46">
            <v>0.23</v>
          </cell>
          <cell r="N46">
            <v>0.189</v>
          </cell>
          <cell r="O46">
            <v>153.85399999999998</v>
          </cell>
          <cell r="P46">
            <v>869.11599999999999</v>
          </cell>
          <cell r="Q46">
            <v>57.361999999999995</v>
          </cell>
          <cell r="R46">
            <v>342.47</v>
          </cell>
          <cell r="S46">
            <v>399.83199999999999</v>
          </cell>
          <cell r="T46">
            <v>7029.0300000000007</v>
          </cell>
          <cell r="U46">
            <v>7428.862000000001</v>
          </cell>
          <cell r="V46">
            <v>8297.978000000001</v>
          </cell>
        </row>
        <row r="47">
          <cell r="A47" t="str">
            <v>Harnett</v>
          </cell>
          <cell r="B47" t="str">
            <v>Sandhills Center</v>
          </cell>
          <cell r="C47" t="str">
            <v>Rural</v>
          </cell>
          <cell r="D47">
            <v>124118</v>
          </cell>
          <cell r="E47">
            <v>5401</v>
          </cell>
          <cell r="F47">
            <v>28679</v>
          </cell>
          <cell r="G47">
            <v>1810</v>
          </cell>
          <cell r="H47">
            <v>3674</v>
          </cell>
          <cell r="I47">
            <v>70401</v>
          </cell>
          <cell r="J47">
            <v>14153</v>
          </cell>
          <cell r="K47">
            <v>104564</v>
          </cell>
          <cell r="L47">
            <v>8.5000000000000006E-2</v>
          </cell>
          <cell r="M47">
            <v>0.24299999999999999</v>
          </cell>
          <cell r="N47">
            <v>0.191</v>
          </cell>
          <cell r="O47">
            <v>459.08500000000004</v>
          </cell>
          <cell r="P47">
            <v>2437.7150000000001</v>
          </cell>
          <cell r="Q47">
            <v>153.85000000000002</v>
          </cell>
          <cell r="R47">
            <v>892.78199999999993</v>
          </cell>
          <cell r="S47">
            <v>1046.6320000000001</v>
          </cell>
          <cell r="T47">
            <v>17107.442999999999</v>
          </cell>
          <cell r="U47">
            <v>18154.075000000001</v>
          </cell>
          <cell r="V47">
            <v>20591.79</v>
          </cell>
        </row>
        <row r="48">
          <cell r="A48" t="str">
            <v>Haywood</v>
          </cell>
          <cell r="B48" t="str">
            <v>Smoky Mountain Center</v>
          </cell>
          <cell r="C48" t="str">
            <v>Rural</v>
          </cell>
          <cell r="D48">
            <v>59765</v>
          </cell>
          <cell r="E48">
            <v>1683</v>
          </cell>
          <cell r="F48">
            <v>9527</v>
          </cell>
          <cell r="G48">
            <v>699</v>
          </cell>
          <cell r="H48">
            <v>1285</v>
          </cell>
          <cell r="I48">
            <v>32796</v>
          </cell>
          <cell r="J48">
            <v>13775</v>
          </cell>
          <cell r="K48">
            <v>44307</v>
          </cell>
          <cell r="L48">
            <v>7.3999999999999996E-2</v>
          </cell>
          <cell r="M48">
            <v>0.18</v>
          </cell>
          <cell r="N48">
            <v>0.153</v>
          </cell>
          <cell r="O48">
            <v>124.54199999999999</v>
          </cell>
          <cell r="P48">
            <v>704.99799999999993</v>
          </cell>
          <cell r="Q48">
            <v>51.725999999999999</v>
          </cell>
          <cell r="R48">
            <v>231.29999999999998</v>
          </cell>
          <cell r="S48">
            <v>283.02599999999995</v>
          </cell>
          <cell r="T48">
            <v>5903.28</v>
          </cell>
          <cell r="U48">
            <v>6186.3059999999996</v>
          </cell>
          <cell r="V48">
            <v>6891.3039999999992</v>
          </cell>
        </row>
        <row r="49">
          <cell r="A49" t="str">
            <v>Henderson</v>
          </cell>
          <cell r="B49" t="str">
            <v>Western Highlands Network</v>
          </cell>
          <cell r="C49" t="str">
            <v>Rural</v>
          </cell>
          <cell r="D49">
            <v>108630</v>
          </cell>
          <cell r="E49">
            <v>3269</v>
          </cell>
          <cell r="F49">
            <v>18681</v>
          </cell>
          <cell r="G49">
            <v>1101</v>
          </cell>
          <cell r="H49">
            <v>1965</v>
          </cell>
          <cell r="I49">
            <v>57436</v>
          </cell>
          <cell r="J49">
            <v>26178</v>
          </cell>
          <cell r="K49">
            <v>79183</v>
          </cell>
          <cell r="L49">
            <v>8.2000000000000003E-2</v>
          </cell>
          <cell r="M49">
            <v>0.2</v>
          </cell>
          <cell r="N49">
            <v>0.16800000000000001</v>
          </cell>
          <cell r="O49">
            <v>268.05799999999999</v>
          </cell>
          <cell r="P49">
            <v>1531.8420000000001</v>
          </cell>
          <cell r="Q49">
            <v>90.282000000000011</v>
          </cell>
          <cell r="R49">
            <v>393</v>
          </cell>
          <cell r="S49">
            <v>483.28200000000004</v>
          </cell>
          <cell r="T49">
            <v>11487.2</v>
          </cell>
          <cell r="U49">
            <v>11970.482</v>
          </cell>
          <cell r="V49">
            <v>13502.324000000001</v>
          </cell>
        </row>
        <row r="50">
          <cell r="A50" t="str">
            <v>Hertford</v>
          </cell>
          <cell r="B50" t="str">
            <v>East Carolina Behavioral Health</v>
          </cell>
          <cell r="C50" t="str">
            <v>Rural</v>
          </cell>
          <cell r="D50">
            <v>24588</v>
          </cell>
          <cell r="E50">
            <v>710</v>
          </cell>
          <cell r="F50">
            <v>4241</v>
          </cell>
          <cell r="G50">
            <v>529</v>
          </cell>
          <cell r="H50">
            <v>844</v>
          </cell>
          <cell r="I50">
            <v>14119</v>
          </cell>
          <cell r="J50">
            <v>4145</v>
          </cell>
          <cell r="K50">
            <v>19733</v>
          </cell>
          <cell r="L50">
            <v>8.8999999999999996E-2</v>
          </cell>
          <cell r="M50">
            <v>0.22700000000000001</v>
          </cell>
          <cell r="N50">
            <v>0.188</v>
          </cell>
          <cell r="O50">
            <v>63.19</v>
          </cell>
          <cell r="P50">
            <v>377.44899999999996</v>
          </cell>
          <cell r="Q50">
            <v>47.080999999999996</v>
          </cell>
          <cell r="R50">
            <v>191.58799999999999</v>
          </cell>
          <cell r="S50">
            <v>238.66899999999998</v>
          </cell>
          <cell r="T50">
            <v>3205.0129999999999</v>
          </cell>
          <cell r="U50">
            <v>3443.6819999999998</v>
          </cell>
          <cell r="V50">
            <v>3821.1309999999999</v>
          </cell>
        </row>
        <row r="51">
          <cell r="A51" t="str">
            <v>Hoke</v>
          </cell>
          <cell r="B51" t="str">
            <v>Sandhills Center</v>
          </cell>
          <cell r="C51" t="str">
            <v>Rural</v>
          </cell>
          <cell r="D51">
            <v>50951</v>
          </cell>
          <cell r="E51">
            <v>2928</v>
          </cell>
          <cell r="F51">
            <v>12722</v>
          </cell>
          <cell r="G51">
            <v>651</v>
          </cell>
          <cell r="H51">
            <v>1287</v>
          </cell>
          <cell r="I51">
            <v>29212</v>
          </cell>
          <cell r="J51">
            <v>4151</v>
          </cell>
          <cell r="K51">
            <v>43872</v>
          </cell>
          <cell r="L51">
            <v>8.7999999999999995E-2</v>
          </cell>
          <cell r="M51">
            <v>0.27100000000000002</v>
          </cell>
          <cell r="N51">
            <v>0.21</v>
          </cell>
          <cell r="O51">
            <v>257.66399999999999</v>
          </cell>
          <cell r="P51">
            <v>1119.5359999999998</v>
          </cell>
          <cell r="Q51">
            <v>57.287999999999997</v>
          </cell>
          <cell r="R51">
            <v>348.77700000000004</v>
          </cell>
          <cell r="S51">
            <v>406.06500000000005</v>
          </cell>
          <cell r="T51">
            <v>7916.4520000000002</v>
          </cell>
          <cell r="U51">
            <v>8322.5169999999998</v>
          </cell>
          <cell r="V51">
            <v>9442.0529999999999</v>
          </cell>
        </row>
        <row r="52">
          <cell r="A52" t="str">
            <v>Hyde</v>
          </cell>
          <cell r="B52" t="str">
            <v>East Carolina Behavioral Health</v>
          </cell>
          <cell r="C52" t="str">
            <v>Rural</v>
          </cell>
          <cell r="D52">
            <v>5769</v>
          </cell>
          <cell r="E52">
            <v>154</v>
          </cell>
          <cell r="F52">
            <v>858</v>
          </cell>
          <cell r="G52">
            <v>43</v>
          </cell>
          <cell r="H52">
            <v>133</v>
          </cell>
          <cell r="I52">
            <v>3622</v>
          </cell>
          <cell r="J52">
            <v>959</v>
          </cell>
          <cell r="K52">
            <v>4656</v>
          </cell>
          <cell r="L52">
            <v>8.5000000000000006E-2</v>
          </cell>
          <cell r="M52">
            <v>0.246</v>
          </cell>
          <cell r="N52">
            <v>0.20899999999999999</v>
          </cell>
          <cell r="O52">
            <v>13.090000000000002</v>
          </cell>
          <cell r="P52">
            <v>72.930000000000007</v>
          </cell>
          <cell r="Q52">
            <v>3.6550000000000002</v>
          </cell>
          <cell r="R52">
            <v>32.717999999999996</v>
          </cell>
          <cell r="S52">
            <v>36.372999999999998</v>
          </cell>
          <cell r="T52">
            <v>891.01199999999994</v>
          </cell>
          <cell r="U52">
            <v>927.38499999999999</v>
          </cell>
          <cell r="V52">
            <v>1000.3150000000001</v>
          </cell>
        </row>
        <row r="53">
          <cell r="A53" t="str">
            <v>Iredell</v>
          </cell>
          <cell r="B53" t="str">
            <v>Partners Behavioral Health Management</v>
          </cell>
          <cell r="C53" t="str">
            <v>Rural</v>
          </cell>
          <cell r="D53">
            <v>164883</v>
          </cell>
          <cell r="E53">
            <v>5419</v>
          </cell>
          <cell r="F53">
            <v>34134</v>
          </cell>
          <cell r="G53">
            <v>2362</v>
          </cell>
          <cell r="H53">
            <v>4394</v>
          </cell>
          <cell r="I53">
            <v>95366</v>
          </cell>
          <cell r="J53">
            <v>23208</v>
          </cell>
          <cell r="K53">
            <v>136256</v>
          </cell>
          <cell r="L53">
            <v>7.6999999999999999E-2</v>
          </cell>
          <cell r="M53">
            <v>0.191</v>
          </cell>
          <cell r="N53">
            <v>0.157</v>
          </cell>
          <cell r="O53">
            <v>417.26299999999998</v>
          </cell>
          <cell r="P53">
            <v>2628.3179999999998</v>
          </cell>
          <cell r="Q53">
            <v>181.874</v>
          </cell>
          <cell r="R53">
            <v>839.25400000000002</v>
          </cell>
          <cell r="S53">
            <v>1021.128</v>
          </cell>
          <cell r="T53">
            <v>18214.905999999999</v>
          </cell>
          <cell r="U53">
            <v>19236.034</v>
          </cell>
          <cell r="V53">
            <v>21864.351999999999</v>
          </cell>
        </row>
        <row r="54">
          <cell r="A54" t="str">
            <v>Jackson</v>
          </cell>
          <cell r="B54" t="str">
            <v>Smoky Mountain Center</v>
          </cell>
          <cell r="C54" t="str">
            <v>Rural</v>
          </cell>
          <cell r="D54">
            <v>41111</v>
          </cell>
          <cell r="E54">
            <v>1186</v>
          </cell>
          <cell r="F54">
            <v>6053</v>
          </cell>
          <cell r="G54">
            <v>1005</v>
          </cell>
          <cell r="H54">
            <v>2890</v>
          </cell>
          <cell r="I54">
            <v>22924</v>
          </cell>
          <cell r="J54">
            <v>7053</v>
          </cell>
          <cell r="K54">
            <v>32872</v>
          </cell>
          <cell r="L54">
            <v>8.3000000000000004E-2</v>
          </cell>
          <cell r="M54">
            <v>0.20599999999999999</v>
          </cell>
          <cell r="N54">
            <v>0.17399999999999999</v>
          </cell>
          <cell r="O54">
            <v>98.438000000000002</v>
          </cell>
          <cell r="P54">
            <v>502.399</v>
          </cell>
          <cell r="Q54">
            <v>83.415000000000006</v>
          </cell>
          <cell r="R54">
            <v>595.33999999999992</v>
          </cell>
          <cell r="S54">
            <v>678.75499999999988</v>
          </cell>
          <cell r="T54">
            <v>4722.3440000000001</v>
          </cell>
          <cell r="U54">
            <v>5401.0990000000002</v>
          </cell>
          <cell r="V54">
            <v>5903.4980000000005</v>
          </cell>
        </row>
        <row r="55">
          <cell r="A55" t="str">
            <v>Johnston</v>
          </cell>
          <cell r="B55" t="str">
            <v>Alliance Behavioral Healthcare</v>
          </cell>
          <cell r="C55" t="str">
            <v>Rural</v>
          </cell>
          <cell r="D55">
            <v>177043</v>
          </cell>
          <cell r="E55">
            <v>6937</v>
          </cell>
          <cell r="F55">
            <v>40536</v>
          </cell>
          <cell r="G55">
            <v>2632</v>
          </cell>
          <cell r="H55">
            <v>4127</v>
          </cell>
          <cell r="I55">
            <v>102258</v>
          </cell>
          <cell r="J55">
            <v>20553</v>
          </cell>
          <cell r="K55">
            <v>149553</v>
          </cell>
          <cell r="L55">
            <v>8.5000000000000006E-2</v>
          </cell>
          <cell r="M55">
            <v>0.23300000000000001</v>
          </cell>
          <cell r="N55">
            <v>0.185</v>
          </cell>
          <cell r="O55">
            <v>589.6450000000001</v>
          </cell>
          <cell r="P55">
            <v>3445.5600000000004</v>
          </cell>
          <cell r="Q55">
            <v>223.72000000000003</v>
          </cell>
          <cell r="R55">
            <v>961.59100000000001</v>
          </cell>
          <cell r="S55">
            <v>1185.3110000000001</v>
          </cell>
          <cell r="T55">
            <v>23826.114000000001</v>
          </cell>
          <cell r="U55">
            <v>25011.425000000003</v>
          </cell>
          <cell r="V55">
            <v>28456.985000000004</v>
          </cell>
        </row>
        <row r="56">
          <cell r="A56" t="str">
            <v>Jones</v>
          </cell>
          <cell r="B56" t="str">
            <v>East Carolina Behavioral Health</v>
          </cell>
          <cell r="C56" t="str">
            <v>Rural</v>
          </cell>
          <cell r="D56">
            <v>10636</v>
          </cell>
          <cell r="E56">
            <v>315</v>
          </cell>
          <cell r="F56">
            <v>1890</v>
          </cell>
          <cell r="G56">
            <v>105</v>
          </cell>
          <cell r="H56">
            <v>240</v>
          </cell>
          <cell r="I56">
            <v>6106</v>
          </cell>
          <cell r="J56">
            <v>1980</v>
          </cell>
          <cell r="K56">
            <v>8341</v>
          </cell>
          <cell r="L56">
            <v>8.3000000000000004E-2</v>
          </cell>
          <cell r="M56">
            <v>0.22700000000000001</v>
          </cell>
          <cell r="N56">
            <v>0.189</v>
          </cell>
          <cell r="O56">
            <v>26.145000000000003</v>
          </cell>
          <cell r="P56">
            <v>156.87</v>
          </cell>
          <cell r="Q56">
            <v>8.7149999999999999</v>
          </cell>
          <cell r="R56">
            <v>54.480000000000004</v>
          </cell>
          <cell r="S56">
            <v>63.195000000000007</v>
          </cell>
          <cell r="T56">
            <v>1386.0620000000001</v>
          </cell>
          <cell r="U56">
            <v>1449.2570000000001</v>
          </cell>
          <cell r="V56">
            <v>1606.127</v>
          </cell>
        </row>
        <row r="57">
          <cell r="A57" t="str">
            <v>Lee</v>
          </cell>
          <cell r="B57" t="str">
            <v>Sandhills Center</v>
          </cell>
          <cell r="C57" t="str">
            <v>Rural</v>
          </cell>
          <cell r="D57">
            <v>59857</v>
          </cell>
          <cell r="E57">
            <v>2522</v>
          </cell>
          <cell r="F57">
            <v>12613</v>
          </cell>
          <cell r="G57">
            <v>807</v>
          </cell>
          <cell r="H57">
            <v>1558</v>
          </cell>
          <cell r="I57">
            <v>33498</v>
          </cell>
          <cell r="J57">
            <v>8859</v>
          </cell>
          <cell r="K57">
            <v>48476</v>
          </cell>
          <cell r="L57">
            <v>9.4E-2</v>
          </cell>
          <cell r="M57">
            <v>0.222</v>
          </cell>
          <cell r="N57">
            <v>0.182</v>
          </cell>
          <cell r="O57">
            <v>237.06800000000001</v>
          </cell>
          <cell r="P57">
            <v>1185.6220000000001</v>
          </cell>
          <cell r="Q57">
            <v>75.858000000000004</v>
          </cell>
          <cell r="R57">
            <v>345.87599999999998</v>
          </cell>
          <cell r="S57">
            <v>421.73399999999998</v>
          </cell>
          <cell r="T57">
            <v>7436.5560000000005</v>
          </cell>
          <cell r="U57">
            <v>7858.2900000000009</v>
          </cell>
          <cell r="V57">
            <v>9043.9120000000003</v>
          </cell>
        </row>
        <row r="58">
          <cell r="A58" t="str">
            <v>Lenoir</v>
          </cell>
          <cell r="B58" t="str">
            <v>Eastpointe</v>
          </cell>
          <cell r="C58" t="str">
            <v>Rural</v>
          </cell>
          <cell r="D58">
            <v>59401</v>
          </cell>
          <cell r="E58">
            <v>2023</v>
          </cell>
          <cell r="F58">
            <v>11619</v>
          </cell>
          <cell r="G58">
            <v>795</v>
          </cell>
          <cell r="H58">
            <v>1639</v>
          </cell>
          <cell r="I58">
            <v>33071</v>
          </cell>
          <cell r="J58">
            <v>10254</v>
          </cell>
          <cell r="K58">
            <v>47124</v>
          </cell>
          <cell r="L58">
            <v>8.6999999999999994E-2</v>
          </cell>
          <cell r="M58">
            <v>0.20899999999999999</v>
          </cell>
          <cell r="N58">
            <v>0.17299999999999999</v>
          </cell>
          <cell r="O58">
            <v>176.00099999999998</v>
          </cell>
          <cell r="P58">
            <v>1010.853</v>
          </cell>
          <cell r="Q58">
            <v>69.164999999999992</v>
          </cell>
          <cell r="R58">
            <v>342.55099999999999</v>
          </cell>
          <cell r="S58">
            <v>411.71600000000001</v>
          </cell>
          <cell r="T58">
            <v>6911.8389999999999</v>
          </cell>
          <cell r="U58">
            <v>7323.5550000000003</v>
          </cell>
          <cell r="V58">
            <v>8334.4079999999994</v>
          </cell>
        </row>
        <row r="59">
          <cell r="A59" t="str">
            <v>Lincoln</v>
          </cell>
          <cell r="B59" t="str">
            <v>Partners Behavioral Health Management</v>
          </cell>
          <cell r="C59" t="str">
            <v>Rural</v>
          </cell>
          <cell r="D59">
            <v>79630</v>
          </cell>
          <cell r="E59">
            <v>2376</v>
          </cell>
          <cell r="F59">
            <v>15304</v>
          </cell>
          <cell r="G59">
            <v>1067</v>
          </cell>
          <cell r="H59">
            <v>1963</v>
          </cell>
          <cell r="I59">
            <v>46825</v>
          </cell>
          <cell r="J59">
            <v>12095</v>
          </cell>
          <cell r="K59">
            <v>65159</v>
          </cell>
          <cell r="L59">
            <v>7.5999999999999998E-2</v>
          </cell>
          <cell r="M59">
            <v>0.20300000000000001</v>
          </cell>
          <cell r="N59">
            <v>0.16800000000000001</v>
          </cell>
          <cell r="O59">
            <v>180.57599999999999</v>
          </cell>
          <cell r="P59">
            <v>1163.104</v>
          </cell>
          <cell r="Q59">
            <v>81.091999999999999</v>
          </cell>
          <cell r="R59">
            <v>398.48900000000003</v>
          </cell>
          <cell r="S59">
            <v>479.58100000000002</v>
          </cell>
          <cell r="T59">
            <v>9505.4750000000004</v>
          </cell>
          <cell r="U59">
            <v>9985.0560000000005</v>
          </cell>
          <cell r="V59">
            <v>11148.16</v>
          </cell>
        </row>
        <row r="60">
          <cell r="A60" t="str">
            <v>Macon</v>
          </cell>
          <cell r="B60" t="str">
            <v>Smoky Mountain Center</v>
          </cell>
          <cell r="C60" t="str">
            <v>Rural</v>
          </cell>
          <cell r="D60">
            <v>34164</v>
          </cell>
          <cell r="E60">
            <v>1000</v>
          </cell>
          <cell r="F60">
            <v>5464</v>
          </cell>
          <cell r="G60">
            <v>381</v>
          </cell>
          <cell r="H60">
            <v>705</v>
          </cell>
          <cell r="I60">
            <v>17714</v>
          </cell>
          <cell r="J60">
            <v>8900</v>
          </cell>
          <cell r="K60">
            <v>24264</v>
          </cell>
          <cell r="L60">
            <v>8.1000000000000003E-2</v>
          </cell>
          <cell r="M60">
            <v>0.19500000000000001</v>
          </cell>
          <cell r="N60">
            <v>0.16400000000000001</v>
          </cell>
          <cell r="O60">
            <v>81</v>
          </cell>
          <cell r="P60">
            <v>442.584</v>
          </cell>
          <cell r="Q60">
            <v>30.861000000000001</v>
          </cell>
          <cell r="R60">
            <v>137.47499999999999</v>
          </cell>
          <cell r="S60">
            <v>168.33599999999998</v>
          </cell>
          <cell r="T60">
            <v>3454.23</v>
          </cell>
          <cell r="U60">
            <v>3622.5659999999998</v>
          </cell>
          <cell r="V60">
            <v>4065.1499999999996</v>
          </cell>
        </row>
        <row r="61">
          <cell r="A61" t="str">
            <v>Madison</v>
          </cell>
          <cell r="B61" t="str">
            <v>Western Highlands Network</v>
          </cell>
          <cell r="C61" t="str">
            <v>Rural</v>
          </cell>
          <cell r="D61">
            <v>21472</v>
          </cell>
          <cell r="E61">
            <v>561</v>
          </cell>
          <cell r="F61">
            <v>3503</v>
          </cell>
          <cell r="G61">
            <v>346</v>
          </cell>
          <cell r="H61">
            <v>795</v>
          </cell>
          <cell r="I61">
            <v>12072</v>
          </cell>
          <cell r="J61">
            <v>4195</v>
          </cell>
          <cell r="K61">
            <v>16716</v>
          </cell>
          <cell r="L61">
            <v>7.4999999999999997E-2</v>
          </cell>
          <cell r="M61">
            <v>0.192</v>
          </cell>
          <cell r="N61">
            <v>0.161</v>
          </cell>
          <cell r="O61">
            <v>42.074999999999996</v>
          </cell>
          <cell r="P61">
            <v>262.72499999999997</v>
          </cell>
          <cell r="Q61">
            <v>25.95</v>
          </cell>
          <cell r="R61">
            <v>152.64000000000001</v>
          </cell>
          <cell r="S61">
            <v>178.59</v>
          </cell>
          <cell r="T61">
            <v>2317.8240000000001</v>
          </cell>
          <cell r="U61">
            <v>2496.4140000000002</v>
          </cell>
          <cell r="V61">
            <v>2759.1390000000001</v>
          </cell>
        </row>
        <row r="62">
          <cell r="A62" t="str">
            <v>Martin</v>
          </cell>
          <cell r="B62" t="str">
            <v>East Carolina Behavioral Health</v>
          </cell>
          <cell r="C62" t="str">
            <v>Rural</v>
          </cell>
          <cell r="D62">
            <v>23870</v>
          </cell>
          <cell r="E62">
            <v>726</v>
          </cell>
          <cell r="F62">
            <v>4318</v>
          </cell>
          <cell r="G62">
            <v>262</v>
          </cell>
          <cell r="H62">
            <v>562</v>
          </cell>
          <cell r="I62">
            <v>13356</v>
          </cell>
          <cell r="J62">
            <v>4646</v>
          </cell>
          <cell r="K62">
            <v>18498</v>
          </cell>
          <cell r="L62">
            <v>8.5000000000000006E-2</v>
          </cell>
          <cell r="M62">
            <v>0.21099999999999999</v>
          </cell>
          <cell r="N62">
            <v>0.17599999999999999</v>
          </cell>
          <cell r="O62">
            <v>61.710000000000008</v>
          </cell>
          <cell r="P62">
            <v>367.03000000000003</v>
          </cell>
          <cell r="Q62">
            <v>22.270000000000003</v>
          </cell>
          <cell r="R62">
            <v>118.58199999999999</v>
          </cell>
          <cell r="S62">
            <v>140.852</v>
          </cell>
          <cell r="T62">
            <v>2818.116</v>
          </cell>
          <cell r="U62">
            <v>2958.9679999999998</v>
          </cell>
          <cell r="V62">
            <v>3325.998</v>
          </cell>
        </row>
        <row r="63">
          <cell r="A63" t="str">
            <v>McDowell</v>
          </cell>
          <cell r="B63" t="str">
            <v>Smoky Mountain Center</v>
          </cell>
          <cell r="C63" t="str">
            <v>Rural</v>
          </cell>
          <cell r="D63">
            <v>45359</v>
          </cell>
          <cell r="E63">
            <v>1373</v>
          </cell>
          <cell r="F63">
            <v>8159</v>
          </cell>
          <cell r="G63">
            <v>559</v>
          </cell>
          <cell r="H63">
            <v>990</v>
          </cell>
          <cell r="I63">
            <v>26051</v>
          </cell>
          <cell r="J63">
            <v>8227</v>
          </cell>
          <cell r="K63">
            <v>35759</v>
          </cell>
          <cell r="L63">
            <v>7.8E-2</v>
          </cell>
          <cell r="M63">
            <v>0.189</v>
          </cell>
          <cell r="N63">
            <v>0.159</v>
          </cell>
          <cell r="O63">
            <v>107.09399999999999</v>
          </cell>
          <cell r="P63">
            <v>636.40200000000004</v>
          </cell>
          <cell r="Q63">
            <v>43.601999999999997</v>
          </cell>
          <cell r="R63">
            <v>187.11</v>
          </cell>
          <cell r="S63">
            <v>230.71200000000002</v>
          </cell>
          <cell r="T63">
            <v>4923.6390000000001</v>
          </cell>
          <cell r="U63">
            <v>5154.3510000000006</v>
          </cell>
          <cell r="V63">
            <v>5790.7530000000006</v>
          </cell>
        </row>
        <row r="64">
          <cell r="A64" t="str">
            <v>Mecklenburg</v>
          </cell>
          <cell r="B64" t="str">
            <v>MeckLINK Behavioral Healthcare</v>
          </cell>
          <cell r="C64" t="str">
            <v>Urban</v>
          </cell>
          <cell r="D64">
            <v>986516</v>
          </cell>
          <cell r="E64">
            <v>42260</v>
          </cell>
          <cell r="F64">
            <v>200637</v>
          </cell>
          <cell r="G64">
            <v>12269</v>
          </cell>
          <cell r="H64">
            <v>25325</v>
          </cell>
          <cell r="I64">
            <v>609683</v>
          </cell>
          <cell r="J64">
            <v>96342</v>
          </cell>
          <cell r="K64">
            <v>847914</v>
          </cell>
          <cell r="L64">
            <v>8.6999999999999994E-2</v>
          </cell>
          <cell r="M64">
            <v>0.21199999999999999</v>
          </cell>
          <cell r="N64">
            <v>0.17499999999999999</v>
          </cell>
          <cell r="O64">
            <v>3676.62</v>
          </cell>
          <cell r="P64">
            <v>17455.418999999998</v>
          </cell>
          <cell r="Q64">
            <v>1067.403</v>
          </cell>
          <cell r="R64">
            <v>5368.9</v>
          </cell>
          <cell r="S64">
            <v>6436.3029999999999</v>
          </cell>
          <cell r="T64">
            <v>129252.796</v>
          </cell>
          <cell r="U64">
            <v>135689.09899999999</v>
          </cell>
          <cell r="V64">
            <v>153144.51799999998</v>
          </cell>
        </row>
        <row r="65">
          <cell r="A65" t="str">
            <v>Mitchell</v>
          </cell>
          <cell r="B65" t="str">
            <v>Western Highlands Network</v>
          </cell>
          <cell r="C65" t="str">
            <v>Rural</v>
          </cell>
          <cell r="D65">
            <v>15365</v>
          </cell>
          <cell r="E65">
            <v>427</v>
          </cell>
          <cell r="F65">
            <v>2425</v>
          </cell>
          <cell r="G65">
            <v>128</v>
          </cell>
          <cell r="H65">
            <v>314</v>
          </cell>
          <cell r="I65">
            <v>8624</v>
          </cell>
          <cell r="J65">
            <v>3447</v>
          </cell>
          <cell r="K65">
            <v>11491</v>
          </cell>
          <cell r="L65">
            <v>7.5999999999999998E-2</v>
          </cell>
          <cell r="M65">
            <v>0.187</v>
          </cell>
          <cell r="N65">
            <v>0.159</v>
          </cell>
          <cell r="O65">
            <v>32.451999999999998</v>
          </cell>
          <cell r="P65">
            <v>184.29999999999998</v>
          </cell>
          <cell r="Q65">
            <v>9.7279999999999998</v>
          </cell>
          <cell r="R65">
            <v>58.717999999999996</v>
          </cell>
          <cell r="S65">
            <v>68.445999999999998</v>
          </cell>
          <cell r="T65">
            <v>1612.6880000000001</v>
          </cell>
          <cell r="U65">
            <v>1681.134</v>
          </cell>
          <cell r="V65">
            <v>1865.434</v>
          </cell>
        </row>
        <row r="66">
          <cell r="A66" t="str">
            <v>Montgomery</v>
          </cell>
          <cell r="B66" t="str">
            <v>Sandhills Center</v>
          </cell>
          <cell r="C66" t="str">
            <v>Rural</v>
          </cell>
          <cell r="D66">
            <v>28059</v>
          </cell>
          <cell r="E66">
            <v>999</v>
          </cell>
          <cell r="F66">
            <v>5487</v>
          </cell>
          <cell r="G66">
            <v>409</v>
          </cell>
          <cell r="H66">
            <v>819</v>
          </cell>
          <cell r="I66">
            <v>15380</v>
          </cell>
          <cell r="J66">
            <v>4965</v>
          </cell>
          <cell r="K66">
            <v>22095</v>
          </cell>
          <cell r="L66">
            <v>9.5000000000000001E-2</v>
          </cell>
          <cell r="M66">
            <v>0.22500000000000001</v>
          </cell>
          <cell r="N66">
            <v>0.187</v>
          </cell>
          <cell r="O66">
            <v>94.905000000000001</v>
          </cell>
          <cell r="P66">
            <v>521.26499999999999</v>
          </cell>
          <cell r="Q66">
            <v>38.855000000000004</v>
          </cell>
          <cell r="R66">
            <v>184.27500000000001</v>
          </cell>
          <cell r="S66">
            <v>223.13</v>
          </cell>
          <cell r="T66">
            <v>3460.5</v>
          </cell>
          <cell r="U66">
            <v>3683.63</v>
          </cell>
          <cell r="V66">
            <v>4204.8950000000004</v>
          </cell>
        </row>
        <row r="67">
          <cell r="A67" t="str">
            <v>Moore</v>
          </cell>
          <cell r="B67" t="str">
            <v>Sandhills Center</v>
          </cell>
          <cell r="C67" t="str">
            <v>Rural</v>
          </cell>
          <cell r="D67">
            <v>91879</v>
          </cell>
          <cell r="E67">
            <v>2940</v>
          </cell>
          <cell r="F67">
            <v>16513</v>
          </cell>
          <cell r="G67">
            <v>1078</v>
          </cell>
          <cell r="H67">
            <v>1925</v>
          </cell>
          <cell r="I67">
            <v>47075</v>
          </cell>
          <cell r="J67">
            <v>22348</v>
          </cell>
          <cell r="K67">
            <v>66591</v>
          </cell>
          <cell r="L67">
            <v>0.08</v>
          </cell>
          <cell r="M67">
            <v>0.19500000000000001</v>
          </cell>
          <cell r="N67">
            <v>0.16200000000000001</v>
          </cell>
          <cell r="O67">
            <v>235.20000000000002</v>
          </cell>
          <cell r="P67">
            <v>1321.04</v>
          </cell>
          <cell r="Q67">
            <v>86.24</v>
          </cell>
          <cell r="R67">
            <v>375.375</v>
          </cell>
          <cell r="S67">
            <v>461.61500000000001</v>
          </cell>
          <cell r="T67">
            <v>9179.625</v>
          </cell>
          <cell r="U67">
            <v>9641.24</v>
          </cell>
          <cell r="V67">
            <v>10962.279999999999</v>
          </cell>
        </row>
        <row r="68">
          <cell r="A68" t="str">
            <v>Nash</v>
          </cell>
          <cell r="B68" t="str">
            <v>Eastpointe</v>
          </cell>
          <cell r="C68" t="str">
            <v>Rural</v>
          </cell>
          <cell r="D68">
            <v>94722</v>
          </cell>
          <cell r="E68">
            <v>3258</v>
          </cell>
          <cell r="F68">
            <v>18360</v>
          </cell>
          <cell r="G68">
            <v>1315</v>
          </cell>
          <cell r="H68">
            <v>2351</v>
          </cell>
          <cell r="I68">
            <v>54654</v>
          </cell>
          <cell r="J68">
            <v>14784</v>
          </cell>
          <cell r="K68">
            <v>76680</v>
          </cell>
          <cell r="L68">
            <v>8.5999999999999993E-2</v>
          </cell>
          <cell r="M68">
            <v>0.20699999999999999</v>
          </cell>
          <cell r="N68">
            <v>0.17199999999999999</v>
          </cell>
          <cell r="O68">
            <v>280.18799999999999</v>
          </cell>
          <cell r="P68">
            <v>1578.9599999999998</v>
          </cell>
          <cell r="Q68">
            <v>113.08999999999999</v>
          </cell>
          <cell r="R68">
            <v>486.65699999999998</v>
          </cell>
          <cell r="S68">
            <v>599.74699999999996</v>
          </cell>
          <cell r="T68">
            <v>11313.377999999999</v>
          </cell>
          <cell r="U68">
            <v>11913.124999999998</v>
          </cell>
          <cell r="V68">
            <v>13492.084999999997</v>
          </cell>
        </row>
        <row r="69">
          <cell r="A69" t="str">
            <v>New Hanover</v>
          </cell>
          <cell r="B69" t="str">
            <v>CoastalCare</v>
          </cell>
          <cell r="C69" t="str">
            <v>Urban</v>
          </cell>
          <cell r="D69">
            <v>213785</v>
          </cell>
          <cell r="E69">
            <v>6746</v>
          </cell>
          <cell r="F69">
            <v>34620</v>
          </cell>
          <cell r="G69">
            <v>3454</v>
          </cell>
          <cell r="H69">
            <v>8188</v>
          </cell>
          <cell r="I69">
            <v>128110</v>
          </cell>
          <cell r="J69">
            <v>32667</v>
          </cell>
          <cell r="K69">
            <v>174372</v>
          </cell>
          <cell r="L69">
            <v>7.9000000000000001E-2</v>
          </cell>
          <cell r="M69">
            <v>0.2</v>
          </cell>
          <cell r="N69">
            <v>0.16900000000000001</v>
          </cell>
          <cell r="O69">
            <v>532.93399999999997</v>
          </cell>
          <cell r="P69">
            <v>2734.98</v>
          </cell>
          <cell r="Q69">
            <v>272.86599999999999</v>
          </cell>
          <cell r="R69">
            <v>1637.6000000000001</v>
          </cell>
          <cell r="S69">
            <v>1910.4660000000001</v>
          </cell>
          <cell r="T69">
            <v>25622</v>
          </cell>
          <cell r="U69">
            <v>27532.466</v>
          </cell>
          <cell r="V69">
            <v>30267.446</v>
          </cell>
        </row>
        <row r="70">
          <cell r="A70" t="str">
            <v>Northampton</v>
          </cell>
          <cell r="B70" t="str">
            <v>East Carolina Behavioral Health</v>
          </cell>
          <cell r="C70" t="str">
            <v>Rural</v>
          </cell>
          <cell r="D70">
            <v>21348</v>
          </cell>
          <cell r="E70">
            <v>580</v>
          </cell>
          <cell r="F70">
            <v>3585</v>
          </cell>
          <cell r="G70">
            <v>213</v>
          </cell>
          <cell r="H70">
            <v>493</v>
          </cell>
          <cell r="I70">
            <v>11920</v>
          </cell>
          <cell r="J70">
            <v>4557</v>
          </cell>
          <cell r="K70">
            <v>16211</v>
          </cell>
          <cell r="L70">
            <v>8.5999999999999993E-2</v>
          </cell>
          <cell r="M70">
            <v>0.23100000000000001</v>
          </cell>
          <cell r="N70">
            <v>0.192</v>
          </cell>
          <cell r="O70">
            <v>49.879999999999995</v>
          </cell>
          <cell r="P70">
            <v>308.31</v>
          </cell>
          <cell r="Q70">
            <v>18.317999999999998</v>
          </cell>
          <cell r="R70">
            <v>113.88300000000001</v>
          </cell>
          <cell r="S70">
            <v>132.20100000000002</v>
          </cell>
          <cell r="T70">
            <v>2753.52</v>
          </cell>
          <cell r="U70">
            <v>2885.721</v>
          </cell>
          <cell r="V70">
            <v>3194.0309999999999</v>
          </cell>
        </row>
        <row r="71">
          <cell r="A71" t="str">
            <v>Onslow</v>
          </cell>
          <cell r="B71" t="str">
            <v>CoastalCare</v>
          </cell>
          <cell r="C71" t="str">
            <v>Rural</v>
          </cell>
          <cell r="D71">
            <v>194201</v>
          </cell>
          <cell r="E71">
            <v>13088</v>
          </cell>
          <cell r="F71">
            <v>39636</v>
          </cell>
          <cell r="G71">
            <v>3137</v>
          </cell>
          <cell r="H71">
            <v>11591</v>
          </cell>
          <cell r="I71">
            <v>110790</v>
          </cell>
          <cell r="J71">
            <v>15959</v>
          </cell>
          <cell r="K71">
            <v>165154</v>
          </cell>
          <cell r="L71">
            <v>0.08</v>
          </cell>
          <cell r="M71">
            <v>0.24</v>
          </cell>
          <cell r="N71">
            <v>0.192</v>
          </cell>
          <cell r="O71">
            <v>1047.04</v>
          </cell>
          <cell r="P71">
            <v>3170.88</v>
          </cell>
          <cell r="Q71">
            <v>250.96</v>
          </cell>
          <cell r="R71">
            <v>2781.8399999999997</v>
          </cell>
          <cell r="S71">
            <v>3032.7999999999997</v>
          </cell>
          <cell r="T71">
            <v>26589.599999999999</v>
          </cell>
          <cell r="U71">
            <v>29622.399999999998</v>
          </cell>
          <cell r="V71">
            <v>32793.279999999999</v>
          </cell>
        </row>
        <row r="72">
          <cell r="A72" t="str">
            <v>Orange</v>
          </cell>
          <cell r="B72" t="str">
            <v>Cardinal Innovations Healthcare Solutions</v>
          </cell>
          <cell r="C72" t="str">
            <v>Urban</v>
          </cell>
          <cell r="D72">
            <v>140723</v>
          </cell>
          <cell r="E72">
            <v>3868</v>
          </cell>
          <cell r="F72">
            <v>24611</v>
          </cell>
          <cell r="G72">
            <v>3058</v>
          </cell>
          <cell r="H72">
            <v>9109</v>
          </cell>
          <cell r="I72">
            <v>84587</v>
          </cell>
          <cell r="J72">
            <v>15490</v>
          </cell>
          <cell r="K72">
            <v>121365</v>
          </cell>
          <cell r="L72">
            <v>8.2000000000000003E-2</v>
          </cell>
          <cell r="M72">
            <v>0.19500000000000001</v>
          </cell>
          <cell r="N72">
            <v>0.16400000000000001</v>
          </cell>
          <cell r="O72">
            <v>317.17599999999999</v>
          </cell>
          <cell r="P72">
            <v>2018.1020000000001</v>
          </cell>
          <cell r="Q72">
            <v>250.756</v>
          </cell>
          <cell r="R72">
            <v>1776.2550000000001</v>
          </cell>
          <cell r="S72">
            <v>2027.0110000000002</v>
          </cell>
          <cell r="T72">
            <v>16494.465</v>
          </cell>
          <cell r="U72">
            <v>18521.475999999999</v>
          </cell>
          <cell r="V72">
            <v>20539.577999999998</v>
          </cell>
        </row>
        <row r="73">
          <cell r="A73" t="str">
            <v>Pamlico</v>
          </cell>
          <cell r="B73" t="str">
            <v>East Carolina Behavioral Health</v>
          </cell>
          <cell r="C73" t="str">
            <v>Rural</v>
          </cell>
          <cell r="D73">
            <v>13320</v>
          </cell>
          <cell r="E73">
            <v>302</v>
          </cell>
          <cell r="F73">
            <v>1949</v>
          </cell>
          <cell r="G73">
            <v>124</v>
          </cell>
          <cell r="H73">
            <v>218</v>
          </cell>
          <cell r="I73">
            <v>7441</v>
          </cell>
          <cell r="J73">
            <v>3286</v>
          </cell>
          <cell r="K73">
            <v>9732</v>
          </cell>
          <cell r="L73">
            <v>7.9000000000000001E-2</v>
          </cell>
          <cell r="M73">
            <v>0.20200000000000001</v>
          </cell>
          <cell r="N73">
            <v>0.17199999999999999</v>
          </cell>
          <cell r="O73">
            <v>23.858000000000001</v>
          </cell>
          <cell r="P73">
            <v>153.971</v>
          </cell>
          <cell r="Q73">
            <v>9.7959999999999994</v>
          </cell>
          <cell r="R73">
            <v>44.036000000000001</v>
          </cell>
          <cell r="S73">
            <v>53.832000000000001</v>
          </cell>
          <cell r="T73">
            <v>1503.0820000000001</v>
          </cell>
          <cell r="U73">
            <v>1556.9140000000002</v>
          </cell>
          <cell r="V73">
            <v>1710.8850000000002</v>
          </cell>
        </row>
        <row r="74">
          <cell r="A74" t="str">
            <v>Pasquotank</v>
          </cell>
          <cell r="B74" t="str">
            <v>East Carolina Behavioral Health</v>
          </cell>
          <cell r="C74" t="str">
            <v>Rural</v>
          </cell>
          <cell r="D74">
            <v>39740</v>
          </cell>
          <cell r="E74">
            <v>1386</v>
          </cell>
          <cell r="F74">
            <v>7578</v>
          </cell>
          <cell r="G74">
            <v>746</v>
          </cell>
          <cell r="H74">
            <v>1568</v>
          </cell>
          <cell r="I74">
            <v>22697</v>
          </cell>
          <cell r="J74">
            <v>5765</v>
          </cell>
          <cell r="K74">
            <v>32589</v>
          </cell>
          <cell r="L74">
            <v>8.2000000000000003E-2</v>
          </cell>
          <cell r="M74">
            <v>0.21099999999999999</v>
          </cell>
          <cell r="N74">
            <v>0.17399999999999999</v>
          </cell>
          <cell r="O74">
            <v>113.652</v>
          </cell>
          <cell r="P74">
            <v>621.39600000000007</v>
          </cell>
          <cell r="Q74">
            <v>61.172000000000004</v>
          </cell>
          <cell r="R74">
            <v>330.84800000000001</v>
          </cell>
          <cell r="S74">
            <v>392.02000000000004</v>
          </cell>
          <cell r="T74">
            <v>4789.067</v>
          </cell>
          <cell r="U74">
            <v>5181.0870000000004</v>
          </cell>
          <cell r="V74">
            <v>5802.4830000000002</v>
          </cell>
        </row>
        <row r="75">
          <cell r="A75" t="str">
            <v>Pender</v>
          </cell>
          <cell r="B75" t="str">
            <v>CoastalCare</v>
          </cell>
          <cell r="C75" t="str">
            <v>Rural</v>
          </cell>
          <cell r="D75">
            <v>55313</v>
          </cell>
          <cell r="E75">
            <v>1825</v>
          </cell>
          <cell r="F75">
            <v>10092</v>
          </cell>
          <cell r="G75">
            <v>664</v>
          </cell>
          <cell r="H75">
            <v>1422</v>
          </cell>
          <cell r="I75">
            <v>32078</v>
          </cell>
          <cell r="J75">
            <v>9232</v>
          </cell>
          <cell r="K75">
            <v>44256</v>
          </cell>
          <cell r="L75">
            <v>0.08</v>
          </cell>
          <cell r="M75">
            <v>0.222</v>
          </cell>
          <cell r="N75">
            <v>0.182</v>
          </cell>
          <cell r="O75">
            <v>146</v>
          </cell>
          <cell r="P75">
            <v>807.36</v>
          </cell>
          <cell r="Q75">
            <v>53.120000000000005</v>
          </cell>
          <cell r="R75">
            <v>315.68400000000003</v>
          </cell>
          <cell r="S75">
            <v>368.80400000000003</v>
          </cell>
          <cell r="T75">
            <v>7121.3159999999998</v>
          </cell>
          <cell r="U75">
            <v>7490.12</v>
          </cell>
          <cell r="V75">
            <v>8297.48</v>
          </cell>
        </row>
        <row r="76">
          <cell r="A76" t="str">
            <v>Perquimans</v>
          </cell>
          <cell r="B76" t="str">
            <v>East Carolina Behavioral Health</v>
          </cell>
          <cell r="C76" t="str">
            <v>Rural</v>
          </cell>
          <cell r="D76">
            <v>13771</v>
          </cell>
          <cell r="E76">
            <v>382</v>
          </cell>
          <cell r="F76">
            <v>2284</v>
          </cell>
          <cell r="G76">
            <v>134</v>
          </cell>
          <cell r="H76">
            <v>330</v>
          </cell>
          <cell r="I76">
            <v>7302</v>
          </cell>
          <cell r="J76">
            <v>3339</v>
          </cell>
          <cell r="K76">
            <v>10050</v>
          </cell>
          <cell r="L76">
            <v>7.6999999999999999E-2</v>
          </cell>
          <cell r="M76">
            <v>0.215</v>
          </cell>
          <cell r="N76">
            <v>0.17799999999999999</v>
          </cell>
          <cell r="O76">
            <v>29.413999999999998</v>
          </cell>
          <cell r="P76">
            <v>175.86799999999999</v>
          </cell>
          <cell r="Q76">
            <v>10.318</v>
          </cell>
          <cell r="R76">
            <v>70.95</v>
          </cell>
          <cell r="S76">
            <v>81.268000000000001</v>
          </cell>
          <cell r="T76">
            <v>1569.93</v>
          </cell>
          <cell r="U76">
            <v>1651.1980000000001</v>
          </cell>
          <cell r="V76">
            <v>1827.066</v>
          </cell>
        </row>
        <row r="77">
          <cell r="A77" t="str">
            <v>Person</v>
          </cell>
          <cell r="B77" t="str">
            <v>Cardinal Innovations Healthcare Solutions</v>
          </cell>
          <cell r="C77" t="str">
            <v>Rural</v>
          </cell>
          <cell r="D77">
            <v>39309</v>
          </cell>
          <cell r="E77">
            <v>1233</v>
          </cell>
          <cell r="F77">
            <v>7390</v>
          </cell>
          <cell r="G77">
            <v>452</v>
          </cell>
          <cell r="H77">
            <v>886</v>
          </cell>
          <cell r="I77">
            <v>22799</v>
          </cell>
          <cell r="J77">
            <v>6549</v>
          </cell>
          <cell r="K77">
            <v>31527</v>
          </cell>
          <cell r="L77">
            <v>7.9000000000000001E-2</v>
          </cell>
          <cell r="M77">
            <v>0.20699999999999999</v>
          </cell>
          <cell r="N77">
            <v>0.17100000000000001</v>
          </cell>
          <cell r="O77">
            <v>97.406999999999996</v>
          </cell>
          <cell r="P77">
            <v>583.81000000000006</v>
          </cell>
          <cell r="Q77">
            <v>35.707999999999998</v>
          </cell>
          <cell r="R77">
            <v>183.40199999999999</v>
          </cell>
          <cell r="S77">
            <v>219.10999999999999</v>
          </cell>
          <cell r="T77">
            <v>4719.393</v>
          </cell>
          <cell r="U77">
            <v>4938.5029999999997</v>
          </cell>
          <cell r="V77">
            <v>5522.3130000000001</v>
          </cell>
        </row>
        <row r="78">
          <cell r="A78" t="str">
            <v>Pitt</v>
          </cell>
          <cell r="B78" t="str">
            <v>East Carolina Behavioral Health</v>
          </cell>
          <cell r="C78" t="str">
            <v>Rural</v>
          </cell>
          <cell r="D78">
            <v>174501</v>
          </cell>
          <cell r="E78">
            <v>6447</v>
          </cell>
          <cell r="F78">
            <v>32215</v>
          </cell>
          <cell r="G78">
            <v>3850</v>
          </cell>
          <cell r="H78">
            <v>11148</v>
          </cell>
          <cell r="I78">
            <v>101692</v>
          </cell>
          <cell r="J78">
            <v>19149</v>
          </cell>
          <cell r="K78">
            <v>148905</v>
          </cell>
          <cell r="L78">
            <v>8.5000000000000006E-2</v>
          </cell>
          <cell r="M78">
            <v>0.22</v>
          </cell>
          <cell r="N78">
            <v>0.18099999999999999</v>
          </cell>
          <cell r="O78">
            <v>547.995</v>
          </cell>
          <cell r="P78">
            <v>2738.2750000000001</v>
          </cell>
          <cell r="Q78">
            <v>327.25</v>
          </cell>
          <cell r="R78">
            <v>2452.56</v>
          </cell>
          <cell r="S78">
            <v>2779.81</v>
          </cell>
          <cell r="T78">
            <v>22372.240000000002</v>
          </cell>
          <cell r="U78">
            <v>25152.050000000003</v>
          </cell>
          <cell r="V78">
            <v>27890.325000000004</v>
          </cell>
        </row>
        <row r="79">
          <cell r="A79" t="str">
            <v>Polk</v>
          </cell>
          <cell r="B79" t="str">
            <v>Western Highlands Network</v>
          </cell>
          <cell r="C79" t="str">
            <v>Rural</v>
          </cell>
          <cell r="D79">
            <v>20077</v>
          </cell>
          <cell r="E79">
            <v>384</v>
          </cell>
          <cell r="F79">
            <v>3151</v>
          </cell>
          <cell r="G79">
            <v>205</v>
          </cell>
          <cell r="H79">
            <v>402</v>
          </cell>
          <cell r="I79">
            <v>10633</v>
          </cell>
          <cell r="J79">
            <v>5302</v>
          </cell>
          <cell r="K79">
            <v>14391</v>
          </cell>
          <cell r="L79">
            <v>0.08</v>
          </cell>
          <cell r="M79">
            <v>0.186</v>
          </cell>
          <cell r="N79">
            <v>0.159</v>
          </cell>
          <cell r="O79">
            <v>30.72</v>
          </cell>
          <cell r="P79">
            <v>252.08</v>
          </cell>
          <cell r="Q79">
            <v>16.399999999999999</v>
          </cell>
          <cell r="R79">
            <v>74.772000000000006</v>
          </cell>
          <cell r="S79">
            <v>91.171999999999997</v>
          </cell>
          <cell r="T79">
            <v>1977.7380000000001</v>
          </cell>
          <cell r="U79">
            <v>2068.91</v>
          </cell>
          <cell r="V79">
            <v>2320.9899999999998</v>
          </cell>
        </row>
        <row r="80">
          <cell r="A80" t="str">
            <v>Randolph</v>
          </cell>
          <cell r="B80" t="str">
            <v>Sandhills Center</v>
          </cell>
          <cell r="C80" t="str">
            <v>Rural</v>
          </cell>
          <cell r="D80">
            <v>142646</v>
          </cell>
          <cell r="E80">
            <v>4875</v>
          </cell>
          <cell r="F80">
            <v>28657</v>
          </cell>
          <cell r="G80">
            <v>1949</v>
          </cell>
          <cell r="H80">
            <v>3998</v>
          </cell>
          <cell r="I80">
            <v>80978</v>
          </cell>
          <cell r="J80">
            <v>22189</v>
          </cell>
          <cell r="K80">
            <v>115582</v>
          </cell>
          <cell r="L80">
            <v>8.3000000000000004E-2</v>
          </cell>
          <cell r="M80">
            <v>0.20499999999999999</v>
          </cell>
          <cell r="N80">
            <v>0.16900000000000001</v>
          </cell>
          <cell r="O80">
            <v>404.625</v>
          </cell>
          <cell r="P80">
            <v>2378.5309999999999</v>
          </cell>
          <cell r="Q80">
            <v>161.767</v>
          </cell>
          <cell r="R80">
            <v>819.58999999999992</v>
          </cell>
          <cell r="S80">
            <v>981.35699999999997</v>
          </cell>
          <cell r="T80">
            <v>16600.489999999998</v>
          </cell>
          <cell r="U80">
            <v>17581.846999999998</v>
          </cell>
          <cell r="V80">
            <v>19960.377999999997</v>
          </cell>
        </row>
        <row r="81">
          <cell r="A81" t="str">
            <v>Richmond</v>
          </cell>
          <cell r="B81" t="str">
            <v>Sandhills Center</v>
          </cell>
          <cell r="C81" t="str">
            <v>Rural</v>
          </cell>
          <cell r="D81">
            <v>46253</v>
          </cell>
          <cell r="E81">
            <v>1690</v>
          </cell>
          <cell r="F81">
            <v>9365</v>
          </cell>
          <cell r="G81">
            <v>681</v>
          </cell>
          <cell r="H81">
            <v>1451</v>
          </cell>
          <cell r="I81">
            <v>25905</v>
          </cell>
          <cell r="J81">
            <v>7161</v>
          </cell>
          <cell r="K81">
            <v>37402</v>
          </cell>
          <cell r="L81">
            <v>8.5999999999999993E-2</v>
          </cell>
          <cell r="M81">
            <v>0.22800000000000001</v>
          </cell>
          <cell r="N81">
            <v>0.186</v>
          </cell>
          <cell r="O81">
            <v>145.33999999999997</v>
          </cell>
          <cell r="P81">
            <v>805.39</v>
          </cell>
          <cell r="Q81">
            <v>58.565999999999995</v>
          </cell>
          <cell r="R81">
            <v>330.82800000000003</v>
          </cell>
          <cell r="S81">
            <v>389.39400000000001</v>
          </cell>
          <cell r="T81">
            <v>5906.34</v>
          </cell>
          <cell r="U81">
            <v>6295.7340000000004</v>
          </cell>
          <cell r="V81">
            <v>7101.1240000000007</v>
          </cell>
        </row>
        <row r="82">
          <cell r="A82" t="str">
            <v>Robeson</v>
          </cell>
          <cell r="B82" t="str">
            <v>Eastpointe</v>
          </cell>
          <cell r="C82" t="str">
            <v>Rural</v>
          </cell>
          <cell r="D82">
            <v>134553</v>
          </cell>
          <cell r="E82">
            <v>5555</v>
          </cell>
          <cell r="F82">
            <v>29084</v>
          </cell>
          <cell r="G82">
            <v>2413</v>
          </cell>
          <cell r="H82">
            <v>4983</v>
          </cell>
          <cell r="I82">
            <v>75522</v>
          </cell>
          <cell r="J82">
            <v>16996</v>
          </cell>
          <cell r="K82">
            <v>112002</v>
          </cell>
          <cell r="L82">
            <v>9.8000000000000004E-2</v>
          </cell>
          <cell r="M82">
            <v>0.254</v>
          </cell>
          <cell r="N82">
            <v>0.20300000000000001</v>
          </cell>
          <cell r="O82">
            <v>544.39</v>
          </cell>
          <cell r="P82">
            <v>2850.232</v>
          </cell>
          <cell r="Q82">
            <v>236.47400000000002</v>
          </cell>
          <cell r="R82">
            <v>1265.682</v>
          </cell>
          <cell r="S82">
            <v>1502.1559999999999</v>
          </cell>
          <cell r="T82">
            <v>19182.588</v>
          </cell>
          <cell r="U82">
            <v>20684.743999999999</v>
          </cell>
          <cell r="V82">
            <v>23534.975999999999</v>
          </cell>
        </row>
        <row r="83">
          <cell r="A83" t="str">
            <v>Rockingham</v>
          </cell>
          <cell r="B83" t="str">
            <v>CenterPoint Human Services</v>
          </cell>
          <cell r="C83" t="str">
            <v>Rural</v>
          </cell>
          <cell r="D83">
            <v>92494</v>
          </cell>
          <cell r="E83">
            <v>2761</v>
          </cell>
          <cell r="F83">
            <v>16778</v>
          </cell>
          <cell r="G83">
            <v>1178</v>
          </cell>
          <cell r="H83">
            <v>2274</v>
          </cell>
          <cell r="I83">
            <v>53113</v>
          </cell>
          <cell r="J83">
            <v>16390</v>
          </cell>
          <cell r="K83">
            <v>73343</v>
          </cell>
          <cell r="L83">
            <v>0.08</v>
          </cell>
          <cell r="M83">
            <v>0.20300000000000001</v>
          </cell>
          <cell r="N83">
            <v>0.17</v>
          </cell>
          <cell r="O83">
            <v>220.88</v>
          </cell>
          <cell r="P83">
            <v>1342.24</v>
          </cell>
          <cell r="Q83">
            <v>94.24</v>
          </cell>
          <cell r="R83">
            <v>461.62200000000001</v>
          </cell>
          <cell r="S83">
            <v>555.86199999999997</v>
          </cell>
          <cell r="T83">
            <v>10781.939</v>
          </cell>
          <cell r="U83">
            <v>11337.800999999999</v>
          </cell>
          <cell r="V83">
            <v>12680.040999999999</v>
          </cell>
        </row>
        <row r="84">
          <cell r="A84" t="str">
            <v>Rowan</v>
          </cell>
          <cell r="B84" t="str">
            <v>Cardinal Innovations Healthcare Solutions</v>
          </cell>
          <cell r="C84" t="str">
            <v>Urban</v>
          </cell>
          <cell r="D84">
            <v>138251</v>
          </cell>
          <cell r="E84">
            <v>4650</v>
          </cell>
          <cell r="F84">
            <v>27084</v>
          </cell>
          <cell r="G84">
            <v>1853</v>
          </cell>
          <cell r="H84">
            <v>3922</v>
          </cell>
          <cell r="I84">
            <v>79282</v>
          </cell>
          <cell r="J84">
            <v>21460</v>
          </cell>
          <cell r="K84">
            <v>112141</v>
          </cell>
          <cell r="L84">
            <v>8.2000000000000003E-2</v>
          </cell>
          <cell r="M84">
            <v>0.20799999999999999</v>
          </cell>
          <cell r="N84">
            <v>0.17199999999999999</v>
          </cell>
          <cell r="O84">
            <v>381.3</v>
          </cell>
          <cell r="P84">
            <v>2220.8879999999999</v>
          </cell>
          <cell r="Q84">
            <v>151.946</v>
          </cell>
          <cell r="R84">
            <v>815.77599999999995</v>
          </cell>
          <cell r="S84">
            <v>967.72199999999998</v>
          </cell>
          <cell r="T84">
            <v>16490.655999999999</v>
          </cell>
          <cell r="U84">
            <v>17458.378000000001</v>
          </cell>
          <cell r="V84">
            <v>19679.266</v>
          </cell>
        </row>
        <row r="85">
          <cell r="A85" t="str">
            <v>Rutherford</v>
          </cell>
          <cell r="B85" t="str">
            <v>Western Highlands Network</v>
          </cell>
          <cell r="C85" t="str">
            <v>Rural</v>
          </cell>
          <cell r="D85">
            <v>68892</v>
          </cell>
          <cell r="E85">
            <v>2118</v>
          </cell>
          <cell r="F85">
            <v>12643</v>
          </cell>
          <cell r="G85">
            <v>924</v>
          </cell>
          <cell r="H85">
            <v>1555</v>
          </cell>
          <cell r="I85">
            <v>38547</v>
          </cell>
          <cell r="J85">
            <v>13105</v>
          </cell>
          <cell r="K85">
            <v>53669</v>
          </cell>
          <cell r="L85">
            <v>7.9000000000000001E-2</v>
          </cell>
          <cell r="M85">
            <v>0.20200000000000001</v>
          </cell>
          <cell r="N85">
            <v>0.16800000000000001</v>
          </cell>
          <cell r="O85">
            <v>167.322</v>
          </cell>
          <cell r="P85">
            <v>998.79700000000003</v>
          </cell>
          <cell r="Q85">
            <v>72.995999999999995</v>
          </cell>
          <cell r="R85">
            <v>314.11</v>
          </cell>
          <cell r="S85">
            <v>387.10599999999999</v>
          </cell>
          <cell r="T85">
            <v>7786.4940000000006</v>
          </cell>
          <cell r="U85">
            <v>8173.6</v>
          </cell>
          <cell r="V85">
            <v>9172.3970000000008</v>
          </cell>
        </row>
        <row r="86">
          <cell r="A86" t="str">
            <v>Sampson</v>
          </cell>
          <cell r="B86" t="str">
            <v>Eastpointe</v>
          </cell>
          <cell r="C86" t="str">
            <v>Rural</v>
          </cell>
          <cell r="D86">
            <v>64673</v>
          </cell>
          <cell r="E86">
            <v>2542</v>
          </cell>
          <cell r="F86">
            <v>13583</v>
          </cell>
          <cell r="G86">
            <v>896</v>
          </cell>
          <cell r="H86">
            <v>1870</v>
          </cell>
          <cell r="I86">
            <v>35806</v>
          </cell>
          <cell r="J86">
            <v>9976</v>
          </cell>
          <cell r="K86">
            <v>52155</v>
          </cell>
          <cell r="L86">
            <v>9.6000000000000002E-2</v>
          </cell>
          <cell r="M86">
            <v>0.26</v>
          </cell>
          <cell r="N86">
            <v>0.21</v>
          </cell>
          <cell r="O86">
            <v>244.03200000000001</v>
          </cell>
          <cell r="P86">
            <v>1303.9680000000001</v>
          </cell>
          <cell r="Q86">
            <v>86.016000000000005</v>
          </cell>
          <cell r="R86">
            <v>486.2</v>
          </cell>
          <cell r="S86">
            <v>572.21600000000001</v>
          </cell>
          <cell r="T86">
            <v>9309.56</v>
          </cell>
          <cell r="U86">
            <v>9881.7759999999998</v>
          </cell>
          <cell r="V86">
            <v>11185.744000000001</v>
          </cell>
        </row>
        <row r="87">
          <cell r="A87" t="str">
            <v>Scotland</v>
          </cell>
          <cell r="B87" t="str">
            <v>Eastpointe</v>
          </cell>
          <cell r="C87" t="str">
            <v>Rural</v>
          </cell>
          <cell r="D87">
            <v>36192</v>
          </cell>
          <cell r="E87">
            <v>1376</v>
          </cell>
          <cell r="F87">
            <v>7404</v>
          </cell>
          <cell r="G87">
            <v>500</v>
          </cell>
          <cell r="H87">
            <v>990</v>
          </cell>
          <cell r="I87">
            <v>20495</v>
          </cell>
          <cell r="J87">
            <v>5427</v>
          </cell>
          <cell r="K87">
            <v>29389</v>
          </cell>
          <cell r="L87">
            <v>8.5000000000000006E-2</v>
          </cell>
          <cell r="M87">
            <v>0.217</v>
          </cell>
          <cell r="N87">
            <v>0.17699999999999999</v>
          </cell>
          <cell r="O87">
            <v>116.96000000000001</v>
          </cell>
          <cell r="P87">
            <v>629.34</v>
          </cell>
          <cell r="Q87">
            <v>42.5</v>
          </cell>
          <cell r="R87">
            <v>214.83</v>
          </cell>
          <cell r="S87">
            <v>257.33000000000004</v>
          </cell>
          <cell r="T87">
            <v>4447.415</v>
          </cell>
          <cell r="U87">
            <v>4704.7449999999999</v>
          </cell>
          <cell r="V87">
            <v>5334.085</v>
          </cell>
        </row>
        <row r="88">
          <cell r="A88" t="str">
            <v>Stanly</v>
          </cell>
          <cell r="B88" t="str">
            <v>Cardinal Innovations Healthcare Solutions</v>
          </cell>
          <cell r="C88" t="str">
            <v>Rural</v>
          </cell>
          <cell r="D88">
            <v>60403</v>
          </cell>
          <cell r="E88">
            <v>1925</v>
          </cell>
          <cell r="F88">
            <v>11202</v>
          </cell>
          <cell r="G88">
            <v>815</v>
          </cell>
          <cell r="H88">
            <v>1646</v>
          </cell>
          <cell r="I88">
            <v>34578</v>
          </cell>
          <cell r="J88">
            <v>10237</v>
          </cell>
          <cell r="K88">
            <v>48241</v>
          </cell>
          <cell r="L88">
            <v>7.4999999999999997E-2</v>
          </cell>
          <cell r="M88">
            <v>0.189</v>
          </cell>
          <cell r="N88">
            <v>0.156</v>
          </cell>
          <cell r="O88">
            <v>144.375</v>
          </cell>
          <cell r="P88">
            <v>840.15</v>
          </cell>
          <cell r="Q88">
            <v>61.125</v>
          </cell>
          <cell r="R88">
            <v>311.09399999999999</v>
          </cell>
          <cell r="S88">
            <v>372.21899999999999</v>
          </cell>
          <cell r="T88">
            <v>6535.2420000000002</v>
          </cell>
          <cell r="U88">
            <v>6907.4610000000002</v>
          </cell>
          <cell r="V88">
            <v>7747.6109999999999</v>
          </cell>
        </row>
        <row r="89">
          <cell r="A89" t="str">
            <v>Stokes</v>
          </cell>
          <cell r="B89" t="str">
            <v>CenterPoint Human Services</v>
          </cell>
          <cell r="C89" t="str">
            <v>Rural</v>
          </cell>
          <cell r="D89">
            <v>46859</v>
          </cell>
          <cell r="E89">
            <v>1244</v>
          </cell>
          <cell r="F89">
            <v>8358</v>
          </cell>
          <cell r="G89">
            <v>521</v>
          </cell>
          <cell r="H89">
            <v>1085</v>
          </cell>
          <cell r="I89">
            <v>27325</v>
          </cell>
          <cell r="J89">
            <v>8326</v>
          </cell>
          <cell r="K89">
            <v>37289</v>
          </cell>
          <cell r="L89">
            <v>7.0999999999999994E-2</v>
          </cell>
          <cell r="M89">
            <v>0.2</v>
          </cell>
          <cell r="N89">
            <v>0.16500000000000001</v>
          </cell>
          <cell r="O89">
            <v>88.323999999999998</v>
          </cell>
          <cell r="P89">
            <v>593.41799999999989</v>
          </cell>
          <cell r="Q89">
            <v>36.991</v>
          </cell>
          <cell r="R89">
            <v>217</v>
          </cell>
          <cell r="S89">
            <v>253.99099999999999</v>
          </cell>
          <cell r="T89">
            <v>5465</v>
          </cell>
          <cell r="U89">
            <v>5718.991</v>
          </cell>
          <cell r="V89">
            <v>6312.4089999999997</v>
          </cell>
        </row>
        <row r="90">
          <cell r="A90" t="str">
            <v>Surry</v>
          </cell>
          <cell r="B90" t="str">
            <v>Partners Behavioral Health Management</v>
          </cell>
          <cell r="C90" t="str">
            <v>Rural</v>
          </cell>
          <cell r="D90">
            <v>73898</v>
          </cell>
          <cell r="E90">
            <v>2367</v>
          </cell>
          <cell r="F90">
            <v>14173</v>
          </cell>
          <cell r="G90">
            <v>1045</v>
          </cell>
          <cell r="H90">
            <v>2053</v>
          </cell>
          <cell r="I90">
            <v>41049</v>
          </cell>
          <cell r="J90">
            <v>13211</v>
          </cell>
          <cell r="K90">
            <v>58320</v>
          </cell>
          <cell r="L90">
            <v>8.4000000000000005E-2</v>
          </cell>
          <cell r="M90">
            <v>0.19700000000000001</v>
          </cell>
          <cell r="N90">
            <v>0.16500000000000001</v>
          </cell>
          <cell r="O90">
            <v>198.828</v>
          </cell>
          <cell r="P90">
            <v>1190.5320000000002</v>
          </cell>
          <cell r="Q90">
            <v>87.78</v>
          </cell>
          <cell r="R90">
            <v>404.44100000000003</v>
          </cell>
          <cell r="S90">
            <v>492.221</v>
          </cell>
          <cell r="T90">
            <v>8086.6530000000002</v>
          </cell>
          <cell r="U90">
            <v>8578.8739999999998</v>
          </cell>
          <cell r="V90">
            <v>9769.405999999999</v>
          </cell>
        </row>
        <row r="91">
          <cell r="A91" t="str">
            <v>Swain</v>
          </cell>
          <cell r="B91" t="str">
            <v>Smoky Mountain Center</v>
          </cell>
          <cell r="C91" t="str">
            <v>Rural</v>
          </cell>
          <cell r="D91">
            <v>14652</v>
          </cell>
          <cell r="E91">
            <v>599</v>
          </cell>
          <cell r="F91">
            <v>2829</v>
          </cell>
          <cell r="G91">
            <v>172</v>
          </cell>
          <cell r="H91">
            <v>326</v>
          </cell>
          <cell r="I91">
            <v>8129</v>
          </cell>
          <cell r="J91">
            <v>2597</v>
          </cell>
          <cell r="K91">
            <v>11456</v>
          </cell>
          <cell r="L91">
            <v>9.4E-2</v>
          </cell>
          <cell r="M91">
            <v>0.218</v>
          </cell>
          <cell r="N91">
            <v>0.18099999999999999</v>
          </cell>
          <cell r="O91">
            <v>56.305999999999997</v>
          </cell>
          <cell r="P91">
            <v>265.92599999999999</v>
          </cell>
          <cell r="Q91">
            <v>16.167999999999999</v>
          </cell>
          <cell r="R91">
            <v>71.067999999999998</v>
          </cell>
          <cell r="S91">
            <v>87.23599999999999</v>
          </cell>
          <cell r="T91">
            <v>1772.1220000000001</v>
          </cell>
          <cell r="U91">
            <v>1859.3580000000002</v>
          </cell>
          <cell r="V91">
            <v>2125.2840000000001</v>
          </cell>
        </row>
        <row r="92">
          <cell r="A92" t="str">
            <v>Transylvania</v>
          </cell>
          <cell r="B92" t="str">
            <v>Western Highlands Network</v>
          </cell>
          <cell r="C92" t="str">
            <v>Rural</v>
          </cell>
          <cell r="D92">
            <v>32971</v>
          </cell>
          <cell r="E92">
            <v>794</v>
          </cell>
          <cell r="F92">
            <v>4881</v>
          </cell>
          <cell r="G92">
            <v>429</v>
          </cell>
          <cell r="H92">
            <v>795</v>
          </cell>
          <cell r="I92">
            <v>16724</v>
          </cell>
          <cell r="J92">
            <v>9348</v>
          </cell>
          <cell r="K92">
            <v>22829</v>
          </cell>
          <cell r="L92">
            <v>7.6999999999999999E-2</v>
          </cell>
          <cell r="M92">
            <v>0.185</v>
          </cell>
          <cell r="N92">
            <v>0.157</v>
          </cell>
          <cell r="O92">
            <v>61.137999999999998</v>
          </cell>
          <cell r="P92">
            <v>375.83699999999999</v>
          </cell>
          <cell r="Q92">
            <v>33.033000000000001</v>
          </cell>
          <cell r="R92">
            <v>147.07499999999999</v>
          </cell>
          <cell r="S92">
            <v>180.108</v>
          </cell>
          <cell r="T92">
            <v>3093.94</v>
          </cell>
          <cell r="U92">
            <v>3274.0480000000002</v>
          </cell>
          <cell r="V92">
            <v>3649.8850000000002</v>
          </cell>
        </row>
        <row r="93">
          <cell r="A93" t="str">
            <v>Tyrrell</v>
          </cell>
          <cell r="B93" t="str">
            <v>East Carolina Behavioral Health</v>
          </cell>
          <cell r="C93" t="str">
            <v>Rural</v>
          </cell>
          <cell r="D93">
            <v>4157</v>
          </cell>
          <cell r="E93">
            <v>126</v>
          </cell>
          <cell r="F93">
            <v>609</v>
          </cell>
          <cell r="G93">
            <v>32</v>
          </cell>
          <cell r="H93">
            <v>91</v>
          </cell>
          <cell r="I93">
            <v>2534</v>
          </cell>
          <cell r="J93">
            <v>765</v>
          </cell>
          <cell r="K93">
            <v>3266</v>
          </cell>
          <cell r="L93">
            <v>0.09</v>
          </cell>
          <cell r="M93">
            <v>0.26600000000000001</v>
          </cell>
          <cell r="N93">
            <v>0.22500000000000001</v>
          </cell>
          <cell r="O93">
            <v>11.34</v>
          </cell>
          <cell r="P93">
            <v>54.809999999999995</v>
          </cell>
          <cell r="Q93">
            <v>2.88</v>
          </cell>
          <cell r="R93">
            <v>24.206000000000003</v>
          </cell>
          <cell r="S93">
            <v>27.086000000000002</v>
          </cell>
          <cell r="T93">
            <v>674.04399999999998</v>
          </cell>
          <cell r="U93">
            <v>701.13</v>
          </cell>
          <cell r="V93">
            <v>755.93999999999994</v>
          </cell>
        </row>
        <row r="94">
          <cell r="A94" t="str">
            <v>Union</v>
          </cell>
          <cell r="B94" t="str">
            <v>Cardinal Innovations Healthcare Solutions</v>
          </cell>
          <cell r="C94" t="str">
            <v>Rural</v>
          </cell>
          <cell r="D94">
            <v>210410</v>
          </cell>
          <cell r="E94">
            <v>7574</v>
          </cell>
          <cell r="F94">
            <v>51984</v>
          </cell>
          <cell r="G94">
            <v>3492</v>
          </cell>
          <cell r="H94">
            <v>5268</v>
          </cell>
          <cell r="I94">
            <v>119020</v>
          </cell>
          <cell r="J94">
            <v>23072</v>
          </cell>
          <cell r="K94">
            <v>179764</v>
          </cell>
          <cell r="L94">
            <v>7.6999999999999999E-2</v>
          </cell>
          <cell r="M94">
            <v>0.21299999999999999</v>
          </cell>
          <cell r="N94">
            <v>0.16600000000000001</v>
          </cell>
          <cell r="O94">
            <v>583.19799999999998</v>
          </cell>
          <cell r="P94">
            <v>4002.768</v>
          </cell>
          <cell r="Q94">
            <v>268.88400000000001</v>
          </cell>
          <cell r="R94">
            <v>1122.0840000000001</v>
          </cell>
          <cell r="S94">
            <v>1390.9680000000001</v>
          </cell>
          <cell r="T94">
            <v>25351.26</v>
          </cell>
          <cell r="U94">
            <v>26742.227999999999</v>
          </cell>
          <cell r="V94">
            <v>30744.995999999999</v>
          </cell>
        </row>
        <row r="95">
          <cell r="A95" t="str">
            <v>Vance</v>
          </cell>
          <cell r="B95" t="str">
            <v>Cardinal Innovations Healthcare Solutions</v>
          </cell>
          <cell r="C95" t="str">
            <v>Rural</v>
          </cell>
          <cell r="D95">
            <v>45565</v>
          </cell>
          <cell r="E95">
            <v>1761</v>
          </cell>
          <cell r="F95">
            <v>9354</v>
          </cell>
          <cell r="G95">
            <v>604</v>
          </cell>
          <cell r="H95">
            <v>1419</v>
          </cell>
          <cell r="I95">
            <v>25321</v>
          </cell>
          <cell r="J95">
            <v>7106</v>
          </cell>
          <cell r="K95">
            <v>36698</v>
          </cell>
          <cell r="L95">
            <v>9.0999999999999998E-2</v>
          </cell>
          <cell r="M95">
            <v>0.23200000000000001</v>
          </cell>
          <cell r="N95">
            <v>0.188</v>
          </cell>
          <cell r="O95">
            <v>160.251</v>
          </cell>
          <cell r="P95">
            <v>851.21399999999994</v>
          </cell>
          <cell r="Q95">
            <v>54.963999999999999</v>
          </cell>
          <cell r="R95">
            <v>329.20800000000003</v>
          </cell>
          <cell r="S95">
            <v>384.17200000000003</v>
          </cell>
          <cell r="T95">
            <v>5874.4720000000007</v>
          </cell>
          <cell r="U95">
            <v>6258.6440000000002</v>
          </cell>
          <cell r="V95">
            <v>7109.8580000000002</v>
          </cell>
        </row>
        <row r="96">
          <cell r="A96" t="str">
            <v>Wake</v>
          </cell>
          <cell r="B96" t="str">
            <v>Alliance Behavioral Healthcare</v>
          </cell>
          <cell r="C96" t="str">
            <v>Urban</v>
          </cell>
          <cell r="D96">
            <v>966424</v>
          </cell>
          <cell r="E96">
            <v>38262</v>
          </cell>
          <cell r="F96">
            <v>205774</v>
          </cell>
          <cell r="G96">
            <v>12977</v>
          </cell>
          <cell r="H96">
            <v>25467</v>
          </cell>
          <cell r="I96">
            <v>590105</v>
          </cell>
          <cell r="J96">
            <v>93839</v>
          </cell>
          <cell r="K96">
            <v>834323</v>
          </cell>
          <cell r="L96">
            <v>8.1000000000000003E-2</v>
          </cell>
          <cell r="M96">
            <v>0.19700000000000001</v>
          </cell>
          <cell r="N96">
            <v>0.16200000000000001</v>
          </cell>
          <cell r="O96">
            <v>3099.2220000000002</v>
          </cell>
          <cell r="P96">
            <v>16667.694</v>
          </cell>
          <cell r="Q96">
            <v>1051.1369999999999</v>
          </cell>
          <cell r="R96">
            <v>5016.9989999999998</v>
          </cell>
          <cell r="S96">
            <v>6068.1359999999995</v>
          </cell>
          <cell r="T96">
            <v>116250.68500000001</v>
          </cell>
          <cell r="U96">
            <v>122318.82100000001</v>
          </cell>
          <cell r="V96">
            <v>138986.51500000001</v>
          </cell>
        </row>
        <row r="97">
          <cell r="A97" t="str">
            <v>Warren</v>
          </cell>
          <cell r="B97" t="str">
            <v>Cardinal Innovations Healthcare Solutions</v>
          </cell>
          <cell r="C97" t="str">
            <v>Rural</v>
          </cell>
          <cell r="D97">
            <v>20668</v>
          </cell>
          <cell r="E97">
            <v>544</v>
          </cell>
          <cell r="F97">
            <v>3400</v>
          </cell>
          <cell r="G97">
            <v>231</v>
          </cell>
          <cell r="H97">
            <v>460</v>
          </cell>
          <cell r="I97">
            <v>11674</v>
          </cell>
          <cell r="J97">
            <v>4359</v>
          </cell>
          <cell r="K97">
            <v>15765</v>
          </cell>
          <cell r="L97">
            <v>8.8999999999999996E-2</v>
          </cell>
          <cell r="M97">
            <v>0.252</v>
          </cell>
          <cell r="N97">
            <v>0.20899999999999999</v>
          </cell>
          <cell r="O97">
            <v>48.415999999999997</v>
          </cell>
          <cell r="P97">
            <v>302.59999999999997</v>
          </cell>
          <cell r="Q97">
            <v>20.558999999999997</v>
          </cell>
          <cell r="R97">
            <v>115.92</v>
          </cell>
          <cell r="S97">
            <v>136.47899999999998</v>
          </cell>
          <cell r="T97">
            <v>2941.848</v>
          </cell>
          <cell r="U97">
            <v>3078.3269999999998</v>
          </cell>
          <cell r="V97">
            <v>3380.9269999999997</v>
          </cell>
        </row>
        <row r="98">
          <cell r="A98" t="str">
            <v>Washington</v>
          </cell>
          <cell r="B98" t="str">
            <v>East Carolina Behavioral Health</v>
          </cell>
          <cell r="C98" t="str">
            <v>Rural</v>
          </cell>
          <cell r="D98">
            <v>12914</v>
          </cell>
          <cell r="E98">
            <v>403</v>
          </cell>
          <cell r="F98">
            <v>2461</v>
          </cell>
          <cell r="G98">
            <v>124</v>
          </cell>
          <cell r="H98">
            <v>274</v>
          </cell>
          <cell r="I98">
            <v>7060</v>
          </cell>
          <cell r="J98">
            <v>2592</v>
          </cell>
          <cell r="K98">
            <v>9919</v>
          </cell>
          <cell r="L98">
            <v>8.7999999999999995E-2</v>
          </cell>
          <cell r="M98">
            <v>0.221</v>
          </cell>
          <cell r="N98">
            <v>0.183</v>
          </cell>
          <cell r="O98">
            <v>35.463999999999999</v>
          </cell>
          <cell r="P98">
            <v>216.56799999999998</v>
          </cell>
          <cell r="Q98">
            <v>10.911999999999999</v>
          </cell>
          <cell r="R98">
            <v>60.554000000000002</v>
          </cell>
          <cell r="S98">
            <v>71.466000000000008</v>
          </cell>
          <cell r="T98">
            <v>1560.26</v>
          </cell>
          <cell r="U98">
            <v>1631.7260000000001</v>
          </cell>
          <cell r="V98">
            <v>1848.2940000000001</v>
          </cell>
        </row>
        <row r="99">
          <cell r="A99" t="str">
            <v>Watauga</v>
          </cell>
          <cell r="B99" t="str">
            <v>Smoky Mountain Center</v>
          </cell>
          <cell r="C99" t="str">
            <v>Rural</v>
          </cell>
          <cell r="D99">
            <v>52953</v>
          </cell>
          <cell r="E99">
            <v>1055</v>
          </cell>
          <cell r="F99">
            <v>5933</v>
          </cell>
          <cell r="G99">
            <v>1798</v>
          </cell>
          <cell r="H99">
            <v>6765</v>
          </cell>
          <cell r="I99">
            <v>30052</v>
          </cell>
          <cell r="J99">
            <v>7350</v>
          </cell>
          <cell r="K99">
            <v>44548</v>
          </cell>
          <cell r="L99">
            <v>8.1000000000000003E-2</v>
          </cell>
          <cell r="M99">
            <v>0.218</v>
          </cell>
          <cell r="N99">
            <v>0.186</v>
          </cell>
          <cell r="O99">
            <v>85.454999999999998</v>
          </cell>
          <cell r="P99">
            <v>480.57300000000004</v>
          </cell>
          <cell r="Q99">
            <v>145.63800000000001</v>
          </cell>
          <cell r="R99">
            <v>1474.77</v>
          </cell>
          <cell r="S99">
            <v>1620.4079999999999</v>
          </cell>
          <cell r="T99">
            <v>6551.3360000000002</v>
          </cell>
          <cell r="U99">
            <v>8171.7440000000006</v>
          </cell>
          <cell r="V99">
            <v>8652.3170000000009</v>
          </cell>
        </row>
        <row r="100">
          <cell r="A100" t="str">
            <v>Wayne</v>
          </cell>
          <cell r="B100" t="str">
            <v>Eastpointe</v>
          </cell>
          <cell r="C100" t="str">
            <v>Rural</v>
          </cell>
          <cell r="D100">
            <v>126287</v>
          </cell>
          <cell r="E100">
            <v>5187</v>
          </cell>
          <cell r="F100">
            <v>25668</v>
          </cell>
          <cell r="G100">
            <v>1686</v>
          </cell>
          <cell r="H100">
            <v>3586</v>
          </cell>
          <cell r="I100">
            <v>72406</v>
          </cell>
          <cell r="J100">
            <v>17754</v>
          </cell>
          <cell r="K100">
            <v>103346</v>
          </cell>
          <cell r="L100">
            <v>8.7999999999999995E-2</v>
          </cell>
          <cell r="M100">
            <v>0.22600000000000001</v>
          </cell>
          <cell r="N100">
            <v>0.185</v>
          </cell>
          <cell r="O100">
            <v>456.45599999999996</v>
          </cell>
          <cell r="P100">
            <v>2258.7839999999997</v>
          </cell>
          <cell r="Q100">
            <v>148.36799999999999</v>
          </cell>
          <cell r="R100">
            <v>810.43600000000004</v>
          </cell>
          <cell r="S100">
            <v>958.80400000000009</v>
          </cell>
          <cell r="T100">
            <v>16363.756000000001</v>
          </cell>
          <cell r="U100">
            <v>17322.560000000001</v>
          </cell>
          <cell r="V100">
            <v>19581.344000000001</v>
          </cell>
        </row>
        <row r="101">
          <cell r="A101" t="str">
            <v>Wilkes</v>
          </cell>
          <cell r="B101" t="str">
            <v>Smoky Mountain Center</v>
          </cell>
          <cell r="C101" t="str">
            <v>Rural</v>
          </cell>
          <cell r="D101">
            <v>70076</v>
          </cell>
          <cell r="E101">
            <v>2076</v>
          </cell>
          <cell r="F101">
            <v>12920</v>
          </cell>
          <cell r="G101">
            <v>877</v>
          </cell>
          <cell r="H101">
            <v>1602</v>
          </cell>
          <cell r="I101">
            <v>39428</v>
          </cell>
          <cell r="J101">
            <v>13173</v>
          </cell>
          <cell r="K101">
            <v>54827</v>
          </cell>
          <cell r="L101">
            <v>7.6999999999999999E-2</v>
          </cell>
          <cell r="M101">
            <v>0.192</v>
          </cell>
          <cell r="N101">
            <v>0.16</v>
          </cell>
          <cell r="O101">
            <v>159.852</v>
          </cell>
          <cell r="P101">
            <v>994.84</v>
          </cell>
          <cell r="Q101">
            <v>67.528999999999996</v>
          </cell>
          <cell r="R101">
            <v>307.584</v>
          </cell>
          <cell r="S101">
            <v>375.113</v>
          </cell>
          <cell r="T101">
            <v>7570.1760000000004</v>
          </cell>
          <cell r="U101">
            <v>7945.2890000000007</v>
          </cell>
          <cell r="V101">
            <v>8940.1290000000008</v>
          </cell>
        </row>
        <row r="102">
          <cell r="A102" t="str">
            <v>Wilson</v>
          </cell>
          <cell r="B102" t="str">
            <v>Eastpointe</v>
          </cell>
          <cell r="C102" t="str">
            <v>Rural</v>
          </cell>
          <cell r="D102">
            <v>82433</v>
          </cell>
          <cell r="E102">
            <v>2969</v>
          </cell>
          <cell r="F102">
            <v>16677</v>
          </cell>
          <cell r="G102">
            <v>1060</v>
          </cell>
          <cell r="H102">
            <v>2150</v>
          </cell>
          <cell r="I102">
            <v>46744</v>
          </cell>
          <cell r="J102">
            <v>12833</v>
          </cell>
          <cell r="K102">
            <v>66631</v>
          </cell>
          <cell r="L102">
            <v>0.09</v>
          </cell>
          <cell r="M102">
            <v>0.221</v>
          </cell>
          <cell r="N102">
            <v>0.18099999999999999</v>
          </cell>
          <cell r="O102">
            <v>267.20999999999998</v>
          </cell>
          <cell r="P102">
            <v>1500.9299999999998</v>
          </cell>
          <cell r="Q102">
            <v>95.399999999999991</v>
          </cell>
          <cell r="R102">
            <v>475.15</v>
          </cell>
          <cell r="S102">
            <v>570.54999999999995</v>
          </cell>
          <cell r="T102">
            <v>10330.424000000001</v>
          </cell>
          <cell r="U102">
            <v>10900.974</v>
          </cell>
          <cell r="V102">
            <v>12401.904</v>
          </cell>
        </row>
        <row r="103">
          <cell r="A103" t="str">
            <v>Yadkin</v>
          </cell>
          <cell r="B103" t="str">
            <v>Partners Behavioral Health Management</v>
          </cell>
          <cell r="C103" t="str">
            <v>Rural</v>
          </cell>
          <cell r="D103">
            <v>38160</v>
          </cell>
          <cell r="E103">
            <v>1234</v>
          </cell>
          <cell r="F103">
            <v>7236</v>
          </cell>
          <cell r="G103">
            <v>470</v>
          </cell>
          <cell r="H103">
            <v>986</v>
          </cell>
          <cell r="I103">
            <v>21525</v>
          </cell>
          <cell r="J103">
            <v>6709</v>
          </cell>
          <cell r="K103">
            <v>30217</v>
          </cell>
          <cell r="L103">
            <v>8.3000000000000004E-2</v>
          </cell>
          <cell r="M103">
            <v>0.20899999999999999</v>
          </cell>
          <cell r="N103">
            <v>0.17299999999999999</v>
          </cell>
          <cell r="O103">
            <v>102.42200000000001</v>
          </cell>
          <cell r="P103">
            <v>600.58800000000008</v>
          </cell>
          <cell r="Q103">
            <v>39.010000000000005</v>
          </cell>
          <cell r="R103">
            <v>206.07399999999998</v>
          </cell>
          <cell r="S103">
            <v>245.084</v>
          </cell>
          <cell r="T103">
            <v>4498.7249999999995</v>
          </cell>
          <cell r="U103">
            <v>4743.8089999999993</v>
          </cell>
          <cell r="V103">
            <v>5344.396999999999</v>
          </cell>
        </row>
        <row r="104">
          <cell r="A104" t="str">
            <v>Yancey</v>
          </cell>
          <cell r="B104" t="str">
            <v>Western Highlands Network</v>
          </cell>
          <cell r="C104" t="str">
            <v>Rural</v>
          </cell>
          <cell r="D104">
            <v>17877</v>
          </cell>
          <cell r="E104">
            <v>521</v>
          </cell>
          <cell r="F104">
            <v>2916</v>
          </cell>
          <cell r="G104">
            <v>172</v>
          </cell>
          <cell r="H104">
            <v>388</v>
          </cell>
          <cell r="I104">
            <v>9880</v>
          </cell>
          <cell r="J104">
            <v>4000</v>
          </cell>
          <cell r="K104">
            <v>13356</v>
          </cell>
          <cell r="L104">
            <v>7.9000000000000001E-2</v>
          </cell>
          <cell r="M104">
            <v>0.19900000000000001</v>
          </cell>
          <cell r="N104">
            <v>0.16800000000000001</v>
          </cell>
          <cell r="O104">
            <v>41.158999999999999</v>
          </cell>
          <cell r="P104">
            <v>230.364</v>
          </cell>
          <cell r="Q104">
            <v>13.588000000000001</v>
          </cell>
          <cell r="R104">
            <v>77.212000000000003</v>
          </cell>
          <cell r="S104">
            <v>90.800000000000011</v>
          </cell>
          <cell r="T104">
            <v>1966.1200000000001</v>
          </cell>
          <cell r="U104">
            <v>2056.92</v>
          </cell>
          <cell r="V104">
            <v>2287.2840000000001</v>
          </cell>
        </row>
      </sheetData>
      <sheetData sheetId="36"/>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2" Type="http://schemas.openxmlformats.org/officeDocument/2006/relationships/externalLinkPath" Target="file:///S:\CPM\Quality_Mgmt\Population%20and%20Prevalence\Uninsured%20by%20County_LME%20SFY18%20Summary%204-19-17.xlsx" TargetMode="External"/><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r:id="rId1" refreshedBy="Michael Schwartz" refreshedDate="41668.50914224537" createdVersion="4" refreshedVersion="4" minRefreshableVersion="3" recordCount="102">
  <cacheSource type="worksheet">
    <worksheetSource ref="A5:V107" sheet="Uninsured By County SFY2014"/>
  </cacheSource>
  <cacheFields count="22">
    <cacheField name="County Name" numFmtId="49">
      <sharedItems containsBlank="1" count="102">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m/>
        <s v="North Carolina"/>
      </sharedItems>
    </cacheField>
    <cacheField name="LME-MCO Name" numFmtId="0">
      <sharedItems containsBlank="1" count="13">
        <s v="Cardinal Innovations Healthcare Solutions"/>
        <s v="Smoky Mountain Center"/>
        <s v="Sandhills Center"/>
        <s v="East Carolina Behavioral Health"/>
        <s v="Eastpointe"/>
        <s v="CoastalCare"/>
        <s v="Partners Behavioral Health Management"/>
        <s v="Alliance Behavioral Healthcare"/>
        <s v="CenterPoint Human Services"/>
        <s v="MeckLINK Behavioral Healthcare"/>
        <m/>
        <s v="North Carolina"/>
        <s v="Western Highlands Network" u="1"/>
      </sharedItems>
    </cacheField>
    <cacheField name="Urban vs. Rural" numFmtId="0">
      <sharedItems containsBlank="1"/>
    </cacheField>
    <cacheField name="Total Population" numFmtId="0">
      <sharedItems containsString="0" containsBlank="1" containsNumber="1" containsInteger="1" minValue="4157" maxValue="9873948"/>
    </cacheField>
    <cacheField name="Children _x000a_(Ages 0-2)" numFmtId="0">
      <sharedItems containsString="0" containsBlank="1" containsNumber="1" containsInteger="1" minValue="126" maxValue="365208"/>
    </cacheField>
    <cacheField name="Children _x000a_(Ages 3-17)" numFmtId="0">
      <sharedItems containsString="0" containsBlank="1" containsNumber="1" containsInteger="1" minValue="609" maxValue="1930215"/>
    </cacheField>
    <cacheField name="Adults _x000a_(Age 18)" numFmtId="0">
      <sharedItems containsString="0" containsBlank="1" containsNumber="1" containsInteger="1" minValue="32" maxValue="137577"/>
    </cacheField>
    <cacheField name="Adults _x000a_(Ages 19-20)" numFmtId="0">
      <sharedItems containsString="0" containsBlank="1" containsNumber="1" containsInteger="1" minValue="91" maxValue="297776"/>
    </cacheField>
    <cacheField name="Adults _x000a_(Ages 21-64)" numFmtId="0">
      <sharedItems containsString="0" containsBlank="1" containsNumber="1" containsInteger="1" minValue="2534" maxValue="5740125"/>
    </cacheField>
    <cacheField name="Adults _x000a_(Ages 65+)" numFmtId="0">
      <sharedItems containsString="0" containsBlank="1" containsNumber="1" containsInteger="1" minValue="765" maxValue="1403047"/>
    </cacheField>
    <cacheField name="NonElderly Population (Ages 3-64)" numFmtId="0">
      <sharedItems containsString="0" containsBlank="1" containsNumber="1" containsInteger="1" minValue="3266" maxValue="8105693"/>
    </cacheField>
    <cacheField name="Children UnInsured (Ages 0-18)" numFmtId="165">
      <sharedItems containsMixedTypes="1" containsNumber="1" minValue="6.8000000000000005E-2" maxValue="0.1"/>
    </cacheField>
    <cacheField name="Adults UnInsured (Ages 19-64)" numFmtId="165">
      <sharedItems containsString="0" containsBlank="1" containsNumber="1" minValue="0.17199999999999999" maxValue="0.27100000000000002"/>
    </cacheField>
    <cacheField name="NonElderly UnInsured (Ages 0-64)" numFmtId="165">
      <sharedItems containsString="0" containsBlank="1" containsNumber="1" minValue="0.14699999999999999" maxValue="0.22500000000000001"/>
    </cacheField>
    <cacheField name="Children _x000a_(Ages 0-2)2" numFmtId="0">
      <sharedItems containsString="0" containsBlank="1" containsNumber="1" minValue="11.34" maxValue="30562.660999999996"/>
    </cacheField>
    <cacheField name="Children _x000a_(Ages 3-17)2" numFmtId="0">
      <sharedItems containsString="0" containsBlank="1" containsNumber="1" minValue="54.809999999999995" maxValue="161025.07800000001"/>
    </cacheField>
    <cacheField name="Adults _x000a_(Age 18)2" numFmtId="0">
      <sharedItems containsString="0" containsBlank="1" containsNumber="1" minValue="2.88" maxValue="11469.267"/>
    </cacheField>
    <cacheField name="Adults _x000a_(Ages 19-20)2" numFmtId="0">
      <sharedItems containsString="0" containsBlank="1" containsNumber="1" minValue="24.206000000000003" maxValue="62621.282999999967"/>
    </cacheField>
    <cacheField name="Adults _x000a_(Ages 18-20)" numFmtId="0">
      <sharedItems containsString="0" containsBlank="1" containsNumber="1" minValue="27.086000000000002" maxValue="74090.550000000017"/>
    </cacheField>
    <cacheField name="NonElderly  Adults _x000a_(Ages 21-64)" numFmtId="0">
      <sharedItems containsString="0" containsBlank="1" containsNumber="1" minValue="674.04399999999998" maxValue="1199611.8020000004"/>
    </cacheField>
    <cacheField name="NonElderly Adults _x000a_(Ages 18-64)" numFmtId="0">
      <sharedItems containsString="0" containsBlank="1" containsNumber="1" minValue="701.13" maxValue="1273702.352"/>
    </cacheField>
    <cacheField name="NonElderly UnInsured Population (Ages 3-64)" numFmtId="0">
      <sharedItems containsString="0" containsBlank="1" containsNumber="1" minValue="755.93999999999994" maxValue="1434727.430000000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Michael Schwartz" refreshedDate="41850.832182754632" createdVersion="4" refreshedVersion="4" minRefreshableVersion="3" recordCount="102">
  <cacheSource type="worksheet">
    <worksheetSource ref="A5:V107" sheet="Uninsured By County SFY2015"/>
  </cacheSource>
  <cacheFields count="22">
    <cacheField name="County Name" numFmtId="49">
      <sharedItems containsBlank="1" count="102">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m/>
        <s v="North Carolina"/>
      </sharedItems>
    </cacheField>
    <cacheField name="LME-MCO Name" numFmtId="0">
      <sharedItems containsBlank="1" count="13">
        <s v="Cardinal Innovations Healthcare Solutions"/>
        <s v="Smoky Mountain Center"/>
        <s v="Sandhills Center"/>
        <s v="East Carolina Behavioral Health"/>
        <s v="Eastpointe"/>
        <s v="CoastalCare"/>
        <s v="Partners Behavioral Health Management"/>
        <s v="Alliance Behavioral Healthcare"/>
        <s v="CenterPoint Human Services"/>
        <m/>
        <s v="North Carolina"/>
        <s v="MeckLINK Behavioral Healthcare" u="1"/>
        <s v="Western Highlands Network" u="1"/>
      </sharedItems>
    </cacheField>
    <cacheField name="Urban vs. Rural" numFmtId="0">
      <sharedItems containsBlank="1"/>
    </cacheField>
    <cacheField name="Total Population" numFmtId="0">
      <sharedItems containsString="0" containsBlank="1" containsNumber="1" containsInteger="1" minValue="4114" maxValue="9956488"/>
    </cacheField>
    <cacheField name="Children _x000a_(Ages 0-2)" numFmtId="0">
      <sharedItems containsString="0" containsBlank="1" containsNumber="1" containsInteger="1" minValue="124" maxValue="356415"/>
    </cacheField>
    <cacheField name="Children _x000a_(Ages 3-17)" numFmtId="0">
      <sharedItems containsString="0" containsBlank="1" containsNumber="1" containsInteger="1" minValue="613" maxValue="1935458"/>
    </cacheField>
    <cacheField name="Adults _x000a_(Age 18)" numFmtId="0">
      <sharedItems containsString="0" containsBlank="1" containsNumber="1" containsInteger="1" minValue="36" maxValue="136224"/>
    </cacheField>
    <cacheField name="Adults _x000a_(Ages 19-20)" numFmtId="0">
      <sharedItems containsString="0" containsBlank="1" containsNumber="1" containsInteger="1" minValue="74" maxValue="295641"/>
    </cacheField>
    <cacheField name="Adults _x000a_(Ages 21-64)" numFmtId="0">
      <sharedItems containsString="0" containsBlank="1" containsNumber="1" containsInteger="1" minValue="2493" maxValue="5776812"/>
    </cacheField>
    <cacheField name="Adults _x000a_(Ages 65+)" numFmtId="0">
      <sharedItems containsString="0" containsBlank="1" containsNumber="1" containsInteger="1" minValue="774" maxValue="1455938"/>
    </cacheField>
    <cacheField name="NonElderly Population (Ages 3-64)" numFmtId="0">
      <sharedItems containsString="0" containsBlank="1" containsNumber="1" containsInteger="1" minValue="3216" maxValue="8144135"/>
    </cacheField>
    <cacheField name="Children UnInsured (Ages 0-18)" numFmtId="165">
      <sharedItems containsMixedTypes="1" containsNumber="1" minValue="6.8000000000000005E-2" maxValue="0.1"/>
    </cacheField>
    <cacheField name="Adults UnInsured (Ages 19-64)" numFmtId="165">
      <sharedItems containsString="0" containsBlank="1" containsNumber="1" minValue="0.17199999999999999" maxValue="0.27100000000000002"/>
    </cacheField>
    <cacheField name="NonElderly UnInsured (Ages 0-64)" numFmtId="165">
      <sharedItems containsString="0" containsBlank="1" containsNumber="1" minValue="0.14699999999999999" maxValue="0.22500000000000001"/>
    </cacheField>
    <cacheField name="Children _x000a_(Ages 0-2)2" numFmtId="0">
      <sharedItems containsString="0" containsBlank="1" containsNumber="1" minValue="11.16" maxValue="29817.624999999996"/>
    </cacheField>
    <cacheField name="Children _x000a_(Ages 3-17)2" numFmtId="0">
      <sharedItems containsString="0" containsBlank="1" containsNumber="1" minValue="55.169999999999995" maxValue="161478.51499999998"/>
    </cacheField>
    <cacheField name="Adults _x000a_(Age 18)2" numFmtId="0">
      <sharedItems containsString="0" containsBlank="1" containsNumber="1" minValue="3.2399999999999998" maxValue="11354.073999999999"/>
    </cacheField>
    <cacheField name="Adults _x000a_(Ages 19-20)2" numFmtId="0">
      <sharedItems containsString="0" containsBlank="1" containsNumber="1" minValue="19.684000000000001" maxValue="62143.639999999985"/>
    </cacheField>
    <cacheField name="Adults _x000a_(Ages 18-20)" numFmtId="0">
      <sharedItems containsString="0" containsBlank="1" containsNumber="1" minValue="22.923999999999999" maxValue="73497.714000000036"/>
    </cacheField>
    <cacheField name="NonElderly  Adults _x000a_(Ages 21-64)" numFmtId="0">
      <sharedItems containsString="0" containsBlank="1" containsNumber="1" minValue="663.13800000000003" maxValue="1207115.3490000002"/>
    </cacheField>
    <cacheField name="NonElderly Adults _x000a_(Ages 18-64)" numFmtId="0">
      <sharedItems containsString="0" containsBlank="1" containsNumber="1" minValue="686.06200000000001" maxValue="1280613.0630000003"/>
    </cacheField>
    <cacheField name="NonElderly UnInsured Population (Ages 3-64)" numFmtId="0">
      <sharedItems containsString="0" containsBlank="1" containsNumber="1" minValue="741.23199999999997" maxValue="1442091.578"/>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Michael Schwartz" refreshedDate="42174.659585416666" createdVersion="5" refreshedVersion="5" minRefreshableVersion="3" recordCount="100">
  <cacheSource type="worksheet">
    <worksheetSource ref="A5:S105" sheet="Uninsured By County SFY2016"/>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8">
        <s v="Cardinal Innovations Healthcare Solutions"/>
        <s v="Smoky Mountain Center"/>
        <s v="Sandhills Center"/>
        <s v="Trillium Health Resources"/>
        <s v="Eastpointe"/>
        <s v="Partners Behavioral Health Management"/>
        <s v="Alliance Behavioral Healthcare"/>
        <s v="CenterPoint Human Services"/>
      </sharedItems>
    </cacheField>
    <cacheField name="Urban vs. Rural" numFmtId="0">
      <sharedItems/>
    </cacheField>
    <cacheField name="Total_x000a_Population" numFmtId="167">
      <sharedItems containsSemiMixedTypes="0" containsString="0" containsNumber="1" containsInteger="1" minValue="4084" maxValue="1032073"/>
    </cacheField>
    <cacheField name="Children _x000a_(Ages 0-2)" numFmtId="167">
      <sharedItems containsSemiMixedTypes="0" containsString="0" containsNumber="1" containsInteger="1" minValue="119" maxValue="41410"/>
    </cacheField>
    <cacheField name="Children _x000a_(Ages 3-17)" numFmtId="167">
      <sharedItems containsSemiMixedTypes="0" containsString="0" containsNumber="1" containsInteger="1" minValue="621" maxValue="210151"/>
    </cacheField>
    <cacheField name="Adults _x000a_(Ages 18-20)" numFmtId="167">
      <sharedItems containsSemiMixedTypes="0" containsString="0" containsNumber="1" containsInteger="1" minValue="94" maxValue="40157"/>
    </cacheField>
    <cacheField name="Adults _x000a_(Ages 21-64)" numFmtId="167">
      <sharedItems containsSemiMixedTypes="0" containsString="0" containsNumber="1" containsInteger="1" minValue="2472" maxValue="638333"/>
    </cacheField>
    <cacheField name="Adults _x000a_(Ages 65+)" numFmtId="167">
      <sharedItems containsSemiMixedTypes="0" containsString="0" containsNumber="1" containsInteger="1" minValue="778" maxValue="107044"/>
    </cacheField>
    <cacheField name="NonElderly Population (Ages 3-64)" numFmtId="167">
      <sharedItems containsSemiMixedTypes="0" containsString="0" containsNumber="1" containsInteger="1" minValue="3187" maxValue="883619"/>
    </cacheField>
    <cacheField name="Children_x000a_UnInsured_x000a_(Ages 0-18)" numFmtId="165">
      <sharedItems containsSemiMixedTypes="0" containsString="0" containsNumber="1" minValue="5.0999999999999997E-2" maxValue="0.125"/>
    </cacheField>
    <cacheField name="Adults_x000a_UnInsured_x000a_(Ages 18-64)" numFmtId="165">
      <sharedItems containsSemiMixedTypes="0" containsString="0" containsNumber="1" minValue="0.18" maxValue="0.33"/>
    </cacheField>
    <cacheField name="NonElderly_x000a_UnInsured_x000a_(Ages 0-64)" numFmtId="165">
      <sharedItems containsSemiMixedTypes="0" containsString="0" containsNumber="1" minValue="0.14400000000000002" maxValue="0.26200000000000001"/>
    </cacheField>
    <cacheField name="Children _x000a_(Ages 0-2)2" numFmtId="37">
      <sharedItems containsSemiMixedTypes="0" containsString="0" containsNumber="1" minValue="12.494999999999999" maxValue="2940.1099999999997"/>
    </cacheField>
    <cacheField name="Children _x000a_(Ages 3-17)2" numFmtId="3">
      <sharedItems containsSemiMixedTypes="0" containsString="0" containsNumber="1" minValue="65.204999999999998" maxValue="14833.674999999999"/>
    </cacheField>
    <cacheField name="Adults _x000a_(Ages 18-20)2" numFmtId="3">
      <sharedItems containsSemiMixedTypes="0" containsString="0" containsNumber="1" minValue="27.729999999999997" maxValue="8363.0300000000007"/>
    </cacheField>
    <cacheField name="NonElderly  Adults _x000a_(Ages 21-64)" numFmtId="3">
      <sharedItems containsSemiMixedTypes="0" containsString="0" containsNumber="1" minValue="729.24" maxValue="146816.59"/>
    </cacheField>
    <cacheField name="NonElderly Adults _x000a_(Ages 18-64)" numFmtId="3">
      <sharedItems containsSemiMixedTypes="0" containsString="0" containsNumber="1" minValue="756.97" maxValue="155179.62"/>
    </cacheField>
    <cacheField name="NonElderly UnInsured Population (Ages 3-64)" numFmtId="3">
      <sharedItems containsSemiMixedTypes="0" containsString="0" containsNumber="1" minValue="780.81499999999994" maxValue="163469.51499999998"/>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Michael Schwartz" refreshedDate="42632.506213194443" createdVersion="5" refreshedVersion="5" minRefreshableVersion="3" recordCount="100">
  <cacheSource type="worksheet">
    <worksheetSource ref="A5:S105" sheet="Uninsured By County SFY2017"/>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9">
        <s v="Cardinal Innovations Healthcare Solutions"/>
        <s v="Vaya Health"/>
        <s v="Sandhills Center"/>
        <s v="Trillium Health Resources"/>
        <s v="Eastpointe"/>
        <s v="Partners Behavioral Health Management"/>
        <s v="Alliance Behavioral Healthcare"/>
        <s v="CenterPoint Human Services" u="1"/>
        <s v="Smoky Mountain Center" u="1"/>
      </sharedItems>
    </cacheField>
    <cacheField name="Urban vs. Rural" numFmtId="0">
      <sharedItems/>
    </cacheField>
    <cacheField name="Total_x000a_Population" numFmtId="167">
      <sharedItems containsSemiMixedTypes="0" containsString="0" containsNumber="1" containsInteger="1" minValue="4141" maxValue="1054561"/>
    </cacheField>
    <cacheField name="Children _x000a_(Ages 0-2)" numFmtId="167">
      <sharedItems containsSemiMixedTypes="0" containsString="0" containsNumber="1" containsInteger="1" minValue="123" maxValue="42441"/>
    </cacheField>
    <cacheField name="Children _x000a_(Ages 3-17)" numFmtId="167">
      <sharedItems containsSemiMixedTypes="0" containsString="0" containsNumber="1" containsInteger="1" minValue="642" maxValue="212675"/>
    </cacheField>
    <cacheField name="Adults _x000a_(Ages 18-20)" numFmtId="167">
      <sharedItems containsSemiMixedTypes="0" containsString="0" containsNumber="1" containsInteger="1" minValue="106" maxValue="41630"/>
    </cacheField>
    <cacheField name="Adults _x000a_(Ages 21-64)" numFmtId="167">
      <sharedItems containsSemiMixedTypes="0" containsString="0" containsNumber="1" containsInteger="1" minValue="2474" maxValue="651596"/>
    </cacheField>
    <cacheField name="Adults _x000a_(Ages 65+)" numFmtId="167">
      <sharedItems containsSemiMixedTypes="0" containsString="0" containsNumber="1" containsInteger="1" minValue="796" maxValue="112229"/>
    </cacheField>
    <cacheField name="NonElderly Population (Ages 3-64)" numFmtId="167">
      <sharedItems containsSemiMixedTypes="0" containsString="0" containsNumber="1" containsInteger="1" minValue="3222" maxValue="899891"/>
    </cacheField>
    <cacheField name="Children_x000a_UnInsured_x000a_(Ages 0-18)" numFmtId="165">
      <sharedItems containsSemiMixedTypes="0" containsString="0" containsNumber="1" minValue="3.9E-2" maxValue="0.10199999999999999"/>
    </cacheField>
    <cacheField name="Adults_x000a_UnInsured_x000a_(Ages 18-64)" numFmtId="165">
      <sharedItems containsSemiMixedTypes="0" containsString="0" containsNumber="1" minValue="0.14400000000000002" maxValue="0.29299999999999998"/>
    </cacheField>
    <cacheField name="NonElderly_x000a_UnInsured_x000a_(Ages 0-64)" numFmtId="165">
      <sharedItems containsSemiMixedTypes="0" containsString="0" containsNumber="1" minValue="0.115" maxValue="0.23199999999999998"/>
    </cacheField>
    <cacheField name="Children _x000a_(Ages 0-2)2" numFmtId="37">
      <sharedItems containsSemiMixedTypes="0" containsString="0" containsNumber="1" minValue="11.968000000000002" maxValue="2206.9320000000002"/>
    </cacheField>
    <cacheField name="Children _x000a_(Ages 3-17)2" numFmtId="3">
      <sharedItems containsSemiMixedTypes="0" containsString="0" containsNumber="1" minValue="63.558" maxValue="11059.1"/>
    </cacheField>
    <cacheField name="Adults _x000a_(Ages 18-20)2" numFmtId="3">
      <sharedItems containsSemiMixedTypes="0" containsString="0" containsNumber="1" minValue="28.726000000000003" maxValue="6807.5479999999998"/>
    </cacheField>
    <cacheField name="NonElderly  Adults _x000a_(Ages 21-64)" numFmtId="3">
      <sharedItems containsSemiMixedTypes="0" containsString="0" containsNumber="1" minValue="670.45400000000006" maxValue="121848.452"/>
    </cacheField>
    <cacheField name="NonElderly Adults _x000a_(Ages 18-64)" numFmtId="3">
      <sharedItems containsSemiMixedTypes="0" containsString="0" containsNumber="1" minValue="699.18000000000006" maxValue="128656"/>
    </cacheField>
    <cacheField name="NonElderly UnInsured Population (Ages 3-64)" numFmtId="3">
      <sharedItems containsSemiMixedTypes="0" containsString="0" containsNumber="1" minValue="728.17200000000003" maxValue="134083.75899999999"/>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Michael Schwartz" refreshedDate="42867.514816898147" createdVersion="4" refreshedVersion="5" minRefreshableVersion="3" recordCount="100">
  <cacheSource type="worksheet">
    <worksheetSource name="LME" sheet="Results By County-Perf Measure" r:id="rId2"/>
  </cacheSource>
  <cacheFields count="19">
    <cacheField name="County Name" numFmtId="49">
      <sharedItems count="100">
        <s v="Alamance"/>
        <s v="Alexander"/>
        <s v="Alleghany"/>
        <s v="Anson"/>
        <s v="Ashe"/>
        <s v="Avery"/>
        <s v="Beaufort"/>
        <s v="Bertie"/>
        <s v="Bladen"/>
        <s v="Brunswick"/>
        <s v="Buncombe"/>
        <s v="Burke"/>
        <s v="Cabarrus"/>
        <s v="Caldwell"/>
        <s v="Camden"/>
        <s v="Carteret"/>
        <s v="Caswell"/>
        <s v="Catawba"/>
        <s v="Chatham"/>
        <s v="Cherokee"/>
        <s v="Chowan"/>
        <s v="Clay"/>
        <s v="Cleveland"/>
        <s v="Columbus"/>
        <s v="Craven"/>
        <s v="Cumberland"/>
        <s v="Currituck"/>
        <s v="Dare"/>
        <s v="Davidson"/>
        <s v="Davie"/>
        <s v="Duplin"/>
        <s v="Durham"/>
        <s v="Edgecombe"/>
        <s v="Forsyth"/>
        <s v="Franklin"/>
        <s v="Gaston"/>
        <s v="Gates"/>
        <s v="Graham"/>
        <s v="Granville"/>
        <s v="Greene"/>
        <s v="Guilford"/>
        <s v="Halifax"/>
        <s v="Harnett"/>
        <s v="Haywood"/>
        <s v="Henderson"/>
        <s v="Hertford"/>
        <s v="Hoke"/>
        <s v="Hyde"/>
        <s v="Iredell"/>
        <s v="Jackson"/>
        <s v="Johnston"/>
        <s v="Jones"/>
        <s v="Lee"/>
        <s v="Lenoir"/>
        <s v="Lincoln"/>
        <s v="Macon"/>
        <s v="Madison"/>
        <s v="Martin"/>
        <s v="McDowell"/>
        <s v="Mecklenburg"/>
        <s v="Mitchell"/>
        <s v="Montgomery"/>
        <s v="Moore"/>
        <s v="Nash"/>
        <s v="New Hanover"/>
        <s v="Northampton"/>
        <s v="Onslow"/>
        <s v="Orange"/>
        <s v="Pamlico"/>
        <s v="Pasquotank"/>
        <s v="Pender"/>
        <s v="Perquimans"/>
        <s v="Person"/>
        <s v="Pitt"/>
        <s v="Polk"/>
        <s v="Randolph"/>
        <s v="Richmond"/>
        <s v="Robeson"/>
        <s v="Rockingham"/>
        <s v="Rowan"/>
        <s v="Rutherford"/>
        <s v="Sampson"/>
        <s v="Scotland"/>
        <s v="Stanly"/>
        <s v="Stokes"/>
        <s v="Surry"/>
        <s v="Swain"/>
        <s v="Transylvania"/>
        <s v="Tyrrell"/>
        <s v="Union"/>
        <s v="Vance"/>
        <s v="Wake"/>
        <s v="Warren"/>
        <s v="Washington"/>
        <s v="Watauga"/>
        <s v="Wayne"/>
        <s v="Wilkes"/>
        <s v="Wilson"/>
        <s v="Yadkin"/>
        <s v="Yancey"/>
      </sharedItems>
    </cacheField>
    <cacheField name="LME-MCO Name" numFmtId="0">
      <sharedItems count="9">
        <s v="Cardinal Innovations Healthcare Solutions"/>
        <s v="Vaya Health"/>
        <s v="Sandhills Center"/>
        <s v="Trillium Health Resources"/>
        <s v="Eastpointe"/>
        <s v="Partners Behavioral Health Management"/>
        <s v="Alliance Behavioral Healthcare"/>
        <s v="CenterPoint Human Services" u="1"/>
        <s v="Smoky Mountain Center" u="1"/>
      </sharedItems>
    </cacheField>
    <cacheField name="Urban vs. Rural" numFmtId="0">
      <sharedItems/>
    </cacheField>
    <cacheField name="Total_x000a_Population" numFmtId="164">
      <sharedItems containsSemiMixedTypes="0" containsString="0" containsNumber="1" containsInteger="1" minValue="4215" maxValue="1077874"/>
    </cacheField>
    <cacheField name="Children _x000a_(Ages 0-2)" numFmtId="164">
      <sharedItems containsSemiMixedTypes="0" containsString="0" containsNumber="1" containsInteger="1" minValue="126" maxValue="44533"/>
    </cacheField>
    <cacheField name="Children _x000a_(Ages 3-17)" numFmtId="164">
      <sharedItems containsSemiMixedTypes="0" containsString="0" containsNumber="1" containsInteger="1" minValue="653" maxValue="214991"/>
    </cacheField>
    <cacheField name="Adults _x000a_(Ages 18-20)" numFmtId="164">
      <sharedItems containsSemiMixedTypes="0" containsString="0" containsNumber="1" containsInteger="1" minValue="112" maxValue="43308"/>
    </cacheField>
    <cacheField name="Adults _x000a_(Ages 21-64)" numFmtId="164">
      <sharedItems containsSemiMixedTypes="0" containsString="0" containsNumber="1" containsInteger="1" minValue="2503" maxValue="663223"/>
    </cacheField>
    <cacheField name="Adults _x000a_(Ages 65+)" numFmtId="164">
      <sharedItems containsSemiMixedTypes="0" containsString="0" containsNumber="1" containsInteger="1" minValue="821" maxValue="117793"/>
    </cacheField>
    <cacheField name="NonElderly Population (Ages 3-64)" numFmtId="164">
      <sharedItems containsSemiMixedTypes="0" containsString="0" containsNumber="1" containsInteger="1" minValue="3268" maxValue="915548"/>
    </cacheField>
    <cacheField name="Children_x000a_UnInsured_x000a_(Ages 0-18)" numFmtId="165">
      <sharedItems containsSemiMixedTypes="0" containsString="0" containsNumber="1" minValue="0.03" maxValue="8.6999999999999994E-2"/>
    </cacheField>
    <cacheField name="Adults_x000a_UnInsured_x000a_(Ages 18-64)" numFmtId="165">
      <sharedItems containsSemiMixedTypes="0" containsString="0" containsNumber="1" minValue="0.122" maxValue="0.27399999999999997"/>
    </cacheField>
    <cacheField name="NonElderly_x000a_UnInsured_x000a_(Ages 0-64)" numFmtId="165">
      <sharedItems containsSemiMixedTypes="0" containsString="0" containsNumber="1" minValue="9.6999999999999989E-2" maxValue="0.214"/>
    </cacheField>
    <cacheField name="Children _x000a_(Ages 0-2)2" numFmtId="37">
      <sharedItems containsSemiMixedTypes="0" containsString="0" containsNumber="1" minValue="7.0559999999999992" maxValue="1914.9189999999999"/>
    </cacheField>
    <cacheField name="Children _x000a_(Ages 3-17)2" numFmtId="3">
      <sharedItems containsSemiMixedTypes="0" containsString="0" containsNumber="1" minValue="36.567999999999998" maxValue="9221.1349999999984"/>
    </cacheField>
    <cacheField name="Adults _x000a_(Ages 18-20)2" numFmtId="3">
      <sharedItems containsSemiMixedTypes="0" containsString="0" containsNumber="1" minValue="18.256" maxValue="7622.2080000000005"/>
    </cacheField>
    <cacheField name="NonElderly  Adults _x000a_(Ages 21-64)" numFmtId="3">
      <sharedItems containsSemiMixedTypes="0" containsString="0" containsNumber="1" minValue="407.98900000000003" maxValue="112282.36800000002"/>
    </cacheField>
    <cacheField name="NonElderly Adults _x000a_(Ages 18-64)" numFmtId="3">
      <sharedItems containsSemiMixedTypes="0" containsString="0" containsNumber="1" minValue="426.245" maxValue="119904.57600000002"/>
    </cacheField>
    <cacheField name="NonElderly UnInsured Population (Ages 3-64)" numFmtId="3">
      <sharedItems containsSemiMixedTypes="0" containsString="0" containsNumber="1" minValue="447.71599999999995" maxValue="122788.57899999998"/>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2">
  <r>
    <x v="0"/>
    <x v="0"/>
    <s v="Urban"/>
    <n v="154151"/>
    <n v="5331"/>
    <n v="29904"/>
    <n v="2392"/>
    <n v="5438"/>
    <n v="87069"/>
    <n v="24017"/>
    <n v="124803"/>
    <n v="8.7999999999999995E-2"/>
    <n v="0.21299999999999999"/>
    <n v="0.17599999999999999"/>
    <n v="469.12799999999999"/>
    <n v="2631.5519999999997"/>
    <n v="210.49599999999998"/>
    <n v="1158.2939999999999"/>
    <n v="1368.79"/>
    <n v="18545.697"/>
    <n v="19914.487000000001"/>
    <n v="22546.039000000001"/>
  </r>
  <r>
    <x v="1"/>
    <x v="1"/>
    <s v="Rural"/>
    <n v="37209"/>
    <n v="1087"/>
    <n v="6852"/>
    <n v="465"/>
    <n v="878"/>
    <n v="21538"/>
    <n v="6389"/>
    <n v="29733"/>
    <n v="7.5999999999999998E-2"/>
    <n v="0.19500000000000001"/>
    <n v="0.16200000000000001"/>
    <n v="82.611999999999995"/>
    <n v="520.75199999999995"/>
    <n v="35.339999999999996"/>
    <n v="171.21"/>
    <n v="206.55"/>
    <n v="4199.91"/>
    <n v="4406.46"/>
    <n v="4927.2119999999995"/>
  </r>
  <r>
    <x v="2"/>
    <x v="1"/>
    <s v="Rural"/>
    <n v="10874"/>
    <n v="260"/>
    <n v="1775"/>
    <n v="132"/>
    <n v="260"/>
    <n v="5918"/>
    <n v="2529"/>
    <n v="8085"/>
    <n v="8.6999999999999994E-2"/>
    <n v="0.216"/>
    <n v="0.182"/>
    <n v="22.619999999999997"/>
    <n v="154.42499999999998"/>
    <n v="11.484"/>
    <n v="56.16"/>
    <n v="67.643999999999991"/>
    <n v="1278.288"/>
    <n v="1345.932"/>
    <n v="1500.357"/>
  </r>
  <r>
    <x v="3"/>
    <x v="2"/>
    <s v="Rural"/>
    <n v="26635"/>
    <n v="803"/>
    <n v="4770"/>
    <n v="340"/>
    <n v="764"/>
    <n v="15836"/>
    <n v="4122"/>
    <n v="21710"/>
    <n v="8.5000000000000006E-2"/>
    <n v="0.23100000000000001"/>
    <n v="0.192"/>
    <n v="68.25500000000001"/>
    <n v="405.45000000000005"/>
    <n v="28.900000000000002"/>
    <n v="176.48400000000001"/>
    <n v="205.38400000000001"/>
    <n v="3658.116"/>
    <n v="3863.5"/>
    <n v="4268.95"/>
  </r>
  <r>
    <x v="4"/>
    <x v="1"/>
    <s v="Rural"/>
    <n v="27468"/>
    <n v="758"/>
    <n v="4489"/>
    <n v="279"/>
    <n v="553"/>
    <n v="15281"/>
    <n v="6108"/>
    <n v="20602"/>
    <n v="7.5999999999999998E-2"/>
    <n v="0.19700000000000001"/>
    <n v="0.16700000000000001"/>
    <n v="57.607999999999997"/>
    <n v="341.16399999999999"/>
    <n v="21.204000000000001"/>
    <n v="108.941"/>
    <n v="130.14500000000001"/>
    <n v="3010.357"/>
    <n v="3140.502"/>
    <n v="3481.6660000000002"/>
  </r>
  <r>
    <x v="5"/>
    <x v="1"/>
    <s v="Rural"/>
    <n v="17842"/>
    <n v="442"/>
    <n v="2459"/>
    <n v="196"/>
    <n v="451"/>
    <n v="10853"/>
    <n v="3441"/>
    <n v="13959"/>
    <n v="8.2000000000000003E-2"/>
    <n v="0.21099999999999999"/>
    <n v="0.182"/>
    <n v="36.244"/>
    <n v="201.63800000000001"/>
    <n v="16.071999999999999"/>
    <n v="95.161000000000001"/>
    <n v="111.233"/>
    <n v="2289.9829999999997"/>
    <n v="2401.2159999999999"/>
    <n v="2602.8539999999998"/>
  </r>
  <r>
    <x v="6"/>
    <x v="3"/>
    <s v="Rural"/>
    <n v="48010"/>
    <n v="1548"/>
    <n v="8751"/>
    <n v="554"/>
    <n v="1036"/>
    <n v="26140"/>
    <n v="9981"/>
    <n v="36481"/>
    <n v="8.5000000000000006E-2"/>
    <n v="0.20300000000000001"/>
    <n v="0.17"/>
    <n v="131.58000000000001"/>
    <n v="743.83500000000004"/>
    <n v="47.09"/>
    <n v="210.30800000000002"/>
    <n v="257.39800000000002"/>
    <n v="5306.42"/>
    <n v="5563.8180000000002"/>
    <n v="6307.6530000000002"/>
  </r>
  <r>
    <x v="7"/>
    <x v="3"/>
    <s v="Rural"/>
    <n v="20450"/>
    <n v="586"/>
    <n v="3508"/>
    <n v="215"/>
    <n v="419"/>
    <n v="12042"/>
    <n v="3680"/>
    <n v="16184"/>
    <n v="8.6999999999999994E-2"/>
    <n v="0.248"/>
    <n v="0.20599999999999999"/>
    <n v="50.981999999999999"/>
    <n v="305.19599999999997"/>
    <n v="18.704999999999998"/>
    <n v="103.91200000000001"/>
    <n v="122.617"/>
    <n v="2986.4160000000002"/>
    <n v="3109.0330000000004"/>
    <n v="3414.2290000000003"/>
  </r>
  <r>
    <x v="8"/>
    <x v="4"/>
    <s v="Rural"/>
    <n v="35226"/>
    <n v="1078"/>
    <n v="6648"/>
    <n v="455"/>
    <n v="906"/>
    <n v="19979"/>
    <n v="6160"/>
    <n v="27988"/>
    <n v="8.5999999999999993E-2"/>
    <n v="0.21199999999999999"/>
    <n v="0.17699999999999999"/>
    <n v="92.707999999999998"/>
    <n v="571.72799999999995"/>
    <n v="39.129999999999995"/>
    <n v="192.072"/>
    <n v="231.202"/>
    <n v="4235.5479999999998"/>
    <n v="4466.75"/>
    <n v="5038.4780000000001"/>
  </r>
  <r>
    <x v="9"/>
    <x v="5"/>
    <s v="Rural"/>
    <n v="114882"/>
    <n v="3187"/>
    <n v="17605"/>
    <n v="1018"/>
    <n v="2076"/>
    <n v="61680"/>
    <n v="29316"/>
    <n v="82379"/>
    <n v="7.8E-2"/>
    <n v="0.2"/>
    <n v="0.17"/>
    <n v="248.58600000000001"/>
    <n v="1373.19"/>
    <n v="79.403999999999996"/>
    <n v="415.20000000000005"/>
    <n v="494.60400000000004"/>
    <n v="12336"/>
    <n v="12830.603999999999"/>
    <n v="14203.794"/>
  </r>
  <r>
    <x v="10"/>
    <x v="1"/>
    <s v="Urban"/>
    <n v="248578"/>
    <n v="7837"/>
    <n v="41423"/>
    <n v="2884"/>
    <n v="5859"/>
    <n v="147277"/>
    <n v="43298"/>
    <n v="197443"/>
    <n v="7.6999999999999999E-2"/>
    <n v="0.185"/>
    <n v="0.158"/>
    <n v="603.44899999999996"/>
    <n v="3189.5709999999999"/>
    <n v="222.06799999999998"/>
    <n v="1083.915"/>
    <n v="1305.9829999999999"/>
    <n v="27246.244999999999"/>
    <n v="28552.227999999999"/>
    <n v="31741.798999999999"/>
  </r>
  <r>
    <x v="11"/>
    <x v="6"/>
    <s v="Rural"/>
    <n v="89604"/>
    <n v="2609"/>
    <n v="16406"/>
    <n v="1702"/>
    <n v="2811"/>
    <n v="50316"/>
    <n v="15760"/>
    <n v="71235"/>
    <n v="0.08"/>
    <n v="0.187"/>
    <n v="0.156"/>
    <n v="208.72"/>
    <n v="1312.48"/>
    <n v="136.16"/>
    <n v="525.65700000000004"/>
    <n v="661.81700000000001"/>
    <n v="9409.0920000000006"/>
    <n v="10070.909"/>
    <n v="11383.388999999999"/>
  </r>
  <r>
    <x v="12"/>
    <x v="0"/>
    <s v="Urban"/>
    <n v="186531"/>
    <n v="7146"/>
    <n v="41700"/>
    <n v="2533"/>
    <n v="5009"/>
    <n v="107427"/>
    <n v="22716"/>
    <n v="156669"/>
    <n v="8.1000000000000003E-2"/>
    <n v="0.20899999999999999"/>
    <n v="0.16800000000000001"/>
    <n v="578.82600000000002"/>
    <n v="3377.7000000000003"/>
    <n v="205.173"/>
    <n v="1046.8809999999999"/>
    <n v="1252.0539999999999"/>
    <n v="22452.242999999999"/>
    <n v="23704.296999999999"/>
    <n v="27081.996999999999"/>
  </r>
  <r>
    <x v="13"/>
    <x v="1"/>
    <s v="Rural"/>
    <n v="82362"/>
    <n v="2395"/>
    <n v="15188"/>
    <n v="1099"/>
    <n v="2348"/>
    <n v="47273"/>
    <n v="14059"/>
    <n v="65908"/>
    <n v="7.6999999999999999E-2"/>
    <n v="0.186"/>
    <n v="0.156"/>
    <n v="184.41499999999999"/>
    <n v="1169.4759999999999"/>
    <n v="84.623000000000005"/>
    <n v="436.72800000000001"/>
    <n v="521.351"/>
    <n v="8792.7780000000002"/>
    <n v="9314.1290000000008"/>
    <n v="10483.605000000001"/>
  </r>
  <r>
    <x v="14"/>
    <x v="3"/>
    <s v="Rural"/>
    <n v="9802"/>
    <n v="239"/>
    <n v="1944"/>
    <n v="141"/>
    <n v="251"/>
    <n v="5766"/>
    <n v="1461"/>
    <n v="8102"/>
    <n v="6.8000000000000005E-2"/>
    <n v="0.19500000000000001"/>
    <n v="0.156"/>
    <n v="16.252000000000002"/>
    <n v="132.19200000000001"/>
    <n v="9.588000000000001"/>
    <n v="48.945"/>
    <n v="58.533000000000001"/>
    <n v="1124.3700000000001"/>
    <n v="1182.903"/>
    <n v="1315.095"/>
  </r>
  <r>
    <x v="15"/>
    <x v="5"/>
    <s v="Rural"/>
    <n v="69138"/>
    <n v="1865"/>
    <n v="10642"/>
    <n v="790"/>
    <n v="1501"/>
    <n v="39709"/>
    <n v="14631"/>
    <n v="52642"/>
    <n v="7.3999999999999996E-2"/>
    <n v="0.188"/>
    <n v="0.161"/>
    <n v="138.01"/>
    <n v="787.50799999999992"/>
    <n v="58.459999999999994"/>
    <n v="282.18799999999999"/>
    <n v="340.64799999999997"/>
    <n v="7465.2920000000004"/>
    <n v="7805.9400000000005"/>
    <n v="8593.4480000000003"/>
  </r>
  <r>
    <x v="16"/>
    <x v="0"/>
    <s v="Rural"/>
    <n v="23582"/>
    <n v="600"/>
    <n v="3906"/>
    <n v="257"/>
    <n v="558"/>
    <n v="14064"/>
    <n v="4197"/>
    <n v="18785"/>
    <n v="8.1000000000000003E-2"/>
    <n v="0.23200000000000001"/>
    <n v="0.19400000000000001"/>
    <n v="48.6"/>
    <n v="316.38600000000002"/>
    <n v="20.817"/>
    <n v="129.45600000000002"/>
    <n v="150.27300000000002"/>
    <n v="3262.848"/>
    <n v="3413.1210000000001"/>
    <n v="3729.5070000000001"/>
  </r>
  <r>
    <x v="17"/>
    <x v="6"/>
    <s v="Urban"/>
    <n v="156287"/>
    <n v="5438"/>
    <n v="30614"/>
    <n v="2126"/>
    <n v="4264"/>
    <n v="89481"/>
    <n v="24364"/>
    <n v="126485"/>
    <n v="7.9000000000000001E-2"/>
    <n v="0.17499999999999999"/>
    <n v="0.14699999999999999"/>
    <n v="429.60200000000003"/>
    <n v="2418.5059999999999"/>
    <n v="167.95400000000001"/>
    <n v="746.19999999999993"/>
    <n v="914.154"/>
    <n v="15659.174999999999"/>
    <n v="16573.328999999998"/>
    <n v="18991.834999999999"/>
  </r>
  <r>
    <x v="18"/>
    <x v="0"/>
    <s v="Rural"/>
    <n v="67857"/>
    <n v="1960"/>
    <n v="12024"/>
    <n v="721"/>
    <n v="1340"/>
    <n v="37438"/>
    <n v="14374"/>
    <n v="51523"/>
    <n v="8.8999999999999996E-2"/>
    <n v="0.22500000000000001"/>
    <n v="0.188"/>
    <n v="174.44"/>
    <n v="1070.136"/>
    <n v="64.168999999999997"/>
    <n v="301.5"/>
    <n v="365.66899999999998"/>
    <n v="8423.5500000000011"/>
    <n v="8789.219000000001"/>
    <n v="9859.3550000000014"/>
  </r>
  <r>
    <x v="19"/>
    <x v="1"/>
    <s v="Rural"/>
    <n v="26907"/>
    <n v="578"/>
    <n v="4311"/>
    <n v="301"/>
    <n v="543"/>
    <n v="14192"/>
    <n v="6982"/>
    <n v="19347"/>
    <n v="7.9000000000000001E-2"/>
    <n v="0.17199999999999999"/>
    <n v="0.14799999999999999"/>
    <n v="45.661999999999999"/>
    <n v="340.56900000000002"/>
    <n v="23.779"/>
    <n v="93.395999999999987"/>
    <n v="117.17499999999998"/>
    <n v="2441.0239999999999"/>
    <n v="2558.1990000000001"/>
    <n v="2898.768"/>
  </r>
  <r>
    <x v="20"/>
    <x v="3"/>
    <s v="Rural"/>
    <n v="14761"/>
    <n v="480"/>
    <n v="2699"/>
    <n v="206"/>
    <n v="323"/>
    <n v="7913"/>
    <n v="3140"/>
    <n v="11141"/>
    <n v="8.2000000000000003E-2"/>
    <n v="0.20599999999999999"/>
    <n v="0.17"/>
    <n v="39.36"/>
    <n v="221.31800000000001"/>
    <n v="16.891999999999999"/>
    <n v="66.537999999999997"/>
    <n v="83.429999999999993"/>
    <n v="1630.078"/>
    <n v="1713.508"/>
    <n v="1934.826"/>
  </r>
  <r>
    <x v="21"/>
    <x v="1"/>
    <s v="Rural"/>
    <n v="10559"/>
    <n v="192"/>
    <n v="1649"/>
    <n v="103"/>
    <n v="202"/>
    <n v="5540"/>
    <n v="2873"/>
    <n v="7494"/>
    <n v="7.5999999999999998E-2"/>
    <n v="0.187"/>
    <n v="0.16"/>
    <n v="14.591999999999999"/>
    <n v="125.324"/>
    <n v="7.8279999999999994"/>
    <n v="37.774000000000001"/>
    <n v="45.602000000000004"/>
    <n v="1035.98"/>
    <n v="1081.5820000000001"/>
    <n v="1206.9060000000002"/>
  </r>
  <r>
    <x v="22"/>
    <x v="6"/>
    <s v="Rural"/>
    <n v="97280"/>
    <n v="3237"/>
    <n v="18607"/>
    <n v="1461"/>
    <n v="3026"/>
    <n v="54887"/>
    <n v="16062"/>
    <n v="77981"/>
    <n v="7.9000000000000001E-2"/>
    <n v="0.193"/>
    <n v="0.16"/>
    <n v="255.72300000000001"/>
    <n v="1469.953"/>
    <n v="115.419"/>
    <n v="584.01800000000003"/>
    <n v="699.43700000000001"/>
    <n v="10593.191000000001"/>
    <n v="11292.628000000001"/>
    <n v="12762.581"/>
  </r>
  <r>
    <x v="23"/>
    <x v="4"/>
    <s v="Rural"/>
    <n v="57846"/>
    <n v="1874"/>
    <n v="11035"/>
    <n v="825"/>
    <n v="1439"/>
    <n v="32914"/>
    <n v="9759"/>
    <n v="46213"/>
    <n v="8.5000000000000006E-2"/>
    <n v="0.222"/>
    <n v="0.183"/>
    <n v="159.29000000000002"/>
    <n v="937.97500000000002"/>
    <n v="70.125"/>
    <n v="319.45800000000003"/>
    <n v="389.58300000000003"/>
    <n v="7306.9080000000004"/>
    <n v="7696.491"/>
    <n v="8634.4660000000003"/>
  </r>
  <r>
    <x v="24"/>
    <x v="3"/>
    <s v="Rural"/>
    <n v="105373"/>
    <n v="4964"/>
    <n v="20610"/>
    <n v="1281"/>
    <n v="3518"/>
    <n v="57921"/>
    <n v="17079"/>
    <n v="83330"/>
    <n v="0.08"/>
    <n v="0.20200000000000001"/>
    <n v="0.16600000000000001"/>
    <n v="397.12"/>
    <n v="1648.8"/>
    <n v="102.48"/>
    <n v="710.63600000000008"/>
    <n v="813.1160000000001"/>
    <n v="11700.042000000001"/>
    <n v="12513.158000000001"/>
    <n v="14161.958000000001"/>
  </r>
  <r>
    <x v="25"/>
    <x v="7"/>
    <s v="Urban"/>
    <n v="334126"/>
    <n v="17307"/>
    <n v="72310"/>
    <n v="4499"/>
    <n v="11488"/>
    <n v="193622"/>
    <n v="34900"/>
    <n v="281919"/>
    <n v="8.5999999999999993E-2"/>
    <n v="0.22800000000000001"/>
    <n v="0.184"/>
    <n v="1488.4019999999998"/>
    <n v="6218.66"/>
    <n v="386.91399999999999"/>
    <n v="2619.2640000000001"/>
    <n v="3006.1779999999999"/>
    <n v="44145.815999999999"/>
    <n v="47151.993999999999"/>
    <n v="53370.653999999995"/>
  </r>
  <r>
    <x v="26"/>
    <x v="3"/>
    <s v="Rural"/>
    <n v="23550"/>
    <n v="580"/>
    <n v="4452"/>
    <n v="332"/>
    <n v="594"/>
    <n v="14112"/>
    <n v="3480"/>
    <n v="19490"/>
    <n v="7.0000000000000007E-2"/>
    <n v="0.19800000000000001"/>
    <n v="0.16200000000000001"/>
    <n v="40.6"/>
    <n v="311.64000000000004"/>
    <n v="23.240000000000002"/>
    <n v="117.61200000000001"/>
    <n v="140.852"/>
    <n v="2794.1759999999999"/>
    <n v="2935.0279999999998"/>
    <n v="3246.6679999999997"/>
  </r>
  <r>
    <x v="27"/>
    <x v="3"/>
    <s v="Rural"/>
    <n v="35330"/>
    <n v="1131"/>
    <n v="5754"/>
    <n v="322"/>
    <n v="610"/>
    <n v="21296"/>
    <n v="6217"/>
    <n v="27982"/>
    <n v="7.8E-2"/>
    <n v="0.182"/>
    <n v="0.157"/>
    <n v="88.218000000000004"/>
    <n v="448.81200000000001"/>
    <n v="25.116"/>
    <n v="111.02"/>
    <n v="136.136"/>
    <n v="3875.8719999999998"/>
    <n v="4012.0079999999998"/>
    <n v="4460.82"/>
  </r>
  <r>
    <x v="28"/>
    <x v="0"/>
    <s v="Urban"/>
    <n v="164232"/>
    <n v="5240"/>
    <n v="32230"/>
    <n v="1962"/>
    <n v="3937"/>
    <n v="94775"/>
    <n v="26088"/>
    <n v="132904"/>
    <n v="7.8E-2"/>
    <n v="0.20499999999999999"/>
    <n v="0.16900000000000001"/>
    <n v="408.72"/>
    <n v="2513.94"/>
    <n v="153.036"/>
    <n v="807.08499999999992"/>
    <n v="960.12099999999987"/>
    <n v="19428.875"/>
    <n v="20388.995999999999"/>
    <n v="22902.935999999998"/>
  </r>
  <r>
    <x v="29"/>
    <x v="8"/>
    <s v="Rural"/>
    <n v="41453"/>
    <n v="1212"/>
    <n v="7889"/>
    <n v="598"/>
    <n v="923"/>
    <n v="23280"/>
    <n v="7551"/>
    <n v="32690"/>
    <n v="7.5999999999999998E-2"/>
    <n v="0.19800000000000001"/>
    <n v="0.16300000000000001"/>
    <n v="92.111999999999995"/>
    <n v="599.56399999999996"/>
    <n v="45.448"/>
    <n v="182.75400000000002"/>
    <n v="228.20200000000003"/>
    <n v="4609.4400000000005"/>
    <n v="4837.6420000000007"/>
    <n v="5437.206000000001"/>
  </r>
  <r>
    <x v="30"/>
    <x v="4"/>
    <s v="Rural"/>
    <n v="60760"/>
    <n v="2338"/>
    <n v="12680"/>
    <n v="775"/>
    <n v="1556"/>
    <n v="33788"/>
    <n v="9623"/>
    <n v="48799"/>
    <n v="0.1"/>
    <n v="0.26700000000000002"/>
    <n v="0.216"/>
    <n v="233.8"/>
    <n v="1268"/>
    <n v="77.5"/>
    <n v="415.452"/>
    <n v="492.952"/>
    <n v="9021.3960000000006"/>
    <n v="9514.348"/>
    <n v="10782.348"/>
  </r>
  <r>
    <x v="31"/>
    <x v="7"/>
    <s v="Urban"/>
    <n v="289042"/>
    <n v="13077"/>
    <n v="52749"/>
    <n v="4022"/>
    <n v="10179"/>
    <n v="178192"/>
    <n v="30823"/>
    <n v="245142"/>
    <n v="9.0999999999999998E-2"/>
    <n v="0.215"/>
    <n v="0.18099999999999999"/>
    <n v="1190.0070000000001"/>
    <n v="4800.1589999999997"/>
    <n v="366.00200000000001"/>
    <n v="2188.4850000000001"/>
    <n v="2554.4870000000001"/>
    <n v="38311.279999999999"/>
    <n v="40865.767"/>
    <n v="45665.925999999999"/>
  </r>
  <r>
    <x v="32"/>
    <x v="4"/>
    <s v="Rural"/>
    <n v="55840"/>
    <n v="2029"/>
    <n v="11150"/>
    <n v="819"/>
    <n v="1589"/>
    <n v="31312"/>
    <n v="8941"/>
    <n v="44870"/>
    <n v="8.7999999999999995E-2"/>
    <n v="0.222"/>
    <n v="0.182"/>
    <n v="178.55199999999999"/>
    <n v="981.19999999999993"/>
    <n v="72.072000000000003"/>
    <n v="352.75799999999998"/>
    <n v="424.83"/>
    <n v="6951.2640000000001"/>
    <n v="7376.0940000000001"/>
    <n v="8357.2939999999999"/>
  </r>
  <r>
    <x v="33"/>
    <x v="8"/>
    <s v="Urban"/>
    <n v="361710"/>
    <n v="14048"/>
    <n v="72642"/>
    <n v="4680"/>
    <n v="9926"/>
    <n v="209721"/>
    <n v="50693"/>
    <n v="296969"/>
    <n v="8.8999999999999996E-2"/>
    <n v="0.20300000000000001"/>
    <n v="0.16900000000000001"/>
    <n v="1250.2719999999999"/>
    <n v="6465.1379999999999"/>
    <n v="416.52"/>
    <n v="2014.9780000000001"/>
    <n v="2431.498"/>
    <n v="42573.363000000005"/>
    <n v="45004.861000000004"/>
    <n v="51469.999000000003"/>
  </r>
  <r>
    <x v="34"/>
    <x v="0"/>
    <s v="Rural"/>
    <n v="62346"/>
    <n v="2052"/>
    <n v="12569"/>
    <n v="833"/>
    <n v="1544"/>
    <n v="36415"/>
    <n v="8933"/>
    <n v="51361"/>
    <n v="8.4000000000000005E-2"/>
    <n v="0.23"/>
    <n v="0.187"/>
    <n v="172.36800000000002"/>
    <n v="1055.796"/>
    <n v="69.972000000000008"/>
    <n v="355.12"/>
    <n v="425.09199999999998"/>
    <n v="8375.4500000000007"/>
    <n v="8800.5420000000013"/>
    <n v="9856.3380000000016"/>
  </r>
  <r>
    <x v="35"/>
    <x v="6"/>
    <s v="Urban"/>
    <n v="209652"/>
    <n v="7657"/>
    <n v="41169"/>
    <n v="2810"/>
    <n v="5589"/>
    <n v="122146"/>
    <n v="30281"/>
    <n v="171714"/>
    <n v="0.08"/>
    <n v="0.20300000000000001"/>
    <n v="0.16800000000000001"/>
    <n v="612.56000000000006"/>
    <n v="3293.52"/>
    <n v="224.8"/>
    <n v="1134.567"/>
    <n v="1359.367"/>
    <n v="24795.638000000003"/>
    <n v="26155.005000000001"/>
    <n v="29448.525000000001"/>
  </r>
  <r>
    <x v="36"/>
    <x v="3"/>
    <s v="Rural"/>
    <n v="11569"/>
    <n v="252"/>
    <n v="2111"/>
    <n v="162"/>
    <n v="391"/>
    <n v="6663"/>
    <n v="1990"/>
    <n v="9327"/>
    <n v="7.6999999999999999E-2"/>
    <n v="0.22800000000000001"/>
    <n v="0.185"/>
    <n v="19.404"/>
    <n v="162.547"/>
    <n v="12.474"/>
    <n v="89.147999999999996"/>
    <n v="101.622"/>
    <n v="1519.164"/>
    <n v="1620.7860000000001"/>
    <n v="1783.3330000000001"/>
  </r>
  <r>
    <x v="37"/>
    <x v="1"/>
    <s v="Rural"/>
    <n v="8994"/>
    <n v="282"/>
    <n v="1616"/>
    <n v="110"/>
    <n v="209"/>
    <n v="4825"/>
    <n v="1952"/>
    <n v="6760"/>
    <n v="7.9000000000000001E-2"/>
    <n v="0.20399999999999999"/>
    <n v="0.16900000000000001"/>
    <n v="22.277999999999999"/>
    <n v="127.664"/>
    <n v="8.69"/>
    <n v="42.635999999999996"/>
    <n v="51.325999999999993"/>
    <n v="984.3"/>
    <n v="1035.626"/>
    <n v="1163.29"/>
  </r>
  <r>
    <x v="38"/>
    <x v="0"/>
    <s v="Rural"/>
    <n v="56845"/>
    <n v="1708"/>
    <n v="10303"/>
    <n v="699"/>
    <n v="1973"/>
    <n v="34094"/>
    <n v="8068"/>
    <n v="47069"/>
    <n v="8.4000000000000005E-2"/>
    <n v="0.20499999999999999"/>
    <n v="0.17299999999999999"/>
    <n v="143.47200000000001"/>
    <n v="865.452"/>
    <n v="58.716000000000001"/>
    <n v="404.46499999999997"/>
    <n v="463.18099999999998"/>
    <n v="6989.2699999999995"/>
    <n v="7452.4509999999991"/>
    <n v="8317.9029999999984"/>
  </r>
  <r>
    <x v="39"/>
    <x v="4"/>
    <s v="Rural"/>
    <n v="21296"/>
    <n v="679"/>
    <n v="4133"/>
    <n v="235"/>
    <n v="490"/>
    <n v="12812"/>
    <n v="2947"/>
    <n v="17670"/>
    <n v="9.7000000000000003E-2"/>
    <n v="0.27"/>
    <n v="0.223"/>
    <n v="65.863"/>
    <n v="400.90100000000001"/>
    <n v="22.795000000000002"/>
    <n v="132.30000000000001"/>
    <n v="155.09500000000003"/>
    <n v="3459.2400000000002"/>
    <n v="3614.335"/>
    <n v="4015.2359999999999"/>
  </r>
  <r>
    <x v="40"/>
    <x v="2"/>
    <s v="Urban"/>
    <n v="509388"/>
    <n v="18417"/>
    <n v="97026"/>
    <n v="8287"/>
    <n v="18972"/>
    <n v="298563"/>
    <n v="68123"/>
    <n v="422848"/>
    <n v="8.5000000000000006E-2"/>
    <n v="0.20300000000000001"/>
    <n v="0.16900000000000001"/>
    <n v="1565.4450000000002"/>
    <n v="8247.2100000000009"/>
    <n v="704.3950000000001"/>
    <n v="3851.3160000000003"/>
    <n v="4555.7110000000002"/>
    <n v="60608.289000000004"/>
    <n v="65164.000000000007"/>
    <n v="73411.210000000006"/>
  </r>
  <r>
    <x v="41"/>
    <x v="0"/>
    <s v="Rural"/>
    <n v="54064"/>
    <n v="1789"/>
    <n v="10106"/>
    <n v="667"/>
    <n v="1489"/>
    <n v="30561"/>
    <n v="9452"/>
    <n v="42823"/>
    <n v="8.5999999999999993E-2"/>
    <n v="0.23"/>
    <n v="0.189"/>
    <n v="153.85399999999998"/>
    <n v="869.11599999999999"/>
    <n v="57.361999999999995"/>
    <n v="342.47"/>
    <n v="399.83199999999999"/>
    <n v="7029.0300000000007"/>
    <n v="7428.862000000001"/>
    <n v="8297.978000000001"/>
  </r>
  <r>
    <x v="42"/>
    <x v="2"/>
    <s v="Rural"/>
    <n v="124118"/>
    <n v="5401"/>
    <n v="28679"/>
    <n v="1810"/>
    <n v="3674"/>
    <n v="70401"/>
    <n v="14153"/>
    <n v="104564"/>
    <n v="8.5000000000000006E-2"/>
    <n v="0.24299999999999999"/>
    <n v="0.191"/>
    <n v="459.08500000000004"/>
    <n v="2437.7150000000001"/>
    <n v="153.85000000000002"/>
    <n v="892.78199999999993"/>
    <n v="1046.6320000000001"/>
    <n v="17107.442999999999"/>
    <n v="18154.075000000001"/>
    <n v="20591.79"/>
  </r>
  <r>
    <x v="43"/>
    <x v="1"/>
    <s v="Rural"/>
    <n v="59765"/>
    <n v="1683"/>
    <n v="9527"/>
    <n v="699"/>
    <n v="1285"/>
    <n v="32796"/>
    <n v="13775"/>
    <n v="44307"/>
    <n v="7.3999999999999996E-2"/>
    <n v="0.18"/>
    <n v="0.153"/>
    <n v="124.54199999999999"/>
    <n v="704.99799999999993"/>
    <n v="51.725999999999999"/>
    <n v="231.29999999999998"/>
    <n v="283.02599999999995"/>
    <n v="5903.28"/>
    <n v="6186.3059999999996"/>
    <n v="6891.3039999999992"/>
  </r>
  <r>
    <x v="44"/>
    <x v="1"/>
    <s v="Rural"/>
    <n v="108630"/>
    <n v="3269"/>
    <n v="18681"/>
    <n v="1101"/>
    <n v="1965"/>
    <n v="57436"/>
    <n v="26178"/>
    <n v="79183"/>
    <n v="8.2000000000000003E-2"/>
    <n v="0.2"/>
    <n v="0.16800000000000001"/>
    <n v="268.05799999999999"/>
    <n v="1531.8420000000001"/>
    <n v="90.282000000000011"/>
    <n v="393"/>
    <n v="483.28200000000004"/>
    <n v="11487.2"/>
    <n v="11970.482"/>
    <n v="13502.324000000001"/>
  </r>
  <r>
    <x v="45"/>
    <x v="3"/>
    <s v="Rural"/>
    <n v="24588"/>
    <n v="710"/>
    <n v="4241"/>
    <n v="529"/>
    <n v="844"/>
    <n v="14119"/>
    <n v="4145"/>
    <n v="19733"/>
    <n v="8.8999999999999996E-2"/>
    <n v="0.22700000000000001"/>
    <n v="0.188"/>
    <n v="63.19"/>
    <n v="377.44899999999996"/>
    <n v="47.080999999999996"/>
    <n v="191.58799999999999"/>
    <n v="238.66899999999998"/>
    <n v="3205.0129999999999"/>
    <n v="3443.6819999999998"/>
    <n v="3821.1309999999999"/>
  </r>
  <r>
    <x v="46"/>
    <x v="2"/>
    <s v="Rural"/>
    <n v="50951"/>
    <n v="2928"/>
    <n v="12722"/>
    <n v="651"/>
    <n v="1287"/>
    <n v="29212"/>
    <n v="4151"/>
    <n v="43872"/>
    <n v="8.7999999999999995E-2"/>
    <n v="0.27100000000000002"/>
    <n v="0.21"/>
    <n v="257.66399999999999"/>
    <n v="1119.5359999999998"/>
    <n v="57.287999999999997"/>
    <n v="348.77700000000004"/>
    <n v="406.06500000000005"/>
    <n v="7916.4520000000002"/>
    <n v="8322.5169999999998"/>
    <n v="9442.0529999999999"/>
  </r>
  <r>
    <x v="47"/>
    <x v="3"/>
    <s v="Rural"/>
    <n v="5769"/>
    <n v="154"/>
    <n v="858"/>
    <n v="43"/>
    <n v="133"/>
    <n v="3622"/>
    <n v="959"/>
    <n v="4656"/>
    <n v="8.5000000000000006E-2"/>
    <n v="0.246"/>
    <n v="0.20899999999999999"/>
    <n v="13.090000000000002"/>
    <n v="72.930000000000007"/>
    <n v="3.6550000000000002"/>
    <n v="32.717999999999996"/>
    <n v="36.372999999999998"/>
    <n v="891.01199999999994"/>
    <n v="927.38499999999999"/>
    <n v="1000.3150000000001"/>
  </r>
  <r>
    <x v="48"/>
    <x v="6"/>
    <s v="Rural"/>
    <n v="164883"/>
    <n v="5419"/>
    <n v="34134"/>
    <n v="2362"/>
    <n v="4394"/>
    <n v="95366"/>
    <n v="23208"/>
    <n v="136256"/>
    <n v="7.6999999999999999E-2"/>
    <n v="0.191"/>
    <n v="0.157"/>
    <n v="417.26299999999998"/>
    <n v="2628.3179999999998"/>
    <n v="181.874"/>
    <n v="839.25400000000002"/>
    <n v="1021.128"/>
    <n v="18214.905999999999"/>
    <n v="19236.034"/>
    <n v="21864.351999999999"/>
  </r>
  <r>
    <x v="49"/>
    <x v="1"/>
    <s v="Rural"/>
    <n v="41111"/>
    <n v="1186"/>
    <n v="6053"/>
    <n v="1005"/>
    <n v="2890"/>
    <n v="22924"/>
    <n v="7053"/>
    <n v="32872"/>
    <n v="8.3000000000000004E-2"/>
    <n v="0.20599999999999999"/>
    <n v="0.17399999999999999"/>
    <n v="98.438000000000002"/>
    <n v="502.399"/>
    <n v="83.415000000000006"/>
    <n v="595.33999999999992"/>
    <n v="678.75499999999988"/>
    <n v="4722.3440000000001"/>
    <n v="5401.0990000000002"/>
    <n v="5903.4980000000005"/>
  </r>
  <r>
    <x v="50"/>
    <x v="7"/>
    <s v="Rural"/>
    <n v="177043"/>
    <n v="6937"/>
    <n v="40536"/>
    <n v="2632"/>
    <n v="4127"/>
    <n v="102258"/>
    <n v="20553"/>
    <n v="149553"/>
    <n v="8.5000000000000006E-2"/>
    <n v="0.23300000000000001"/>
    <n v="0.185"/>
    <n v="589.6450000000001"/>
    <n v="3445.5600000000004"/>
    <n v="223.72000000000003"/>
    <n v="961.59100000000001"/>
    <n v="1185.3110000000001"/>
    <n v="23826.114000000001"/>
    <n v="25011.425000000003"/>
    <n v="28456.985000000004"/>
  </r>
  <r>
    <x v="51"/>
    <x v="3"/>
    <s v="Rural"/>
    <n v="10636"/>
    <n v="315"/>
    <n v="1890"/>
    <n v="105"/>
    <n v="240"/>
    <n v="6106"/>
    <n v="1980"/>
    <n v="8341"/>
    <n v="8.3000000000000004E-2"/>
    <n v="0.22700000000000001"/>
    <n v="0.189"/>
    <n v="26.145000000000003"/>
    <n v="156.87"/>
    <n v="8.7149999999999999"/>
    <n v="54.480000000000004"/>
    <n v="63.195000000000007"/>
    <n v="1386.0620000000001"/>
    <n v="1449.2570000000001"/>
    <n v="1606.127"/>
  </r>
  <r>
    <x v="52"/>
    <x v="2"/>
    <s v="Rural"/>
    <n v="59857"/>
    <n v="2522"/>
    <n v="12613"/>
    <n v="807"/>
    <n v="1558"/>
    <n v="33498"/>
    <n v="8859"/>
    <n v="48476"/>
    <n v="9.4E-2"/>
    <n v="0.222"/>
    <n v="0.182"/>
    <n v="237.06800000000001"/>
    <n v="1185.6220000000001"/>
    <n v="75.858000000000004"/>
    <n v="345.87599999999998"/>
    <n v="421.73399999999998"/>
    <n v="7436.5560000000005"/>
    <n v="7858.2900000000009"/>
    <n v="9043.9120000000003"/>
  </r>
  <r>
    <x v="53"/>
    <x v="4"/>
    <s v="Rural"/>
    <n v="59401"/>
    <n v="2023"/>
    <n v="11619"/>
    <n v="795"/>
    <n v="1639"/>
    <n v="33071"/>
    <n v="10254"/>
    <n v="47124"/>
    <n v="8.6999999999999994E-2"/>
    <n v="0.20899999999999999"/>
    <n v="0.17299999999999999"/>
    <n v="176.00099999999998"/>
    <n v="1010.853"/>
    <n v="69.164999999999992"/>
    <n v="342.55099999999999"/>
    <n v="411.71600000000001"/>
    <n v="6911.8389999999999"/>
    <n v="7323.5550000000003"/>
    <n v="8334.4079999999994"/>
  </r>
  <r>
    <x v="54"/>
    <x v="6"/>
    <s v="Rural"/>
    <n v="79630"/>
    <n v="2376"/>
    <n v="15304"/>
    <n v="1067"/>
    <n v="1963"/>
    <n v="46825"/>
    <n v="12095"/>
    <n v="65159"/>
    <n v="7.5999999999999998E-2"/>
    <n v="0.20300000000000001"/>
    <n v="0.16800000000000001"/>
    <n v="180.57599999999999"/>
    <n v="1163.104"/>
    <n v="81.091999999999999"/>
    <n v="398.48900000000003"/>
    <n v="479.58100000000002"/>
    <n v="9505.4750000000004"/>
    <n v="9985.0560000000005"/>
    <n v="11148.16"/>
  </r>
  <r>
    <x v="55"/>
    <x v="1"/>
    <s v="Rural"/>
    <n v="34164"/>
    <n v="1000"/>
    <n v="5464"/>
    <n v="381"/>
    <n v="705"/>
    <n v="17714"/>
    <n v="8900"/>
    <n v="24264"/>
    <n v="8.1000000000000003E-2"/>
    <n v="0.19500000000000001"/>
    <n v="0.16400000000000001"/>
    <n v="81"/>
    <n v="442.584"/>
    <n v="30.861000000000001"/>
    <n v="137.47499999999999"/>
    <n v="168.33599999999998"/>
    <n v="3454.23"/>
    <n v="3622.5659999999998"/>
    <n v="4065.1499999999996"/>
  </r>
  <r>
    <x v="56"/>
    <x v="1"/>
    <s v="Rural"/>
    <n v="21472"/>
    <n v="561"/>
    <n v="3503"/>
    <n v="346"/>
    <n v="795"/>
    <n v="12072"/>
    <n v="4195"/>
    <n v="16716"/>
    <n v="7.4999999999999997E-2"/>
    <n v="0.192"/>
    <n v="0.161"/>
    <n v="42.074999999999996"/>
    <n v="262.72499999999997"/>
    <n v="25.95"/>
    <n v="152.64000000000001"/>
    <n v="178.59"/>
    <n v="2317.8240000000001"/>
    <n v="2496.4140000000002"/>
    <n v="2759.1390000000001"/>
  </r>
  <r>
    <x v="57"/>
    <x v="3"/>
    <s v="Rural"/>
    <n v="23870"/>
    <n v="726"/>
    <n v="4318"/>
    <n v="262"/>
    <n v="562"/>
    <n v="13356"/>
    <n v="4646"/>
    <n v="18498"/>
    <n v="8.5000000000000006E-2"/>
    <n v="0.21099999999999999"/>
    <n v="0.17599999999999999"/>
    <n v="61.710000000000008"/>
    <n v="367.03000000000003"/>
    <n v="22.270000000000003"/>
    <n v="118.58199999999999"/>
    <n v="140.852"/>
    <n v="2818.116"/>
    <n v="2958.9679999999998"/>
    <n v="3325.998"/>
  </r>
  <r>
    <x v="58"/>
    <x v="1"/>
    <s v="Rural"/>
    <n v="45359"/>
    <n v="1373"/>
    <n v="8159"/>
    <n v="559"/>
    <n v="990"/>
    <n v="26051"/>
    <n v="8227"/>
    <n v="35759"/>
    <n v="7.8E-2"/>
    <n v="0.189"/>
    <n v="0.159"/>
    <n v="107.09399999999999"/>
    <n v="636.40200000000004"/>
    <n v="43.601999999999997"/>
    <n v="187.11"/>
    <n v="230.71200000000002"/>
    <n v="4923.6390000000001"/>
    <n v="5154.3510000000006"/>
    <n v="5790.7530000000006"/>
  </r>
  <r>
    <x v="59"/>
    <x v="9"/>
    <s v="Urban"/>
    <n v="986516"/>
    <n v="42260"/>
    <n v="200637"/>
    <n v="12269"/>
    <n v="25325"/>
    <n v="609683"/>
    <n v="96342"/>
    <n v="847914"/>
    <n v="8.6999999999999994E-2"/>
    <n v="0.21199999999999999"/>
    <n v="0.17499999999999999"/>
    <n v="3676.62"/>
    <n v="17455.418999999998"/>
    <n v="1067.403"/>
    <n v="5368.9"/>
    <n v="6436.3029999999999"/>
    <n v="129252.796"/>
    <n v="135689.09899999999"/>
    <n v="153144.51799999998"/>
  </r>
  <r>
    <x v="60"/>
    <x v="1"/>
    <s v="Rural"/>
    <n v="15365"/>
    <n v="427"/>
    <n v="2425"/>
    <n v="128"/>
    <n v="314"/>
    <n v="8624"/>
    <n v="3447"/>
    <n v="11491"/>
    <n v="7.5999999999999998E-2"/>
    <n v="0.187"/>
    <n v="0.159"/>
    <n v="32.451999999999998"/>
    <n v="184.29999999999998"/>
    <n v="9.7279999999999998"/>
    <n v="58.717999999999996"/>
    <n v="68.445999999999998"/>
    <n v="1612.6880000000001"/>
    <n v="1681.134"/>
    <n v="1865.434"/>
  </r>
  <r>
    <x v="61"/>
    <x v="2"/>
    <s v="Rural"/>
    <n v="28059"/>
    <n v="999"/>
    <n v="5487"/>
    <n v="409"/>
    <n v="819"/>
    <n v="15380"/>
    <n v="4965"/>
    <n v="22095"/>
    <n v="9.5000000000000001E-2"/>
    <n v="0.22500000000000001"/>
    <n v="0.187"/>
    <n v="94.905000000000001"/>
    <n v="521.26499999999999"/>
    <n v="38.855000000000004"/>
    <n v="184.27500000000001"/>
    <n v="223.13"/>
    <n v="3460.5"/>
    <n v="3683.63"/>
    <n v="4204.8950000000004"/>
  </r>
  <r>
    <x v="62"/>
    <x v="2"/>
    <s v="Rural"/>
    <n v="91879"/>
    <n v="2940"/>
    <n v="16513"/>
    <n v="1078"/>
    <n v="1925"/>
    <n v="47075"/>
    <n v="22348"/>
    <n v="66591"/>
    <n v="0.08"/>
    <n v="0.19500000000000001"/>
    <n v="0.16200000000000001"/>
    <n v="235.20000000000002"/>
    <n v="1321.04"/>
    <n v="86.24"/>
    <n v="375.375"/>
    <n v="461.61500000000001"/>
    <n v="9179.625"/>
    <n v="9641.24"/>
    <n v="10962.279999999999"/>
  </r>
  <r>
    <x v="63"/>
    <x v="4"/>
    <s v="Rural"/>
    <n v="94722"/>
    <n v="3258"/>
    <n v="18360"/>
    <n v="1315"/>
    <n v="2351"/>
    <n v="54654"/>
    <n v="14784"/>
    <n v="76680"/>
    <n v="8.5999999999999993E-2"/>
    <n v="0.20699999999999999"/>
    <n v="0.17199999999999999"/>
    <n v="280.18799999999999"/>
    <n v="1578.9599999999998"/>
    <n v="113.08999999999999"/>
    <n v="486.65699999999998"/>
    <n v="599.74699999999996"/>
    <n v="11313.377999999999"/>
    <n v="11913.124999999998"/>
    <n v="13492.084999999997"/>
  </r>
  <r>
    <x v="64"/>
    <x v="5"/>
    <s v="Urban"/>
    <n v="213785"/>
    <n v="6746"/>
    <n v="34620"/>
    <n v="3454"/>
    <n v="8188"/>
    <n v="128110"/>
    <n v="32667"/>
    <n v="174372"/>
    <n v="7.9000000000000001E-2"/>
    <n v="0.2"/>
    <n v="0.16900000000000001"/>
    <n v="532.93399999999997"/>
    <n v="2734.98"/>
    <n v="272.86599999999999"/>
    <n v="1637.6000000000001"/>
    <n v="1910.4660000000001"/>
    <n v="25622"/>
    <n v="27532.466"/>
    <n v="30267.446"/>
  </r>
  <r>
    <x v="65"/>
    <x v="3"/>
    <s v="Rural"/>
    <n v="21348"/>
    <n v="580"/>
    <n v="3585"/>
    <n v="213"/>
    <n v="493"/>
    <n v="11920"/>
    <n v="4557"/>
    <n v="16211"/>
    <n v="8.5999999999999993E-2"/>
    <n v="0.23100000000000001"/>
    <n v="0.192"/>
    <n v="49.879999999999995"/>
    <n v="308.31"/>
    <n v="18.317999999999998"/>
    <n v="113.88300000000001"/>
    <n v="132.20100000000002"/>
    <n v="2753.52"/>
    <n v="2885.721"/>
    <n v="3194.0309999999999"/>
  </r>
  <r>
    <x v="66"/>
    <x v="5"/>
    <s v="Rural"/>
    <n v="194201"/>
    <n v="13088"/>
    <n v="39636"/>
    <n v="3137"/>
    <n v="11591"/>
    <n v="110790"/>
    <n v="15959"/>
    <n v="165154"/>
    <n v="0.08"/>
    <n v="0.24"/>
    <n v="0.192"/>
    <n v="1047.04"/>
    <n v="3170.88"/>
    <n v="250.96"/>
    <n v="2781.8399999999997"/>
    <n v="3032.7999999999997"/>
    <n v="26589.599999999999"/>
    <n v="29622.399999999998"/>
    <n v="32793.279999999999"/>
  </r>
  <r>
    <x v="67"/>
    <x v="0"/>
    <s v="Urban"/>
    <n v="140723"/>
    <n v="3868"/>
    <n v="24611"/>
    <n v="3058"/>
    <n v="9109"/>
    <n v="84587"/>
    <n v="15490"/>
    <n v="121365"/>
    <n v="8.2000000000000003E-2"/>
    <n v="0.19500000000000001"/>
    <n v="0.16400000000000001"/>
    <n v="317.17599999999999"/>
    <n v="2018.1020000000001"/>
    <n v="250.756"/>
    <n v="1776.2550000000001"/>
    <n v="2027.0110000000002"/>
    <n v="16494.465"/>
    <n v="18521.475999999999"/>
    <n v="20539.577999999998"/>
  </r>
  <r>
    <x v="68"/>
    <x v="3"/>
    <s v="Rural"/>
    <n v="13320"/>
    <n v="302"/>
    <n v="1949"/>
    <n v="124"/>
    <n v="218"/>
    <n v="7441"/>
    <n v="3286"/>
    <n v="9732"/>
    <n v="7.9000000000000001E-2"/>
    <n v="0.20200000000000001"/>
    <n v="0.17199999999999999"/>
    <n v="23.858000000000001"/>
    <n v="153.971"/>
    <n v="9.7959999999999994"/>
    <n v="44.036000000000001"/>
    <n v="53.832000000000001"/>
    <n v="1503.0820000000001"/>
    <n v="1556.9140000000002"/>
    <n v="1710.8850000000002"/>
  </r>
  <r>
    <x v="69"/>
    <x v="3"/>
    <s v="Rural"/>
    <n v="39740"/>
    <n v="1386"/>
    <n v="7578"/>
    <n v="746"/>
    <n v="1568"/>
    <n v="22697"/>
    <n v="5765"/>
    <n v="32589"/>
    <n v="8.2000000000000003E-2"/>
    <n v="0.21099999999999999"/>
    <n v="0.17399999999999999"/>
    <n v="113.652"/>
    <n v="621.39600000000007"/>
    <n v="61.172000000000004"/>
    <n v="330.84800000000001"/>
    <n v="392.02000000000004"/>
    <n v="4789.067"/>
    <n v="5181.0870000000004"/>
    <n v="5802.4830000000002"/>
  </r>
  <r>
    <x v="70"/>
    <x v="5"/>
    <s v="Rural"/>
    <n v="55313"/>
    <n v="1825"/>
    <n v="10092"/>
    <n v="664"/>
    <n v="1422"/>
    <n v="32078"/>
    <n v="9232"/>
    <n v="44256"/>
    <n v="0.08"/>
    <n v="0.222"/>
    <n v="0.182"/>
    <n v="146"/>
    <n v="807.36"/>
    <n v="53.120000000000005"/>
    <n v="315.68400000000003"/>
    <n v="368.80400000000003"/>
    <n v="7121.3159999999998"/>
    <n v="7490.12"/>
    <n v="8297.48"/>
  </r>
  <r>
    <x v="71"/>
    <x v="3"/>
    <s v="Rural"/>
    <n v="13771"/>
    <n v="382"/>
    <n v="2284"/>
    <n v="134"/>
    <n v="330"/>
    <n v="7302"/>
    <n v="3339"/>
    <n v="10050"/>
    <n v="7.6999999999999999E-2"/>
    <n v="0.215"/>
    <n v="0.17799999999999999"/>
    <n v="29.413999999999998"/>
    <n v="175.86799999999999"/>
    <n v="10.318"/>
    <n v="70.95"/>
    <n v="81.268000000000001"/>
    <n v="1569.93"/>
    <n v="1651.1980000000001"/>
    <n v="1827.066"/>
  </r>
  <r>
    <x v="72"/>
    <x v="0"/>
    <s v="Rural"/>
    <n v="39309"/>
    <n v="1233"/>
    <n v="7390"/>
    <n v="452"/>
    <n v="886"/>
    <n v="22799"/>
    <n v="6549"/>
    <n v="31527"/>
    <n v="7.9000000000000001E-2"/>
    <n v="0.20699999999999999"/>
    <n v="0.17100000000000001"/>
    <n v="97.406999999999996"/>
    <n v="583.81000000000006"/>
    <n v="35.707999999999998"/>
    <n v="183.40199999999999"/>
    <n v="219.10999999999999"/>
    <n v="4719.393"/>
    <n v="4938.5029999999997"/>
    <n v="5522.3130000000001"/>
  </r>
  <r>
    <x v="73"/>
    <x v="3"/>
    <s v="Rural"/>
    <n v="174501"/>
    <n v="6447"/>
    <n v="32215"/>
    <n v="3850"/>
    <n v="11148"/>
    <n v="101692"/>
    <n v="19149"/>
    <n v="148905"/>
    <n v="8.5000000000000006E-2"/>
    <n v="0.22"/>
    <n v="0.18099999999999999"/>
    <n v="547.995"/>
    <n v="2738.2750000000001"/>
    <n v="327.25"/>
    <n v="2452.56"/>
    <n v="2779.81"/>
    <n v="22372.240000000002"/>
    <n v="25152.050000000003"/>
    <n v="27890.325000000004"/>
  </r>
  <r>
    <x v="74"/>
    <x v="1"/>
    <s v="Rural"/>
    <n v="20077"/>
    <n v="384"/>
    <n v="3151"/>
    <n v="205"/>
    <n v="402"/>
    <n v="10633"/>
    <n v="5302"/>
    <n v="14391"/>
    <n v="0.08"/>
    <n v="0.186"/>
    <n v="0.159"/>
    <n v="30.72"/>
    <n v="252.08"/>
    <n v="16.399999999999999"/>
    <n v="74.772000000000006"/>
    <n v="91.171999999999997"/>
    <n v="1977.7380000000001"/>
    <n v="2068.91"/>
    <n v="2320.9899999999998"/>
  </r>
  <r>
    <x v="75"/>
    <x v="2"/>
    <s v="Rural"/>
    <n v="142646"/>
    <n v="4875"/>
    <n v="28657"/>
    <n v="1949"/>
    <n v="3998"/>
    <n v="80978"/>
    <n v="22189"/>
    <n v="115582"/>
    <n v="8.3000000000000004E-2"/>
    <n v="0.20499999999999999"/>
    <n v="0.16900000000000001"/>
    <n v="404.625"/>
    <n v="2378.5309999999999"/>
    <n v="161.767"/>
    <n v="819.58999999999992"/>
    <n v="981.35699999999997"/>
    <n v="16600.489999999998"/>
    <n v="17581.846999999998"/>
    <n v="19960.377999999997"/>
  </r>
  <r>
    <x v="76"/>
    <x v="2"/>
    <s v="Rural"/>
    <n v="46253"/>
    <n v="1690"/>
    <n v="9365"/>
    <n v="681"/>
    <n v="1451"/>
    <n v="25905"/>
    <n v="7161"/>
    <n v="37402"/>
    <n v="8.5999999999999993E-2"/>
    <n v="0.22800000000000001"/>
    <n v="0.186"/>
    <n v="145.33999999999997"/>
    <n v="805.39"/>
    <n v="58.565999999999995"/>
    <n v="330.82800000000003"/>
    <n v="389.39400000000001"/>
    <n v="5906.34"/>
    <n v="6295.7340000000004"/>
    <n v="7101.1240000000007"/>
  </r>
  <r>
    <x v="77"/>
    <x v="4"/>
    <s v="Rural"/>
    <n v="134553"/>
    <n v="5555"/>
    <n v="29084"/>
    <n v="2413"/>
    <n v="4983"/>
    <n v="75522"/>
    <n v="16996"/>
    <n v="112002"/>
    <n v="9.8000000000000004E-2"/>
    <n v="0.254"/>
    <n v="0.20300000000000001"/>
    <n v="544.39"/>
    <n v="2850.232"/>
    <n v="236.47400000000002"/>
    <n v="1265.682"/>
    <n v="1502.1559999999999"/>
    <n v="19182.588"/>
    <n v="20684.743999999999"/>
    <n v="23534.975999999999"/>
  </r>
  <r>
    <x v="78"/>
    <x v="8"/>
    <s v="Rural"/>
    <n v="92494"/>
    <n v="2761"/>
    <n v="16778"/>
    <n v="1178"/>
    <n v="2274"/>
    <n v="53113"/>
    <n v="16390"/>
    <n v="73343"/>
    <n v="0.08"/>
    <n v="0.20300000000000001"/>
    <n v="0.17"/>
    <n v="220.88"/>
    <n v="1342.24"/>
    <n v="94.24"/>
    <n v="461.62200000000001"/>
    <n v="555.86199999999997"/>
    <n v="10781.939"/>
    <n v="11337.800999999999"/>
    <n v="12680.040999999999"/>
  </r>
  <r>
    <x v="79"/>
    <x v="0"/>
    <s v="Urban"/>
    <n v="138251"/>
    <n v="4650"/>
    <n v="27084"/>
    <n v="1853"/>
    <n v="3922"/>
    <n v="79282"/>
    <n v="21460"/>
    <n v="112141"/>
    <n v="8.2000000000000003E-2"/>
    <n v="0.20799999999999999"/>
    <n v="0.17199999999999999"/>
    <n v="381.3"/>
    <n v="2220.8879999999999"/>
    <n v="151.946"/>
    <n v="815.77599999999995"/>
    <n v="967.72199999999998"/>
    <n v="16490.655999999999"/>
    <n v="17458.378000000001"/>
    <n v="19679.266"/>
  </r>
  <r>
    <x v="80"/>
    <x v="1"/>
    <s v="Rural"/>
    <n v="68892"/>
    <n v="2118"/>
    <n v="12643"/>
    <n v="924"/>
    <n v="1555"/>
    <n v="38547"/>
    <n v="13105"/>
    <n v="53669"/>
    <n v="7.9000000000000001E-2"/>
    <n v="0.20200000000000001"/>
    <n v="0.16800000000000001"/>
    <n v="167.322"/>
    <n v="998.79700000000003"/>
    <n v="72.995999999999995"/>
    <n v="314.11"/>
    <n v="387.10599999999999"/>
    <n v="7786.4940000000006"/>
    <n v="8173.6"/>
    <n v="9172.3970000000008"/>
  </r>
  <r>
    <x v="81"/>
    <x v="4"/>
    <s v="Rural"/>
    <n v="64673"/>
    <n v="2542"/>
    <n v="13583"/>
    <n v="896"/>
    <n v="1870"/>
    <n v="35806"/>
    <n v="9976"/>
    <n v="52155"/>
    <n v="9.6000000000000002E-2"/>
    <n v="0.26"/>
    <n v="0.21"/>
    <n v="244.03200000000001"/>
    <n v="1303.9680000000001"/>
    <n v="86.016000000000005"/>
    <n v="486.2"/>
    <n v="572.21600000000001"/>
    <n v="9309.56"/>
    <n v="9881.7759999999998"/>
    <n v="11185.744000000001"/>
  </r>
  <r>
    <x v="82"/>
    <x v="4"/>
    <s v="Rural"/>
    <n v="36192"/>
    <n v="1376"/>
    <n v="7404"/>
    <n v="500"/>
    <n v="990"/>
    <n v="20495"/>
    <n v="5427"/>
    <n v="29389"/>
    <n v="8.5000000000000006E-2"/>
    <n v="0.217"/>
    <n v="0.17699999999999999"/>
    <n v="116.96000000000001"/>
    <n v="629.34"/>
    <n v="42.5"/>
    <n v="214.83"/>
    <n v="257.33000000000004"/>
    <n v="4447.415"/>
    <n v="4704.7449999999999"/>
    <n v="5334.085"/>
  </r>
  <r>
    <x v="83"/>
    <x v="0"/>
    <s v="Rural"/>
    <n v="60403"/>
    <n v="1925"/>
    <n v="11202"/>
    <n v="815"/>
    <n v="1646"/>
    <n v="34578"/>
    <n v="10237"/>
    <n v="48241"/>
    <n v="7.4999999999999997E-2"/>
    <n v="0.189"/>
    <n v="0.156"/>
    <n v="144.375"/>
    <n v="840.15"/>
    <n v="61.125"/>
    <n v="311.09399999999999"/>
    <n v="372.21899999999999"/>
    <n v="6535.2420000000002"/>
    <n v="6907.4610000000002"/>
    <n v="7747.6109999999999"/>
  </r>
  <r>
    <x v="84"/>
    <x v="8"/>
    <s v="Rural"/>
    <n v="46859"/>
    <n v="1244"/>
    <n v="8358"/>
    <n v="521"/>
    <n v="1085"/>
    <n v="27325"/>
    <n v="8326"/>
    <n v="37289"/>
    <n v="7.0999999999999994E-2"/>
    <n v="0.2"/>
    <n v="0.16500000000000001"/>
    <n v="88.323999999999998"/>
    <n v="593.41799999999989"/>
    <n v="36.991"/>
    <n v="217"/>
    <n v="253.99099999999999"/>
    <n v="5465"/>
    <n v="5718.991"/>
    <n v="6312.4089999999997"/>
  </r>
  <r>
    <x v="85"/>
    <x v="6"/>
    <s v="Rural"/>
    <n v="73898"/>
    <n v="2367"/>
    <n v="14173"/>
    <n v="1045"/>
    <n v="2053"/>
    <n v="41049"/>
    <n v="13211"/>
    <n v="58320"/>
    <n v="8.4000000000000005E-2"/>
    <n v="0.19700000000000001"/>
    <n v="0.16500000000000001"/>
    <n v="198.828"/>
    <n v="1190.5320000000002"/>
    <n v="87.78"/>
    <n v="404.44100000000003"/>
    <n v="492.221"/>
    <n v="8086.6530000000002"/>
    <n v="8578.8739999999998"/>
    <n v="9769.405999999999"/>
  </r>
  <r>
    <x v="86"/>
    <x v="1"/>
    <s v="Rural"/>
    <n v="14652"/>
    <n v="599"/>
    <n v="2829"/>
    <n v="172"/>
    <n v="326"/>
    <n v="8129"/>
    <n v="2597"/>
    <n v="11456"/>
    <n v="9.4E-2"/>
    <n v="0.218"/>
    <n v="0.18099999999999999"/>
    <n v="56.305999999999997"/>
    <n v="265.92599999999999"/>
    <n v="16.167999999999999"/>
    <n v="71.067999999999998"/>
    <n v="87.23599999999999"/>
    <n v="1772.1220000000001"/>
    <n v="1859.3580000000002"/>
    <n v="2125.2840000000001"/>
  </r>
  <r>
    <x v="87"/>
    <x v="1"/>
    <s v="Rural"/>
    <n v="32971"/>
    <n v="794"/>
    <n v="4881"/>
    <n v="429"/>
    <n v="795"/>
    <n v="16724"/>
    <n v="9348"/>
    <n v="22829"/>
    <n v="7.6999999999999999E-2"/>
    <n v="0.185"/>
    <n v="0.157"/>
    <n v="61.137999999999998"/>
    <n v="375.83699999999999"/>
    <n v="33.033000000000001"/>
    <n v="147.07499999999999"/>
    <n v="180.108"/>
    <n v="3093.94"/>
    <n v="3274.0480000000002"/>
    <n v="3649.8850000000002"/>
  </r>
  <r>
    <x v="88"/>
    <x v="3"/>
    <s v="Rural"/>
    <n v="4157"/>
    <n v="126"/>
    <n v="609"/>
    <n v="32"/>
    <n v="91"/>
    <n v="2534"/>
    <n v="765"/>
    <n v="3266"/>
    <n v="0.09"/>
    <n v="0.26600000000000001"/>
    <n v="0.22500000000000001"/>
    <n v="11.34"/>
    <n v="54.809999999999995"/>
    <n v="2.88"/>
    <n v="24.206000000000003"/>
    <n v="27.086000000000002"/>
    <n v="674.04399999999998"/>
    <n v="701.13"/>
    <n v="755.93999999999994"/>
  </r>
  <r>
    <x v="89"/>
    <x v="0"/>
    <s v="Rural"/>
    <n v="210410"/>
    <n v="7574"/>
    <n v="51984"/>
    <n v="3492"/>
    <n v="5268"/>
    <n v="119020"/>
    <n v="23072"/>
    <n v="179764"/>
    <n v="7.6999999999999999E-2"/>
    <n v="0.21299999999999999"/>
    <n v="0.16600000000000001"/>
    <n v="583.19799999999998"/>
    <n v="4002.768"/>
    <n v="268.88400000000001"/>
    <n v="1122.0840000000001"/>
    <n v="1390.9680000000001"/>
    <n v="25351.26"/>
    <n v="26742.227999999999"/>
    <n v="30744.995999999999"/>
  </r>
  <r>
    <x v="90"/>
    <x v="0"/>
    <s v="Rural"/>
    <n v="45565"/>
    <n v="1761"/>
    <n v="9354"/>
    <n v="604"/>
    <n v="1419"/>
    <n v="25321"/>
    <n v="7106"/>
    <n v="36698"/>
    <n v="9.0999999999999998E-2"/>
    <n v="0.23200000000000001"/>
    <n v="0.188"/>
    <n v="160.251"/>
    <n v="851.21399999999994"/>
    <n v="54.963999999999999"/>
    <n v="329.20800000000003"/>
    <n v="384.17200000000003"/>
    <n v="5874.4720000000007"/>
    <n v="6258.6440000000002"/>
    <n v="7109.8580000000002"/>
  </r>
  <r>
    <x v="91"/>
    <x v="7"/>
    <s v="Urban"/>
    <n v="966424"/>
    <n v="38262"/>
    <n v="205774"/>
    <n v="12977"/>
    <n v="25467"/>
    <n v="590105"/>
    <n v="93839"/>
    <n v="834323"/>
    <n v="8.1000000000000003E-2"/>
    <n v="0.19700000000000001"/>
    <n v="0.16200000000000001"/>
    <n v="3099.2220000000002"/>
    <n v="16667.694"/>
    <n v="1051.1369999999999"/>
    <n v="5016.9989999999998"/>
    <n v="6068.1359999999995"/>
    <n v="116250.68500000001"/>
    <n v="122318.82100000001"/>
    <n v="138986.51500000001"/>
  </r>
  <r>
    <x v="92"/>
    <x v="0"/>
    <s v="Rural"/>
    <n v="20668"/>
    <n v="544"/>
    <n v="3400"/>
    <n v="231"/>
    <n v="460"/>
    <n v="11674"/>
    <n v="4359"/>
    <n v="15765"/>
    <n v="8.8999999999999996E-2"/>
    <n v="0.252"/>
    <n v="0.20899999999999999"/>
    <n v="48.415999999999997"/>
    <n v="302.59999999999997"/>
    <n v="20.558999999999997"/>
    <n v="115.92"/>
    <n v="136.47899999999998"/>
    <n v="2941.848"/>
    <n v="3078.3269999999998"/>
    <n v="3380.9269999999997"/>
  </r>
  <r>
    <x v="93"/>
    <x v="3"/>
    <s v="Rural"/>
    <n v="12914"/>
    <n v="403"/>
    <n v="2461"/>
    <n v="124"/>
    <n v="274"/>
    <n v="7060"/>
    <n v="2592"/>
    <n v="9919"/>
    <n v="8.7999999999999995E-2"/>
    <n v="0.221"/>
    <n v="0.183"/>
    <n v="35.463999999999999"/>
    <n v="216.56799999999998"/>
    <n v="10.911999999999999"/>
    <n v="60.554000000000002"/>
    <n v="71.466000000000008"/>
    <n v="1560.26"/>
    <n v="1631.7260000000001"/>
    <n v="1848.2940000000001"/>
  </r>
  <r>
    <x v="94"/>
    <x v="1"/>
    <s v="Rural"/>
    <n v="52953"/>
    <n v="1055"/>
    <n v="5933"/>
    <n v="1798"/>
    <n v="6765"/>
    <n v="30052"/>
    <n v="7350"/>
    <n v="44548"/>
    <n v="8.1000000000000003E-2"/>
    <n v="0.218"/>
    <n v="0.186"/>
    <n v="85.454999999999998"/>
    <n v="480.57300000000004"/>
    <n v="145.63800000000001"/>
    <n v="1474.77"/>
    <n v="1620.4079999999999"/>
    <n v="6551.3360000000002"/>
    <n v="8171.7440000000006"/>
    <n v="8652.3170000000009"/>
  </r>
  <r>
    <x v="95"/>
    <x v="4"/>
    <s v="Rural"/>
    <n v="126287"/>
    <n v="5187"/>
    <n v="25668"/>
    <n v="1686"/>
    <n v="3586"/>
    <n v="72406"/>
    <n v="17754"/>
    <n v="103346"/>
    <n v="8.7999999999999995E-2"/>
    <n v="0.22600000000000001"/>
    <n v="0.185"/>
    <n v="456.45599999999996"/>
    <n v="2258.7839999999997"/>
    <n v="148.36799999999999"/>
    <n v="810.43600000000004"/>
    <n v="958.80400000000009"/>
    <n v="16363.756000000001"/>
    <n v="17322.560000000001"/>
    <n v="19581.344000000001"/>
  </r>
  <r>
    <x v="96"/>
    <x v="1"/>
    <s v="Rural"/>
    <n v="70076"/>
    <n v="2076"/>
    <n v="12920"/>
    <n v="877"/>
    <n v="1602"/>
    <n v="39428"/>
    <n v="13173"/>
    <n v="54827"/>
    <n v="7.6999999999999999E-2"/>
    <n v="0.192"/>
    <n v="0.16"/>
    <n v="159.852"/>
    <n v="994.84"/>
    <n v="67.528999999999996"/>
    <n v="307.584"/>
    <n v="375.113"/>
    <n v="7570.1760000000004"/>
    <n v="7945.2890000000007"/>
    <n v="8940.1290000000008"/>
  </r>
  <r>
    <x v="97"/>
    <x v="4"/>
    <s v="Rural"/>
    <n v="82433"/>
    <n v="2969"/>
    <n v="16677"/>
    <n v="1060"/>
    <n v="2150"/>
    <n v="46744"/>
    <n v="12833"/>
    <n v="66631"/>
    <n v="0.09"/>
    <n v="0.221"/>
    <n v="0.18099999999999999"/>
    <n v="267.20999999999998"/>
    <n v="1500.9299999999998"/>
    <n v="95.399999999999991"/>
    <n v="475.15"/>
    <n v="570.54999999999995"/>
    <n v="10330.424000000001"/>
    <n v="10900.974"/>
    <n v="12401.904"/>
  </r>
  <r>
    <x v="98"/>
    <x v="6"/>
    <s v="Rural"/>
    <n v="38160"/>
    <n v="1234"/>
    <n v="7236"/>
    <n v="470"/>
    <n v="986"/>
    <n v="21525"/>
    <n v="6709"/>
    <n v="30217"/>
    <n v="8.3000000000000004E-2"/>
    <n v="0.20899999999999999"/>
    <n v="0.17299999999999999"/>
    <n v="102.42200000000001"/>
    <n v="600.58800000000008"/>
    <n v="39.010000000000005"/>
    <n v="206.07399999999998"/>
    <n v="245.084"/>
    <n v="4498.7249999999995"/>
    <n v="4743.8089999999993"/>
    <n v="5344.396999999999"/>
  </r>
  <r>
    <x v="99"/>
    <x v="1"/>
    <s v="Rural"/>
    <n v="17877"/>
    <n v="521"/>
    <n v="2916"/>
    <n v="172"/>
    <n v="388"/>
    <n v="9880"/>
    <n v="4000"/>
    <n v="13356"/>
    <n v="7.9000000000000001E-2"/>
    <n v="0.19900000000000001"/>
    <n v="0.16800000000000001"/>
    <n v="41.158999999999999"/>
    <n v="230.364"/>
    <n v="13.588000000000001"/>
    <n v="77.212000000000003"/>
    <n v="90.800000000000011"/>
    <n v="1966.1200000000001"/>
    <n v="2056.92"/>
    <n v="2287.2840000000001"/>
  </r>
  <r>
    <x v="100"/>
    <x v="10"/>
    <m/>
    <m/>
    <m/>
    <m/>
    <m/>
    <m/>
    <m/>
    <m/>
    <m/>
    <s v="Calculated based on July 2011 Population"/>
    <m/>
    <m/>
    <m/>
    <m/>
    <m/>
    <m/>
    <m/>
    <m/>
    <m/>
    <m/>
  </r>
  <r>
    <x v="101"/>
    <x v="11"/>
    <m/>
    <n v="9873948"/>
    <n v="365208"/>
    <n v="1930215"/>
    <n v="137577"/>
    <n v="297776"/>
    <n v="5740125"/>
    <n v="1403047"/>
    <n v="8105693"/>
    <n v="9.2861228007293517E-2"/>
    <n v="0.22359886796611902"/>
    <n v="0.188150584549657"/>
    <n v="30562.660999999996"/>
    <n v="161025.07800000001"/>
    <n v="11469.267"/>
    <n v="62621.282999999967"/>
    <n v="74090.550000000017"/>
    <n v="1199611.8020000004"/>
    <n v="1273702.352"/>
    <n v="1434727.4300000004"/>
  </r>
</pivotCacheRecords>
</file>

<file path=xl/pivotCache/pivotCacheRecords2.xml><?xml version="1.0" encoding="utf-8"?>
<pivotCacheRecords xmlns="http://schemas.openxmlformats.org/spreadsheetml/2006/main" xmlns:r="http://schemas.openxmlformats.org/officeDocument/2006/relationships" count="102">
  <r>
    <x v="0"/>
    <x v="0"/>
    <s v="Urban"/>
    <n v="154256"/>
    <n v="5250"/>
    <n v="29771"/>
    <n v="2362"/>
    <n v="5400"/>
    <n v="87003"/>
    <n v="24470"/>
    <n v="124536"/>
    <n v="8.7999999999999995E-2"/>
    <n v="0.21299999999999999"/>
    <n v="0.17599999999999999"/>
    <n v="462"/>
    <n v="2619.848"/>
    <n v="207.85599999999999"/>
    <n v="1150.2"/>
    <n v="1358.056"/>
    <n v="18531.638999999999"/>
    <n v="19889.695"/>
    <n v="22509.542999999998"/>
  </r>
  <r>
    <x v="1"/>
    <x v="1"/>
    <s v="Rural"/>
    <n v="37429"/>
    <n v="1088"/>
    <n v="6766"/>
    <n v="459"/>
    <n v="873"/>
    <n v="21567"/>
    <n v="6676"/>
    <n v="29665"/>
    <n v="7.5999999999999998E-2"/>
    <n v="0.19500000000000001"/>
    <n v="0.16200000000000001"/>
    <n v="82.688000000000002"/>
    <n v="514.21600000000001"/>
    <n v="34.884"/>
    <n v="170.23500000000001"/>
    <n v="205.11900000000003"/>
    <n v="4205.5650000000005"/>
    <n v="4410.6840000000002"/>
    <n v="4924.9000000000005"/>
  </r>
  <r>
    <x v="2"/>
    <x v="1"/>
    <s v="Rural"/>
    <n v="11033"/>
    <n v="255"/>
    <n v="1754"/>
    <n v="143"/>
    <n v="244"/>
    <n v="6013"/>
    <n v="2624"/>
    <n v="8154"/>
    <n v="8.6999999999999994E-2"/>
    <n v="0.216"/>
    <n v="0.182"/>
    <n v="22.184999999999999"/>
    <n v="152.59799999999998"/>
    <n v="12.440999999999999"/>
    <n v="52.704000000000001"/>
    <n v="65.144999999999996"/>
    <n v="1298.808"/>
    <n v="1363.953"/>
    <n v="1516.5509999999999"/>
  </r>
  <r>
    <x v="3"/>
    <x v="2"/>
    <s v="Rural"/>
    <n v="26429"/>
    <n v="762"/>
    <n v="4725"/>
    <n v="303"/>
    <n v="707"/>
    <n v="15692"/>
    <n v="4240"/>
    <n v="21427"/>
    <n v="8.5000000000000006E-2"/>
    <n v="0.23100000000000001"/>
    <n v="0.192"/>
    <n v="64.77000000000001"/>
    <n v="401.62500000000006"/>
    <n v="25.755000000000003"/>
    <n v="163.31700000000001"/>
    <n v="189.072"/>
    <n v="3624.8520000000003"/>
    <n v="3813.9240000000004"/>
    <n v="4215.5490000000009"/>
  </r>
  <r>
    <x v="4"/>
    <x v="1"/>
    <s v="Rural"/>
    <n v="27425"/>
    <n v="744"/>
    <n v="4430"/>
    <n v="314"/>
    <n v="520"/>
    <n v="15130"/>
    <n v="6287"/>
    <n v="20394"/>
    <n v="7.5999999999999998E-2"/>
    <n v="0.19700000000000001"/>
    <n v="0.16700000000000001"/>
    <n v="56.543999999999997"/>
    <n v="336.68"/>
    <n v="23.864000000000001"/>
    <n v="102.44"/>
    <n v="126.304"/>
    <n v="2980.61"/>
    <n v="3106.9140000000002"/>
    <n v="3443.5940000000001"/>
  </r>
  <r>
    <x v="5"/>
    <x v="1"/>
    <s v="Rural"/>
    <n v="17868"/>
    <n v="434"/>
    <n v="2439"/>
    <n v="179"/>
    <n v="441"/>
    <n v="10817"/>
    <n v="3558"/>
    <n v="13876"/>
    <n v="8.2000000000000003E-2"/>
    <n v="0.21099999999999999"/>
    <n v="0.182"/>
    <n v="35.588000000000001"/>
    <n v="199.99800000000002"/>
    <n v="14.678000000000001"/>
    <n v="93.051000000000002"/>
    <n v="107.729"/>
    <n v="2282.3869999999997"/>
    <n v="2390.1159999999995"/>
    <n v="2590.1139999999996"/>
  </r>
  <r>
    <x v="6"/>
    <x v="3"/>
    <s v="Rural"/>
    <n v="47791"/>
    <n v="1468"/>
    <n v="8664"/>
    <n v="570"/>
    <n v="975"/>
    <n v="25800"/>
    <n v="10314"/>
    <n v="36009"/>
    <n v="8.5000000000000006E-2"/>
    <n v="0.20300000000000001"/>
    <n v="0.17"/>
    <n v="124.78000000000002"/>
    <n v="736.44"/>
    <n v="48.45"/>
    <n v="197.92500000000001"/>
    <n v="246.375"/>
    <n v="5237.4000000000005"/>
    <n v="5483.7750000000005"/>
    <n v="6220.2150000000001"/>
  </r>
  <r>
    <x v="7"/>
    <x v="3"/>
    <s v="Rural"/>
    <n v="20581"/>
    <n v="552"/>
    <n v="3462"/>
    <n v="265"/>
    <n v="472"/>
    <n v="12062"/>
    <n v="3768"/>
    <n v="16261"/>
    <n v="8.6999999999999994E-2"/>
    <n v="0.248"/>
    <n v="0.20599999999999999"/>
    <n v="48.023999999999994"/>
    <n v="301.19399999999996"/>
    <n v="23.055"/>
    <n v="117.056"/>
    <n v="140.11099999999999"/>
    <n v="2991.3760000000002"/>
    <n v="3131.4870000000001"/>
    <n v="3432.681"/>
  </r>
  <r>
    <x v="8"/>
    <x v="4"/>
    <s v="Rural"/>
    <n v="35250"/>
    <n v="1070"/>
    <n v="6544"/>
    <n v="452"/>
    <n v="874"/>
    <n v="19944"/>
    <n v="6366"/>
    <n v="27814"/>
    <n v="8.5999999999999993E-2"/>
    <n v="0.21199999999999999"/>
    <n v="0.17699999999999999"/>
    <n v="92.02"/>
    <n v="562.78399999999999"/>
    <n v="38.872"/>
    <n v="185.28799999999998"/>
    <n v="224.15999999999997"/>
    <n v="4228.1279999999997"/>
    <n v="4452.2879999999996"/>
    <n v="5015.0719999999992"/>
  </r>
  <r>
    <x v="9"/>
    <x v="5"/>
    <s v="Rural"/>
    <n v="118634"/>
    <n v="3114"/>
    <n v="18007"/>
    <n v="1047"/>
    <n v="1990"/>
    <n v="63008"/>
    <n v="31468"/>
    <n v="84052"/>
    <n v="7.8E-2"/>
    <n v="0.2"/>
    <n v="0.17"/>
    <n v="242.892"/>
    <n v="1404.546"/>
    <n v="81.665999999999997"/>
    <n v="398"/>
    <n v="479.666"/>
    <n v="12601.6"/>
    <n v="13081.266"/>
    <n v="14485.812"/>
  </r>
  <r>
    <x v="10"/>
    <x v="1"/>
    <s v="Urban"/>
    <n v="251995"/>
    <n v="7860"/>
    <n v="41648"/>
    <n v="2776"/>
    <n v="5859"/>
    <n v="148675"/>
    <n v="45177"/>
    <n v="198958"/>
    <n v="7.6999999999999999E-2"/>
    <n v="0.185"/>
    <n v="0.158"/>
    <n v="605.22"/>
    <n v="3206.8960000000002"/>
    <n v="213.75200000000001"/>
    <n v="1083.915"/>
    <n v="1297.6669999999999"/>
    <n v="27504.875"/>
    <n v="28802.542000000001"/>
    <n v="32009.438000000002"/>
  </r>
  <r>
    <x v="11"/>
    <x v="6"/>
    <s v="Rural"/>
    <n v="89184"/>
    <n v="2545"/>
    <n v="16036"/>
    <n v="1646"/>
    <n v="2917"/>
    <n v="49880"/>
    <n v="16160"/>
    <n v="70479"/>
    <n v="0.08"/>
    <n v="0.187"/>
    <n v="0.156"/>
    <n v="203.6"/>
    <n v="1282.8800000000001"/>
    <n v="131.68"/>
    <n v="545.47900000000004"/>
    <n v="677.15900000000011"/>
    <n v="9327.56"/>
    <n v="10004.718999999999"/>
    <n v="11287.598999999998"/>
  </r>
  <r>
    <x v="12"/>
    <x v="0"/>
    <s v="Urban"/>
    <n v="189528"/>
    <n v="6974"/>
    <n v="41883"/>
    <n v="2531"/>
    <n v="4967"/>
    <n v="109584"/>
    <n v="23589"/>
    <n v="158965"/>
    <n v="8.1000000000000003E-2"/>
    <n v="0.20899999999999999"/>
    <n v="0.16800000000000001"/>
    <n v="564.89400000000001"/>
    <n v="3392.5230000000001"/>
    <n v="205.011"/>
    <n v="1038.1030000000001"/>
    <n v="1243.114"/>
    <n v="22903.056"/>
    <n v="24146.170000000002"/>
    <n v="27538.693000000003"/>
  </r>
  <r>
    <x v="13"/>
    <x v="1"/>
    <s v="Rural"/>
    <n v="82405"/>
    <n v="2371"/>
    <n v="14956"/>
    <n v="1093"/>
    <n v="2268"/>
    <n v="47225"/>
    <n v="14492"/>
    <n v="65542"/>
    <n v="7.6999999999999999E-2"/>
    <n v="0.186"/>
    <n v="0.156"/>
    <n v="182.56700000000001"/>
    <n v="1151.6120000000001"/>
    <n v="84.161000000000001"/>
    <n v="421.84800000000001"/>
    <n v="506.00900000000001"/>
    <n v="8783.85"/>
    <n v="9289.8590000000004"/>
    <n v="10441.471000000001"/>
  </r>
  <r>
    <x v="14"/>
    <x v="3"/>
    <s v="Rural"/>
    <n v="10092"/>
    <n v="246"/>
    <n v="1971"/>
    <n v="130"/>
    <n v="255"/>
    <n v="5967"/>
    <n v="1523"/>
    <n v="8323"/>
    <n v="6.8000000000000005E-2"/>
    <n v="0.19500000000000001"/>
    <n v="0.156"/>
    <n v="16.728000000000002"/>
    <n v="134.02800000000002"/>
    <n v="8.84"/>
    <n v="49.725000000000001"/>
    <n v="58.564999999999998"/>
    <n v="1163.5650000000001"/>
    <n v="1222.1300000000001"/>
    <n v="1356.1580000000001"/>
  </r>
  <r>
    <x v="15"/>
    <x v="5"/>
    <s v="Rural"/>
    <n v="70101"/>
    <n v="1890"/>
    <n v="10702"/>
    <n v="765"/>
    <n v="1464"/>
    <n v="40010"/>
    <n v="15270"/>
    <n v="52941"/>
    <n v="7.3999999999999996E-2"/>
    <n v="0.188"/>
    <n v="0.161"/>
    <n v="139.85999999999999"/>
    <n v="791.94799999999998"/>
    <n v="56.61"/>
    <n v="275.23200000000003"/>
    <n v="331.84200000000004"/>
    <n v="7521.88"/>
    <n v="7853.7219999999998"/>
    <n v="8645.67"/>
  </r>
  <r>
    <x v="16"/>
    <x v="0"/>
    <s v="Rural"/>
    <n v="23708"/>
    <n v="612"/>
    <n v="3870"/>
    <n v="229"/>
    <n v="521"/>
    <n v="14106"/>
    <n v="4370"/>
    <n v="18726"/>
    <n v="8.1000000000000003E-2"/>
    <n v="0.23200000000000001"/>
    <n v="0.19400000000000001"/>
    <n v="49.572000000000003"/>
    <n v="313.47000000000003"/>
    <n v="18.548999999999999"/>
    <n v="120.872"/>
    <n v="139.42099999999999"/>
    <n v="3272.5920000000001"/>
    <n v="3412.0129999999999"/>
    <n v="3725.4830000000002"/>
  </r>
  <r>
    <x v="17"/>
    <x v="6"/>
    <s v="Urban"/>
    <n v="155545"/>
    <n v="5256"/>
    <n v="30145"/>
    <n v="2102"/>
    <n v="4251"/>
    <n v="88905"/>
    <n v="24886"/>
    <n v="125403"/>
    <n v="7.9000000000000001E-2"/>
    <n v="0.17499999999999999"/>
    <n v="0.14699999999999999"/>
    <n v="415.22399999999999"/>
    <n v="2381.4549999999999"/>
    <n v="166.05799999999999"/>
    <n v="743.92499999999995"/>
    <n v="909.98299999999995"/>
    <n v="15558.374999999998"/>
    <n v="16468.357999999997"/>
    <n v="18849.812999999995"/>
  </r>
  <r>
    <x v="18"/>
    <x v="0"/>
    <s v="Rural"/>
    <n v="68770"/>
    <n v="1889"/>
    <n v="12029"/>
    <n v="721"/>
    <n v="1342"/>
    <n v="37666"/>
    <n v="15123"/>
    <n v="51758"/>
    <n v="8.8999999999999996E-2"/>
    <n v="0.22500000000000001"/>
    <n v="0.188"/>
    <n v="168.12099999999998"/>
    <n v="1070.5809999999999"/>
    <n v="64.168999999999997"/>
    <n v="301.95"/>
    <n v="366.11899999999997"/>
    <n v="8474.85"/>
    <n v="8840.969000000001"/>
    <n v="9911.5500000000011"/>
  </r>
  <r>
    <x v="19"/>
    <x v="1"/>
    <s v="Rural"/>
    <n v="27060"/>
    <n v="571"/>
    <n v="4249"/>
    <n v="306"/>
    <n v="551"/>
    <n v="14102"/>
    <n v="7281"/>
    <n v="19208"/>
    <n v="7.9000000000000001E-2"/>
    <n v="0.17199999999999999"/>
    <n v="0.14799999999999999"/>
    <n v="45.109000000000002"/>
    <n v="335.67099999999999"/>
    <n v="24.173999999999999"/>
    <n v="94.771999999999991"/>
    <n v="118.946"/>
    <n v="2425.5439999999999"/>
    <n v="2544.4899999999998"/>
    <n v="2880.1609999999996"/>
  </r>
  <r>
    <x v="20"/>
    <x v="3"/>
    <s v="Rural"/>
    <n v="14839"/>
    <n v="466"/>
    <n v="2681"/>
    <n v="193"/>
    <n v="330"/>
    <n v="7925"/>
    <n v="3244"/>
    <n v="11129"/>
    <n v="8.2000000000000003E-2"/>
    <n v="0.20599999999999999"/>
    <n v="0.17"/>
    <n v="38.212000000000003"/>
    <n v="219.84200000000001"/>
    <n v="15.826000000000001"/>
    <n v="67.97999999999999"/>
    <n v="83.805999999999983"/>
    <n v="1632.55"/>
    <n v="1716.356"/>
    <n v="1936.1980000000001"/>
  </r>
  <r>
    <x v="21"/>
    <x v="1"/>
    <s v="Rural"/>
    <n v="10621"/>
    <n v="199"/>
    <n v="1625"/>
    <n v="121"/>
    <n v="198"/>
    <n v="5515"/>
    <n v="2963"/>
    <n v="7459"/>
    <n v="7.5999999999999998E-2"/>
    <n v="0.187"/>
    <n v="0.16"/>
    <n v="15.123999999999999"/>
    <n v="123.5"/>
    <n v="9.1959999999999997"/>
    <n v="37.026000000000003"/>
    <n v="46.222000000000001"/>
    <n v="1031.3050000000001"/>
    <n v="1077.527"/>
    <n v="1201.027"/>
  </r>
  <r>
    <x v="22"/>
    <x v="6"/>
    <s v="Rural"/>
    <n v="97245"/>
    <n v="3144"/>
    <n v="18366"/>
    <n v="1458"/>
    <n v="2959"/>
    <n v="54819"/>
    <n v="16499"/>
    <n v="77602"/>
    <n v="7.9000000000000001E-2"/>
    <n v="0.193"/>
    <n v="0.16"/>
    <n v="248.376"/>
    <n v="1450.914"/>
    <n v="115.182"/>
    <n v="571.08699999999999"/>
    <n v="686.26900000000001"/>
    <n v="10580.067000000001"/>
    <n v="11266.336000000001"/>
    <n v="12717.250000000002"/>
  </r>
  <r>
    <x v="23"/>
    <x v="4"/>
    <s v="Rural"/>
    <n v="57376"/>
    <n v="1775"/>
    <n v="10855"/>
    <n v="787"/>
    <n v="1493"/>
    <n v="32515"/>
    <n v="9951"/>
    <n v="45650"/>
    <n v="8.5000000000000006E-2"/>
    <n v="0.222"/>
    <n v="0.183"/>
    <n v="150.875"/>
    <n v="922.67500000000007"/>
    <n v="66.89500000000001"/>
    <n v="331.44600000000003"/>
    <n v="398.34100000000001"/>
    <n v="7218.33"/>
    <n v="7616.6710000000003"/>
    <n v="8539.3459999999995"/>
  </r>
  <r>
    <x v="24"/>
    <x v="3"/>
    <s v="Rural"/>
    <n v="104288"/>
    <n v="4666"/>
    <n v="20981"/>
    <n v="1235"/>
    <n v="3506"/>
    <n v="56727"/>
    <n v="17173"/>
    <n v="82449"/>
    <n v="0.08"/>
    <n v="0.20200000000000001"/>
    <n v="0.16600000000000001"/>
    <n v="373.28000000000003"/>
    <n v="1678.48"/>
    <n v="98.8"/>
    <n v="708.21199999999999"/>
    <n v="807.01199999999994"/>
    <n v="11458.854000000001"/>
    <n v="12265.866000000002"/>
    <n v="13944.346000000001"/>
  </r>
  <r>
    <x v="25"/>
    <x v="7"/>
    <s v="Urban"/>
    <n v="334466"/>
    <n v="16582"/>
    <n v="72833"/>
    <n v="4351"/>
    <n v="11340"/>
    <n v="193061"/>
    <n v="36299"/>
    <n v="281585"/>
    <n v="8.5999999999999993E-2"/>
    <n v="0.22800000000000001"/>
    <n v="0.184"/>
    <n v="1426.0519999999999"/>
    <n v="6263.6379999999999"/>
    <n v="374.18599999999998"/>
    <n v="2585.52"/>
    <n v="2959.7060000000001"/>
    <n v="44017.908000000003"/>
    <n v="46977.614000000001"/>
    <n v="53241.252"/>
  </r>
  <r>
    <x v="26"/>
    <x v="3"/>
    <s v="Rural"/>
    <n v="24055"/>
    <n v="571"/>
    <n v="4474"/>
    <n v="322"/>
    <n v="610"/>
    <n v="14465"/>
    <n v="3613"/>
    <n v="19871"/>
    <n v="7.0000000000000007E-2"/>
    <n v="0.19800000000000001"/>
    <n v="0.16200000000000001"/>
    <n v="39.970000000000006"/>
    <n v="313.18"/>
    <n v="22.540000000000003"/>
    <n v="120.78"/>
    <n v="143.32"/>
    <n v="2864.07"/>
    <n v="3007.3900000000003"/>
    <n v="3320.57"/>
  </r>
  <r>
    <x v="27"/>
    <x v="3"/>
    <s v="Rural"/>
    <n v="35471"/>
    <n v="1083"/>
    <n v="5746"/>
    <n v="339"/>
    <n v="579"/>
    <n v="21198"/>
    <n v="6526"/>
    <n v="27862"/>
    <n v="7.8E-2"/>
    <n v="0.182"/>
    <n v="0.157"/>
    <n v="84.474000000000004"/>
    <n v="448.18799999999999"/>
    <n v="26.442"/>
    <n v="105.378"/>
    <n v="131.82"/>
    <n v="3858.0360000000001"/>
    <n v="3989.8560000000002"/>
    <n v="4438.0439999999999"/>
  </r>
  <r>
    <x v="28"/>
    <x v="0"/>
    <s v="Urban"/>
    <n v="164110"/>
    <n v="5151"/>
    <n v="31783"/>
    <n v="1884"/>
    <n v="3922"/>
    <n v="94532"/>
    <n v="26838"/>
    <n v="132121"/>
    <n v="7.8E-2"/>
    <n v="0.20499999999999999"/>
    <n v="0.16900000000000001"/>
    <n v="401.77800000000002"/>
    <n v="2479.0740000000001"/>
    <n v="146.952"/>
    <n v="804.01"/>
    <n v="950.96199999999999"/>
    <n v="19379.059999999998"/>
    <n v="20330.021999999997"/>
    <n v="22809.095999999998"/>
  </r>
  <r>
    <x v="29"/>
    <x v="8"/>
    <s v="Rural"/>
    <n v="41647"/>
    <n v="1195"/>
    <n v="7740"/>
    <n v="582"/>
    <n v="952"/>
    <n v="23413"/>
    <n v="7765"/>
    <n v="32687"/>
    <n v="7.5999999999999998E-2"/>
    <n v="0.19800000000000001"/>
    <n v="0.16300000000000001"/>
    <n v="90.82"/>
    <n v="588.24"/>
    <n v="44.231999999999999"/>
    <n v="188.49600000000001"/>
    <n v="232.72800000000001"/>
    <n v="4635.7740000000003"/>
    <n v="4868.5020000000004"/>
    <n v="5456.7420000000002"/>
  </r>
  <r>
    <x v="30"/>
    <x v="4"/>
    <s v="Rural"/>
    <n v="60453"/>
    <n v="2260"/>
    <n v="12585"/>
    <n v="801"/>
    <n v="1523"/>
    <n v="33466"/>
    <n v="9818"/>
    <n v="48375"/>
    <n v="0.1"/>
    <n v="0.26700000000000002"/>
    <n v="0.216"/>
    <n v="226"/>
    <n v="1258.5"/>
    <n v="80.100000000000009"/>
    <n v="406.64100000000002"/>
    <n v="486.74100000000004"/>
    <n v="8935.4220000000005"/>
    <n v="9422.1630000000005"/>
    <n v="10680.663"/>
  </r>
  <r>
    <x v="31"/>
    <x v="7"/>
    <s v="Urban"/>
    <n v="291413"/>
    <n v="12769"/>
    <n v="54262"/>
    <n v="4015"/>
    <n v="9915"/>
    <n v="178175"/>
    <n v="32277"/>
    <n v="246367"/>
    <n v="9.0999999999999998E-2"/>
    <n v="0.215"/>
    <n v="0.18099999999999999"/>
    <n v="1161.979"/>
    <n v="4937.8419999999996"/>
    <n v="365.36500000000001"/>
    <n v="2131.7249999999999"/>
    <n v="2497.09"/>
    <n v="38307.625"/>
    <n v="40804.714999999997"/>
    <n v="45742.556999999993"/>
  </r>
  <r>
    <x v="32"/>
    <x v="4"/>
    <s v="Rural"/>
    <n v="55735"/>
    <n v="1889"/>
    <n v="11061"/>
    <n v="783"/>
    <n v="1516"/>
    <n v="31210"/>
    <n v="9276"/>
    <n v="44570"/>
    <n v="8.7999999999999995E-2"/>
    <n v="0.222"/>
    <n v="0.182"/>
    <n v="166.232"/>
    <n v="973.36799999999994"/>
    <n v="68.903999999999996"/>
    <n v="336.55200000000002"/>
    <n v="405.45600000000002"/>
    <n v="6928.62"/>
    <n v="7334.076"/>
    <n v="8307.4439999999995"/>
  </r>
  <r>
    <x v="33"/>
    <x v="8"/>
    <s v="Urban"/>
    <n v="363211"/>
    <n v="13669"/>
    <n v="72775"/>
    <n v="4772"/>
    <n v="9984"/>
    <n v="209664"/>
    <n v="52347"/>
    <n v="297195"/>
    <n v="8.8999999999999996E-2"/>
    <n v="0.20300000000000001"/>
    <n v="0.16900000000000001"/>
    <n v="1216.5409999999999"/>
    <n v="6476.9749999999995"/>
    <n v="424.70799999999997"/>
    <n v="2026.7520000000002"/>
    <n v="2451.46"/>
    <n v="42561.792000000001"/>
    <n v="45013.252"/>
    <n v="51490.226999999999"/>
  </r>
  <r>
    <x v="34"/>
    <x v="0"/>
    <s v="Rural"/>
    <n v="63496"/>
    <n v="2018"/>
    <n v="12618"/>
    <n v="876"/>
    <n v="1554"/>
    <n v="36950"/>
    <n v="9480"/>
    <n v="51998"/>
    <n v="8.4000000000000005E-2"/>
    <n v="0.23"/>
    <n v="0.187"/>
    <n v="169.512"/>
    <n v="1059.912"/>
    <n v="73.584000000000003"/>
    <n v="357.42"/>
    <n v="431.00400000000002"/>
    <n v="8498.5"/>
    <n v="8929.5040000000008"/>
    <n v="9989.4160000000011"/>
  </r>
  <r>
    <x v="35"/>
    <x v="6"/>
    <s v="Urban"/>
    <n v="210980"/>
    <n v="7429"/>
    <n v="41214"/>
    <n v="2831"/>
    <n v="5483"/>
    <n v="122842"/>
    <n v="31181"/>
    <n v="172370"/>
    <n v="0.08"/>
    <n v="0.20300000000000001"/>
    <n v="0.16800000000000001"/>
    <n v="594.32000000000005"/>
    <n v="3297.12"/>
    <n v="226.48000000000002"/>
    <n v="1113.049"/>
    <n v="1339.529"/>
    <n v="24936.926000000003"/>
    <n v="26276.455000000002"/>
    <n v="29573.575000000001"/>
  </r>
  <r>
    <x v="36"/>
    <x v="3"/>
    <s v="Rural"/>
    <n v="11263"/>
    <n v="253"/>
    <n v="1965"/>
    <n v="148"/>
    <n v="364"/>
    <n v="6509"/>
    <n v="2024"/>
    <n v="8986"/>
    <n v="7.6999999999999999E-2"/>
    <n v="0.22800000000000001"/>
    <n v="0.185"/>
    <n v="19.480999999999998"/>
    <n v="151.30500000000001"/>
    <n v="11.395999999999999"/>
    <n v="82.992000000000004"/>
    <n v="94.388000000000005"/>
    <n v="1484.0520000000001"/>
    <n v="1578.44"/>
    <n v="1729.7450000000001"/>
  </r>
  <r>
    <x v="37"/>
    <x v="1"/>
    <s v="Rural"/>
    <n v="8979"/>
    <n v="271"/>
    <n v="1607"/>
    <n v="106"/>
    <n v="217"/>
    <n v="4772"/>
    <n v="2006"/>
    <n v="6702"/>
    <n v="7.9000000000000001E-2"/>
    <n v="0.20399999999999999"/>
    <n v="0.16900000000000001"/>
    <n v="21.408999999999999"/>
    <n v="126.953"/>
    <n v="8.3740000000000006"/>
    <n v="44.268000000000001"/>
    <n v="52.642000000000003"/>
    <n v="973.48799999999994"/>
    <n v="1026.1299999999999"/>
    <n v="1153.0829999999999"/>
  </r>
  <r>
    <x v="38"/>
    <x v="0"/>
    <s v="Rural"/>
    <n v="58042"/>
    <n v="1631"/>
    <n v="10344"/>
    <n v="727"/>
    <n v="1892"/>
    <n v="34871"/>
    <n v="8577"/>
    <n v="47834"/>
    <n v="8.4000000000000005E-2"/>
    <n v="0.20499999999999999"/>
    <n v="0.17299999999999999"/>
    <n v="137.00400000000002"/>
    <n v="868.89600000000007"/>
    <n v="61.068000000000005"/>
    <n v="387.85999999999996"/>
    <n v="448.92799999999994"/>
    <n v="7148.5549999999994"/>
    <n v="7597.4829999999993"/>
    <n v="8466.378999999999"/>
  </r>
  <r>
    <x v="39"/>
    <x v="4"/>
    <s v="Rural"/>
    <n v="21059"/>
    <n v="633"/>
    <n v="4092"/>
    <n v="246"/>
    <n v="439"/>
    <n v="12639"/>
    <n v="3010"/>
    <n v="17416"/>
    <n v="9.7000000000000003E-2"/>
    <n v="0.27"/>
    <n v="0.223"/>
    <n v="61.401000000000003"/>
    <n v="396.92400000000004"/>
    <n v="23.862000000000002"/>
    <n v="118.53"/>
    <n v="142.392"/>
    <n v="3412.53"/>
    <n v="3554.922"/>
    <n v="3951.846"/>
  </r>
  <r>
    <x v="40"/>
    <x v="2"/>
    <s v="Urban"/>
    <n v="513089"/>
    <n v="18128"/>
    <n v="96852"/>
    <n v="8274"/>
    <n v="18750"/>
    <n v="300463"/>
    <n v="70622"/>
    <n v="424339"/>
    <n v="8.5000000000000006E-2"/>
    <n v="0.20300000000000001"/>
    <n v="0.16900000000000001"/>
    <n v="1540.88"/>
    <n v="8232.42"/>
    <n v="703.29000000000008"/>
    <n v="3806.2500000000005"/>
    <n v="4509.5400000000009"/>
    <n v="60993.989000000001"/>
    <n v="65503.529000000002"/>
    <n v="73735.949000000008"/>
  </r>
  <r>
    <x v="41"/>
    <x v="0"/>
    <s v="Rural"/>
    <n v="53432"/>
    <n v="1660"/>
    <n v="9959"/>
    <n v="593"/>
    <n v="1348"/>
    <n v="30210"/>
    <n v="9662"/>
    <n v="42110"/>
    <n v="8.5999999999999993E-2"/>
    <n v="0.23"/>
    <n v="0.189"/>
    <n v="142.76"/>
    <n v="856.47399999999993"/>
    <n v="50.997999999999998"/>
    <n v="310.04000000000002"/>
    <n v="361.03800000000001"/>
    <n v="6948.3"/>
    <n v="7309.3379999999997"/>
    <n v="8165.8119999999999"/>
  </r>
  <r>
    <x v="42"/>
    <x v="2"/>
    <s v="Rural"/>
    <n v="125646"/>
    <n v="5438"/>
    <n v="28927"/>
    <n v="1887"/>
    <n v="3654"/>
    <n v="71054"/>
    <n v="14686"/>
    <n v="105522"/>
    <n v="8.5000000000000006E-2"/>
    <n v="0.24299999999999999"/>
    <n v="0.191"/>
    <n v="462.23"/>
    <n v="2458.7950000000001"/>
    <n v="160.39500000000001"/>
    <n v="887.92200000000003"/>
    <n v="1048.317"/>
    <n v="17266.121999999999"/>
    <n v="18314.438999999998"/>
    <n v="20773.233999999997"/>
  </r>
  <r>
    <x v="43"/>
    <x v="1"/>
    <s v="Rural"/>
    <n v="59955"/>
    <n v="1667"/>
    <n v="9454"/>
    <n v="676"/>
    <n v="1256"/>
    <n v="32712"/>
    <n v="14190"/>
    <n v="44098"/>
    <n v="7.3999999999999996E-2"/>
    <n v="0.18"/>
    <n v="0.153"/>
    <n v="123.35799999999999"/>
    <n v="699.596"/>
    <n v="50.024000000000001"/>
    <n v="226.07999999999998"/>
    <n v="276.10399999999998"/>
    <n v="5888.16"/>
    <n v="6164.2640000000001"/>
    <n v="6863.8600000000006"/>
  </r>
  <r>
    <x v="44"/>
    <x v="1"/>
    <s v="Rural"/>
    <n v="110264"/>
    <n v="3198"/>
    <n v="18795"/>
    <n v="1136"/>
    <n v="1922"/>
    <n v="58018"/>
    <n v="27195"/>
    <n v="79871"/>
    <n v="8.2000000000000003E-2"/>
    <n v="0.2"/>
    <n v="0.16800000000000001"/>
    <n v="262.23599999999999"/>
    <n v="1541.19"/>
    <n v="93.152000000000001"/>
    <n v="384.40000000000003"/>
    <n v="477.55200000000002"/>
    <n v="11603.6"/>
    <n v="12081.152"/>
    <n v="13622.342000000001"/>
  </r>
  <r>
    <x v="45"/>
    <x v="3"/>
    <s v="Rural"/>
    <n v="24511"/>
    <n v="668"/>
    <n v="4205"/>
    <n v="506"/>
    <n v="831"/>
    <n v="14030"/>
    <n v="4271"/>
    <n v="19572"/>
    <n v="8.8999999999999996E-2"/>
    <n v="0.22700000000000001"/>
    <n v="0.188"/>
    <n v="59.451999999999998"/>
    <n v="374.245"/>
    <n v="45.033999999999999"/>
    <n v="188.637"/>
    <n v="233.67099999999999"/>
    <n v="3184.81"/>
    <n v="3418.4809999999998"/>
    <n v="3792.7259999999997"/>
  </r>
  <r>
    <x v="46"/>
    <x v="2"/>
    <s v="Rural"/>
    <n v="51434"/>
    <n v="2805"/>
    <n v="13055"/>
    <n v="678"/>
    <n v="1287"/>
    <n v="29259"/>
    <n v="4350"/>
    <n v="44279"/>
    <n v="8.7999999999999995E-2"/>
    <n v="0.27100000000000002"/>
    <n v="0.21"/>
    <n v="246.83999999999997"/>
    <n v="1148.8399999999999"/>
    <n v="59.663999999999994"/>
    <n v="348.77700000000004"/>
    <n v="408.44100000000003"/>
    <n v="7929.1890000000003"/>
    <n v="8337.630000000001"/>
    <n v="9486.4700000000012"/>
  </r>
  <r>
    <x v="47"/>
    <x v="3"/>
    <s v="Rural"/>
    <n v="5837"/>
    <n v="152"/>
    <n v="861"/>
    <n v="70"/>
    <n v="122"/>
    <n v="3640"/>
    <n v="992"/>
    <n v="4693"/>
    <n v="8.5000000000000006E-2"/>
    <n v="0.246"/>
    <n v="0.20899999999999999"/>
    <n v="12.920000000000002"/>
    <n v="73.185000000000002"/>
    <n v="5.95"/>
    <n v="30.012"/>
    <n v="35.962000000000003"/>
    <n v="895.43999999999994"/>
    <n v="931.40199999999993"/>
    <n v="1004.587"/>
  </r>
  <r>
    <x v="48"/>
    <x v="6"/>
    <s v="Rural"/>
    <n v="167078"/>
    <n v="5294"/>
    <n v="33970"/>
    <n v="2394"/>
    <n v="4366"/>
    <n v="96911"/>
    <n v="24143"/>
    <n v="137641"/>
    <n v="7.6999999999999999E-2"/>
    <n v="0.191"/>
    <n v="0.157"/>
    <n v="407.63799999999998"/>
    <n v="2615.69"/>
    <n v="184.33799999999999"/>
    <n v="833.90600000000006"/>
    <n v="1018.244"/>
    <n v="18510.001"/>
    <n v="19528.244999999999"/>
    <n v="22143.934999999998"/>
  </r>
  <r>
    <x v="49"/>
    <x v="1"/>
    <s v="Rural"/>
    <n v="40951"/>
    <n v="1120"/>
    <n v="6095"/>
    <n v="1033"/>
    <n v="2776"/>
    <n v="22623"/>
    <n v="7304"/>
    <n v="32527"/>
    <n v="8.3000000000000004E-2"/>
    <n v="0.20599999999999999"/>
    <n v="0.17399999999999999"/>
    <n v="92.960000000000008"/>
    <n v="505.88500000000005"/>
    <n v="85.739000000000004"/>
    <n v="571.85599999999999"/>
    <n v="657.59500000000003"/>
    <n v="4660.3379999999997"/>
    <n v="5317.933"/>
    <n v="5823.8180000000002"/>
  </r>
  <r>
    <x v="50"/>
    <x v="7"/>
    <s v="Rural"/>
    <n v="180064"/>
    <n v="6730"/>
    <n v="40708"/>
    <n v="2658"/>
    <n v="4330"/>
    <n v="104046"/>
    <n v="21592"/>
    <n v="151742"/>
    <n v="8.5000000000000006E-2"/>
    <n v="0.23300000000000001"/>
    <n v="0.185"/>
    <n v="572.05000000000007"/>
    <n v="3460.1800000000003"/>
    <n v="225.93"/>
    <n v="1008.8900000000001"/>
    <n v="1234.8200000000002"/>
    <n v="24242.718000000001"/>
    <n v="25477.538"/>
    <n v="28937.718000000001"/>
  </r>
  <r>
    <x v="51"/>
    <x v="3"/>
    <s v="Rural"/>
    <n v="10579"/>
    <n v="303"/>
    <n v="1877"/>
    <n v="109"/>
    <n v="189"/>
    <n v="6075"/>
    <n v="2026"/>
    <n v="8250"/>
    <n v="8.3000000000000004E-2"/>
    <n v="0.22700000000000001"/>
    <n v="0.189"/>
    <n v="25.149000000000001"/>
    <n v="155.791"/>
    <n v="9.0470000000000006"/>
    <n v="42.902999999999999"/>
    <n v="51.95"/>
    <n v="1379.0250000000001"/>
    <n v="1430.9750000000001"/>
    <n v="1586.7660000000001"/>
  </r>
  <r>
    <x v="52"/>
    <x v="2"/>
    <s v="Rural"/>
    <n v="60314"/>
    <n v="2425"/>
    <n v="12706"/>
    <n v="798"/>
    <n v="1537"/>
    <n v="33681"/>
    <n v="9167"/>
    <n v="48722"/>
    <n v="9.4E-2"/>
    <n v="0.222"/>
    <n v="0.182"/>
    <n v="227.95"/>
    <n v="1194.364"/>
    <n v="75.012"/>
    <n v="341.214"/>
    <n v="416.226"/>
    <n v="7477.1819999999998"/>
    <n v="7893.4079999999994"/>
    <n v="9087.771999999999"/>
  </r>
  <r>
    <x v="53"/>
    <x v="4"/>
    <s v="Rural"/>
    <n v="59016"/>
    <n v="1935"/>
    <n v="11469"/>
    <n v="729"/>
    <n v="1576"/>
    <n v="32853"/>
    <n v="10454"/>
    <n v="46627"/>
    <n v="8.6999999999999994E-2"/>
    <n v="0.20899999999999999"/>
    <n v="0.17299999999999999"/>
    <n v="168.345"/>
    <n v="997.80299999999988"/>
    <n v="63.422999999999995"/>
    <n v="329.38400000000001"/>
    <n v="392.80700000000002"/>
    <n v="6866.277"/>
    <n v="7259.0839999999998"/>
    <n v="8256.8869999999988"/>
  </r>
  <r>
    <x v="54"/>
    <x v="6"/>
    <s v="Rural"/>
    <n v="80329"/>
    <n v="2309"/>
    <n v="15117"/>
    <n v="1063"/>
    <n v="1980"/>
    <n v="47227"/>
    <n v="12633"/>
    <n v="65387"/>
    <n v="7.5999999999999998E-2"/>
    <n v="0.20300000000000001"/>
    <n v="0.16800000000000001"/>
    <n v="175.48400000000001"/>
    <n v="1148.8920000000001"/>
    <n v="80.787999999999997"/>
    <n v="401.94000000000005"/>
    <n v="482.72800000000007"/>
    <n v="9587.0810000000001"/>
    <n v="10069.809000000001"/>
    <n v="11218.701000000001"/>
  </r>
  <r>
    <x v="55"/>
    <x v="1"/>
    <s v="Rural"/>
    <n v="34133"/>
    <n v="1009"/>
    <n v="5431"/>
    <n v="359"/>
    <n v="694"/>
    <n v="17514"/>
    <n v="9126"/>
    <n v="23998"/>
    <n v="8.1000000000000003E-2"/>
    <n v="0.19500000000000001"/>
    <n v="0.16400000000000001"/>
    <n v="81.728999999999999"/>
    <n v="439.911"/>
    <n v="29.079000000000001"/>
    <n v="135.33000000000001"/>
    <n v="164.40900000000002"/>
    <n v="3415.23"/>
    <n v="3579.6390000000001"/>
    <n v="4019.55"/>
  </r>
  <r>
    <x v="56"/>
    <x v="1"/>
    <s v="Rural"/>
    <n v="21440"/>
    <n v="576"/>
    <n v="3427"/>
    <n v="354"/>
    <n v="818"/>
    <n v="11899"/>
    <n v="4366"/>
    <n v="16498"/>
    <n v="7.4999999999999997E-2"/>
    <n v="0.192"/>
    <n v="0.161"/>
    <n v="43.199999999999996"/>
    <n v="257.02499999999998"/>
    <n v="26.55"/>
    <n v="157.05600000000001"/>
    <n v="183.60600000000002"/>
    <n v="2284.6080000000002"/>
    <n v="2468.2140000000004"/>
    <n v="2725.2390000000005"/>
  </r>
  <r>
    <x v="57"/>
    <x v="3"/>
    <s v="Rural"/>
    <n v="23608"/>
    <n v="707"/>
    <n v="4230"/>
    <n v="256"/>
    <n v="498"/>
    <n v="13154"/>
    <n v="4763"/>
    <n v="18138"/>
    <n v="8.5000000000000006E-2"/>
    <n v="0.21099999999999999"/>
    <n v="0.17599999999999999"/>
    <n v="60.095000000000006"/>
    <n v="359.55"/>
    <n v="21.76"/>
    <n v="105.078"/>
    <n v="126.83800000000001"/>
    <n v="2775.4939999999997"/>
    <n v="2902.3319999999999"/>
    <n v="3261.8820000000001"/>
  </r>
  <r>
    <x v="58"/>
    <x v="1"/>
    <s v="Rural"/>
    <n v="45298"/>
    <n v="1356"/>
    <n v="8062"/>
    <n v="574"/>
    <n v="989"/>
    <n v="25860"/>
    <n v="8457"/>
    <n v="35485"/>
    <n v="7.8E-2"/>
    <n v="0.189"/>
    <n v="0.159"/>
    <n v="105.768"/>
    <n v="628.83600000000001"/>
    <n v="44.771999999999998"/>
    <n v="186.92099999999999"/>
    <n v="231.69299999999998"/>
    <n v="4887.54"/>
    <n v="5119.2330000000002"/>
    <n v="5748.0690000000004"/>
  </r>
  <r>
    <x v="59"/>
    <x v="0"/>
    <s v="Urban"/>
    <n v="1010211"/>
    <n v="41507"/>
    <n v="204883"/>
    <n v="11525"/>
    <n v="25217"/>
    <n v="625337"/>
    <n v="101742"/>
    <n v="866962"/>
    <n v="8.6999999999999994E-2"/>
    <n v="0.21199999999999999"/>
    <n v="0.17499999999999999"/>
    <n v="3611.1089999999999"/>
    <n v="17824.821"/>
    <n v="1002.675"/>
    <n v="5346.0039999999999"/>
    <n v="6348.6790000000001"/>
    <n v="132571.44399999999"/>
    <n v="138920.12299999999"/>
    <n v="156744.94399999999"/>
  </r>
  <r>
    <x v="60"/>
    <x v="1"/>
    <s v="Rural"/>
    <n v="15357"/>
    <n v="434"/>
    <n v="2402"/>
    <n v="124"/>
    <n v="259"/>
    <n v="8639"/>
    <n v="3499"/>
    <n v="11424"/>
    <n v="7.5999999999999998E-2"/>
    <n v="0.187"/>
    <n v="0.159"/>
    <n v="32.984000000000002"/>
    <n v="182.55199999999999"/>
    <n v="9.4239999999999995"/>
    <n v="48.433"/>
    <n v="57.856999999999999"/>
    <n v="1615.4929999999999"/>
    <n v="1673.35"/>
    <n v="1855.9019999999998"/>
  </r>
  <r>
    <x v="61"/>
    <x v="2"/>
    <s v="Rural"/>
    <n v="27742"/>
    <n v="934"/>
    <n v="5404"/>
    <n v="380"/>
    <n v="812"/>
    <n v="15097"/>
    <n v="5115"/>
    <n v="21693"/>
    <n v="9.5000000000000001E-2"/>
    <n v="0.22500000000000001"/>
    <n v="0.187"/>
    <n v="88.73"/>
    <n v="513.38"/>
    <n v="36.1"/>
    <n v="182.70000000000002"/>
    <n v="218.8"/>
    <n v="3396.8250000000003"/>
    <n v="3615.6250000000005"/>
    <n v="4129.0050000000001"/>
  </r>
  <r>
    <x v="62"/>
    <x v="2"/>
    <s v="Rural"/>
    <n v="93144"/>
    <n v="2944"/>
    <n v="16624"/>
    <n v="1093"/>
    <n v="1926"/>
    <n v="47468"/>
    <n v="23089"/>
    <n v="67111"/>
    <n v="0.08"/>
    <n v="0.19500000000000001"/>
    <n v="0.16200000000000001"/>
    <n v="235.52"/>
    <n v="1329.92"/>
    <n v="87.44"/>
    <n v="375.57"/>
    <n v="463.01"/>
    <n v="9256.26"/>
    <n v="9719.27"/>
    <n v="11049.19"/>
  </r>
  <r>
    <x v="63"/>
    <x v="4"/>
    <s v="Rural"/>
    <n v="94459"/>
    <n v="3174"/>
    <n v="18056"/>
    <n v="1281"/>
    <n v="2329"/>
    <n v="54356"/>
    <n v="15263"/>
    <n v="76022"/>
    <n v="8.5999999999999993E-2"/>
    <n v="0.20699999999999999"/>
    <n v="0.17199999999999999"/>
    <n v="272.964"/>
    <n v="1552.8159999999998"/>
    <n v="110.166"/>
    <n v="482.10299999999995"/>
    <n v="592.26900000000001"/>
    <n v="11251.691999999999"/>
    <n v="11843.960999999999"/>
    <n v="13396.776999999998"/>
  </r>
  <r>
    <x v="64"/>
    <x v="5"/>
    <s v="Urban"/>
    <n v="217844"/>
    <n v="6688"/>
    <n v="34964"/>
    <n v="3439"/>
    <n v="8328"/>
    <n v="130240"/>
    <n v="34185"/>
    <n v="176971"/>
    <n v="7.9000000000000001E-2"/>
    <n v="0.2"/>
    <n v="0.16900000000000001"/>
    <n v="528.35199999999998"/>
    <n v="2762.1559999999999"/>
    <n v="271.68099999999998"/>
    <n v="1665.6000000000001"/>
    <n v="1937.2810000000002"/>
    <n v="26048"/>
    <n v="27985.280999999999"/>
    <n v="30747.436999999998"/>
  </r>
  <r>
    <x v="65"/>
    <x v="3"/>
    <s v="Rural"/>
    <n v="20958"/>
    <n v="550"/>
    <n v="3487"/>
    <n v="194"/>
    <n v="396"/>
    <n v="11734"/>
    <n v="4597"/>
    <n v="15811"/>
    <n v="8.5999999999999993E-2"/>
    <n v="0.23100000000000001"/>
    <n v="0.192"/>
    <n v="47.3"/>
    <n v="299.88199999999995"/>
    <n v="16.683999999999997"/>
    <n v="91.475999999999999"/>
    <n v="108.16"/>
    <n v="2710.5540000000001"/>
    <n v="2818.7139999999999"/>
    <n v="3118.596"/>
  </r>
  <r>
    <x v="66"/>
    <x v="5"/>
    <s v="Rural"/>
    <n v="197742"/>
    <n v="13004"/>
    <n v="41876"/>
    <n v="3129"/>
    <n v="11685"/>
    <n v="111366"/>
    <n v="16682"/>
    <n v="168056"/>
    <n v="0.08"/>
    <n v="0.24"/>
    <n v="0.192"/>
    <n v="1040.32"/>
    <n v="3350.08"/>
    <n v="250.32"/>
    <n v="2804.4"/>
    <n v="3054.7200000000003"/>
    <n v="26727.84"/>
    <n v="29782.560000000001"/>
    <n v="33132.639999999999"/>
  </r>
  <r>
    <x v="67"/>
    <x v="0"/>
    <s v="Urban"/>
    <n v="141422"/>
    <n v="3769"/>
    <n v="24290"/>
    <n v="3023"/>
    <n v="9098"/>
    <n v="84896"/>
    <n v="16346"/>
    <n v="121307"/>
    <n v="8.2000000000000003E-2"/>
    <n v="0.19500000000000001"/>
    <n v="0.16400000000000001"/>
    <n v="309.05799999999999"/>
    <n v="1991.78"/>
    <n v="247.88600000000002"/>
    <n v="1774.1100000000001"/>
    <n v="2021.9960000000001"/>
    <n v="16554.72"/>
    <n v="18576.716"/>
    <n v="20568.495999999999"/>
  </r>
  <r>
    <x v="68"/>
    <x v="3"/>
    <s v="Rural"/>
    <n v="13071"/>
    <n v="275"/>
    <n v="1891"/>
    <n v="102"/>
    <n v="222"/>
    <n v="7202"/>
    <n v="3379"/>
    <n v="9417"/>
    <n v="7.9000000000000001E-2"/>
    <n v="0.20200000000000001"/>
    <n v="0.17199999999999999"/>
    <n v="21.725000000000001"/>
    <n v="149.38900000000001"/>
    <n v="8.0579999999999998"/>
    <n v="44.844000000000001"/>
    <n v="52.902000000000001"/>
    <n v="1454.8040000000001"/>
    <n v="1507.7060000000001"/>
    <n v="1657.0950000000003"/>
  </r>
  <r>
    <x v="69"/>
    <x v="3"/>
    <s v="Rural"/>
    <n v="38919"/>
    <n v="1353"/>
    <n v="7515"/>
    <n v="718"/>
    <n v="1499"/>
    <n v="22108"/>
    <n v="5726"/>
    <n v="31840"/>
    <n v="8.2000000000000003E-2"/>
    <n v="0.21099999999999999"/>
    <n v="0.17399999999999999"/>
    <n v="110.946"/>
    <n v="616.23"/>
    <n v="58.876000000000005"/>
    <n v="316.28899999999999"/>
    <n v="375.16499999999996"/>
    <n v="4664.7879999999996"/>
    <n v="5039.9529999999995"/>
    <n v="5656.1829999999991"/>
  </r>
  <r>
    <x v="70"/>
    <x v="5"/>
    <s v="Rural"/>
    <n v="56589"/>
    <n v="1789"/>
    <n v="10276"/>
    <n v="682"/>
    <n v="1320"/>
    <n v="32879"/>
    <n v="9643"/>
    <n v="45157"/>
    <n v="0.08"/>
    <n v="0.222"/>
    <n v="0.182"/>
    <n v="143.12"/>
    <n v="822.08"/>
    <n v="54.56"/>
    <n v="293.04000000000002"/>
    <n v="347.6"/>
    <n v="7299.1379999999999"/>
    <n v="7646.7380000000003"/>
    <n v="8468.8180000000011"/>
  </r>
  <r>
    <x v="71"/>
    <x v="3"/>
    <s v="Rural"/>
    <n v="13823"/>
    <n v="386"/>
    <n v="2286"/>
    <n v="123"/>
    <n v="293"/>
    <n v="7276"/>
    <n v="3459"/>
    <n v="9978"/>
    <n v="7.6999999999999999E-2"/>
    <n v="0.215"/>
    <n v="0.17799999999999999"/>
    <n v="29.722000000000001"/>
    <n v="176.02199999999999"/>
    <n v="9.4710000000000001"/>
    <n v="62.994999999999997"/>
    <n v="72.465999999999994"/>
    <n v="1564.34"/>
    <n v="1636.8059999999998"/>
    <n v="1812.8279999999997"/>
  </r>
  <r>
    <x v="72"/>
    <x v="0"/>
    <s v="Rural"/>
    <n v="39231"/>
    <n v="1213"/>
    <n v="7272"/>
    <n v="461"/>
    <n v="847"/>
    <n v="22686"/>
    <n v="6752"/>
    <n v="31266"/>
    <n v="7.9000000000000001E-2"/>
    <n v="0.20699999999999999"/>
    <n v="0.17100000000000001"/>
    <n v="95.826999999999998"/>
    <n v="574.48800000000006"/>
    <n v="36.418999999999997"/>
    <n v="175.32899999999998"/>
    <n v="211.74799999999999"/>
    <n v="4696.0019999999995"/>
    <n v="4907.7499999999991"/>
    <n v="5482.2379999999994"/>
  </r>
  <r>
    <x v="73"/>
    <x v="3"/>
    <s v="Rural"/>
    <n v="175446"/>
    <n v="6239"/>
    <n v="32465"/>
    <n v="3837"/>
    <n v="10948"/>
    <n v="101970"/>
    <n v="19987"/>
    <n v="149220"/>
    <n v="8.5000000000000006E-2"/>
    <n v="0.22"/>
    <n v="0.18099999999999999"/>
    <n v="530.31500000000005"/>
    <n v="2759.5250000000001"/>
    <n v="326.14500000000004"/>
    <n v="2408.56"/>
    <n v="2734.7049999999999"/>
    <n v="22433.4"/>
    <n v="25168.105000000003"/>
    <n v="27927.630000000005"/>
  </r>
  <r>
    <x v="74"/>
    <x v="1"/>
    <s v="Rural"/>
    <n v="20603"/>
    <n v="415"/>
    <n v="3137"/>
    <n v="203"/>
    <n v="416"/>
    <n v="10857"/>
    <n v="5575"/>
    <n v="14613"/>
    <n v="0.08"/>
    <n v="0.186"/>
    <n v="0.159"/>
    <n v="33.200000000000003"/>
    <n v="250.96"/>
    <n v="16.240000000000002"/>
    <n v="77.376000000000005"/>
    <n v="93.616000000000014"/>
    <n v="2019.402"/>
    <n v="2113.018"/>
    <n v="2363.9780000000001"/>
  </r>
  <r>
    <x v="75"/>
    <x v="2"/>
    <s v="Rural"/>
    <n v="142678"/>
    <n v="4785"/>
    <n v="28319"/>
    <n v="1940"/>
    <n v="3930"/>
    <n v="80942"/>
    <n v="22762"/>
    <n v="115131"/>
    <n v="8.3000000000000004E-2"/>
    <n v="0.20499999999999999"/>
    <n v="0.16900000000000001"/>
    <n v="397.15500000000003"/>
    <n v="2350.4770000000003"/>
    <n v="161.02000000000001"/>
    <n v="805.65"/>
    <n v="966.67"/>
    <n v="16593.11"/>
    <n v="17559.78"/>
    <n v="19910.256999999998"/>
  </r>
  <r>
    <x v="76"/>
    <x v="2"/>
    <s v="Rural"/>
    <n v="46030"/>
    <n v="1591"/>
    <n v="9254"/>
    <n v="718"/>
    <n v="1444"/>
    <n v="25675"/>
    <n v="7348"/>
    <n v="37091"/>
    <n v="8.5999999999999993E-2"/>
    <n v="0.22800000000000001"/>
    <n v="0.186"/>
    <n v="136.82599999999999"/>
    <n v="795.84399999999994"/>
    <n v="61.747999999999998"/>
    <n v="329.23200000000003"/>
    <n v="390.98"/>
    <n v="5853.9000000000005"/>
    <n v="6244.880000000001"/>
    <n v="7040.7240000000011"/>
  </r>
  <r>
    <x v="77"/>
    <x v="4"/>
    <s v="Rural"/>
    <n v="133599"/>
    <n v="5273"/>
    <n v="28469"/>
    <n v="2390"/>
    <n v="4866"/>
    <n v="75003"/>
    <n v="17598"/>
    <n v="110728"/>
    <n v="9.8000000000000004E-2"/>
    <n v="0.254"/>
    <n v="0.20300000000000001"/>
    <n v="516.75400000000002"/>
    <n v="2789.962"/>
    <n v="234.22"/>
    <n v="1235.9639999999999"/>
    <n v="1470.184"/>
    <n v="19050.761999999999"/>
    <n v="20520.946"/>
    <n v="23310.907999999999"/>
  </r>
  <r>
    <x v="78"/>
    <x v="8"/>
    <s v="Rural"/>
    <n v="91775"/>
    <n v="2767"/>
    <n v="16442"/>
    <n v="1105"/>
    <n v="2228"/>
    <n v="52569"/>
    <n v="16664"/>
    <n v="72344"/>
    <n v="0.08"/>
    <n v="0.20300000000000001"/>
    <n v="0.17"/>
    <n v="221.36"/>
    <n v="1315.3600000000001"/>
    <n v="88.4"/>
    <n v="452.28400000000005"/>
    <n v="540.68400000000008"/>
    <n v="10671.507000000001"/>
    <n v="11212.191000000001"/>
    <n v="12527.551000000001"/>
  </r>
  <r>
    <x v="79"/>
    <x v="0"/>
    <s v="Urban"/>
    <n v="139161"/>
    <n v="4596"/>
    <n v="27054"/>
    <n v="1863"/>
    <n v="3844"/>
    <n v="79702"/>
    <n v="22102"/>
    <n v="112463"/>
    <n v="8.2000000000000003E-2"/>
    <n v="0.20799999999999999"/>
    <n v="0.17199999999999999"/>
    <n v="376.87200000000001"/>
    <n v="2218.4279999999999"/>
    <n v="152.76600000000002"/>
    <n v="799.55199999999991"/>
    <n v="952.31799999999998"/>
    <n v="16578.016"/>
    <n v="17530.333999999999"/>
    <n v="19748.761999999999"/>
  </r>
  <r>
    <x v="80"/>
    <x v="1"/>
    <s v="Rural"/>
    <n v="67535"/>
    <n v="2043"/>
    <n v="12288"/>
    <n v="914"/>
    <n v="1528"/>
    <n v="37607"/>
    <n v="13155"/>
    <n v="52337"/>
    <n v="7.9000000000000001E-2"/>
    <n v="0.20200000000000001"/>
    <n v="0.16800000000000001"/>
    <n v="161.39699999999999"/>
    <n v="970.75199999999995"/>
    <n v="72.206000000000003"/>
    <n v="308.65600000000001"/>
    <n v="380.86200000000002"/>
    <n v="7596.6140000000005"/>
    <n v="7977.4760000000006"/>
    <n v="8948.228000000001"/>
  </r>
  <r>
    <x v="81"/>
    <x v="4"/>
    <s v="Rural"/>
    <n v="64553"/>
    <n v="2524"/>
    <n v="13492"/>
    <n v="914"/>
    <n v="1811"/>
    <n v="35579"/>
    <n v="10233"/>
    <n v="51796"/>
    <n v="9.6000000000000002E-2"/>
    <n v="0.26"/>
    <n v="0.21"/>
    <n v="242.304"/>
    <n v="1295.232"/>
    <n v="87.744"/>
    <n v="470.86"/>
    <n v="558.60400000000004"/>
    <n v="9250.5400000000009"/>
    <n v="9809.1440000000002"/>
    <n v="11104.376"/>
  </r>
  <r>
    <x v="82"/>
    <x v="4"/>
    <s v="Rural"/>
    <n v="36120"/>
    <n v="1315"/>
    <n v="7348"/>
    <n v="469"/>
    <n v="966"/>
    <n v="20380"/>
    <n v="5642"/>
    <n v="29163"/>
    <n v="8.5000000000000006E-2"/>
    <n v="0.217"/>
    <n v="0.17699999999999999"/>
    <n v="111.77500000000001"/>
    <n v="624.58000000000004"/>
    <n v="39.865000000000002"/>
    <n v="209.62199999999999"/>
    <n v="249.48699999999999"/>
    <n v="4422.46"/>
    <n v="4671.9470000000001"/>
    <n v="5296.527"/>
  </r>
  <r>
    <x v="83"/>
    <x v="0"/>
    <s v="Rural"/>
    <n v="60562"/>
    <n v="1889"/>
    <n v="11120"/>
    <n v="773"/>
    <n v="1632"/>
    <n v="34627"/>
    <n v="10521"/>
    <n v="48152"/>
    <n v="7.4999999999999997E-2"/>
    <n v="0.189"/>
    <n v="0.156"/>
    <n v="141.67499999999998"/>
    <n v="834"/>
    <n v="57.974999999999994"/>
    <n v="308.44799999999998"/>
    <n v="366.423"/>
    <n v="6544.5029999999997"/>
    <n v="6910.9259999999995"/>
    <n v="7744.9259999999995"/>
  </r>
  <r>
    <x v="84"/>
    <x v="8"/>
    <s v="Rural"/>
    <n v="46409"/>
    <n v="1190"/>
    <n v="8065"/>
    <n v="510"/>
    <n v="1019"/>
    <n v="27173"/>
    <n v="8452"/>
    <n v="36767"/>
    <n v="7.0999999999999994E-2"/>
    <n v="0.2"/>
    <n v="0.16500000000000001"/>
    <n v="84.49"/>
    <n v="572.6149999999999"/>
    <n v="36.209999999999994"/>
    <n v="203.8"/>
    <n v="240.01"/>
    <n v="5434.6"/>
    <n v="5674.6100000000006"/>
    <n v="6247.2250000000004"/>
  </r>
  <r>
    <x v="85"/>
    <x v="6"/>
    <s v="Rural"/>
    <n v="73368"/>
    <n v="2279"/>
    <n v="13871"/>
    <n v="979"/>
    <n v="2055"/>
    <n v="40781"/>
    <n v="13403"/>
    <n v="57686"/>
    <n v="8.4000000000000005E-2"/>
    <n v="0.19700000000000001"/>
    <n v="0.16500000000000001"/>
    <n v="191.43600000000001"/>
    <n v="1165.164"/>
    <n v="82.236000000000004"/>
    <n v="404.83500000000004"/>
    <n v="487.07100000000003"/>
    <n v="8033.857"/>
    <n v="8520.9279999999999"/>
    <n v="9686.0920000000006"/>
  </r>
  <r>
    <x v="86"/>
    <x v="1"/>
    <s v="Rural"/>
    <n v="14750"/>
    <n v="610"/>
    <n v="2843"/>
    <n v="174"/>
    <n v="338"/>
    <n v="8103"/>
    <n v="2682"/>
    <n v="11458"/>
    <n v="9.4E-2"/>
    <n v="0.218"/>
    <n v="0.18099999999999999"/>
    <n v="57.34"/>
    <n v="267.24200000000002"/>
    <n v="16.356000000000002"/>
    <n v="73.683999999999997"/>
    <n v="90.039999999999992"/>
    <n v="1766.454"/>
    <n v="1856.4939999999999"/>
    <n v="2123.7359999999999"/>
  </r>
  <r>
    <x v="87"/>
    <x v="1"/>
    <s v="Rural"/>
    <n v="33231"/>
    <n v="813"/>
    <n v="4833"/>
    <n v="457"/>
    <n v="835"/>
    <n v="16682"/>
    <n v="9611"/>
    <n v="22807"/>
    <n v="7.6999999999999999E-2"/>
    <n v="0.185"/>
    <n v="0.157"/>
    <n v="62.600999999999999"/>
    <n v="372.14100000000002"/>
    <n v="35.189"/>
    <n v="154.47499999999999"/>
    <n v="189.66399999999999"/>
    <n v="3086.17"/>
    <n v="3275.8339999999998"/>
    <n v="3647.9749999999999"/>
  </r>
  <r>
    <x v="88"/>
    <x v="3"/>
    <s v="Rural"/>
    <n v="4114"/>
    <n v="124"/>
    <n v="613"/>
    <n v="36"/>
    <n v="74"/>
    <n v="2493"/>
    <n v="774"/>
    <n v="3216"/>
    <n v="0.09"/>
    <n v="0.26600000000000001"/>
    <n v="0.22500000000000001"/>
    <n v="11.16"/>
    <n v="55.169999999999995"/>
    <n v="3.2399999999999998"/>
    <n v="19.684000000000001"/>
    <n v="22.923999999999999"/>
    <n v="663.13800000000003"/>
    <n v="686.06200000000001"/>
    <n v="741.23199999999997"/>
  </r>
  <r>
    <x v="89"/>
    <x v="0"/>
    <s v="Rural"/>
    <n v="215416"/>
    <n v="7295"/>
    <n v="52030"/>
    <n v="3589"/>
    <n v="5693"/>
    <n v="122361"/>
    <n v="24448"/>
    <n v="183673"/>
    <n v="7.6999999999999999E-2"/>
    <n v="0.21299999999999999"/>
    <n v="0.16600000000000001"/>
    <n v="561.71500000000003"/>
    <n v="4006.31"/>
    <n v="276.35300000000001"/>
    <n v="1212.6089999999999"/>
    <n v="1488.962"/>
    <n v="26062.893"/>
    <n v="27551.855"/>
    <n v="31558.165000000001"/>
  </r>
  <r>
    <x v="90"/>
    <x v="0"/>
    <s v="Rural"/>
    <n v="44977"/>
    <n v="1666"/>
    <n v="9187"/>
    <n v="611"/>
    <n v="1238"/>
    <n v="25034"/>
    <n v="7241"/>
    <n v="36070"/>
    <n v="9.0999999999999998E-2"/>
    <n v="0.23200000000000001"/>
    <n v="0.188"/>
    <n v="151.60599999999999"/>
    <n v="836.01699999999994"/>
    <n v="55.600999999999999"/>
    <n v="287.21600000000001"/>
    <n v="342.81700000000001"/>
    <n v="5807.8879999999999"/>
    <n v="6150.7049999999999"/>
    <n v="6986.7219999999998"/>
  </r>
  <r>
    <x v="91"/>
    <x v="7"/>
    <s v="Urban"/>
    <n v="985146"/>
    <n v="37294"/>
    <n v="208100"/>
    <n v="13145"/>
    <n v="26037"/>
    <n v="601273"/>
    <n v="99297"/>
    <n v="848555"/>
    <n v="8.1000000000000003E-2"/>
    <n v="0.19700000000000001"/>
    <n v="0.16200000000000001"/>
    <n v="3020.8140000000003"/>
    <n v="16856.100000000002"/>
    <n v="1064.7450000000001"/>
    <n v="5129.2890000000007"/>
    <n v="6194.0340000000006"/>
    <n v="118450.781"/>
    <n v="124644.815"/>
    <n v="141500.91500000001"/>
  </r>
  <r>
    <x v="92"/>
    <x v="0"/>
    <s v="Rural"/>
    <n v="20368"/>
    <n v="513"/>
    <n v="3328"/>
    <n v="205"/>
    <n v="400"/>
    <n v="11497"/>
    <n v="4425"/>
    <n v="15430"/>
    <n v="8.8999999999999996E-2"/>
    <n v="0.252"/>
    <n v="0.20899999999999999"/>
    <n v="45.656999999999996"/>
    <n v="296.19200000000001"/>
    <n v="18.244999999999997"/>
    <n v="100.8"/>
    <n v="119.04499999999999"/>
    <n v="2897.2440000000001"/>
    <n v="3016.2890000000002"/>
    <n v="3312.4810000000002"/>
  </r>
  <r>
    <x v="93"/>
    <x v="3"/>
    <s v="Rural"/>
    <n v="12754"/>
    <n v="402"/>
    <n v="2399"/>
    <n v="127"/>
    <n v="251"/>
    <n v="6927"/>
    <n v="2648"/>
    <n v="9704"/>
    <n v="8.7999999999999995E-2"/>
    <n v="0.221"/>
    <n v="0.183"/>
    <n v="35.375999999999998"/>
    <n v="211.11199999999999"/>
    <n v="11.176"/>
    <n v="55.471000000000004"/>
    <n v="66.647000000000006"/>
    <n v="1530.867"/>
    <n v="1597.5139999999999"/>
    <n v="1808.626"/>
  </r>
  <r>
    <x v="94"/>
    <x v="1"/>
    <s v="Rural"/>
    <n v="52959"/>
    <n v="1034"/>
    <n v="5898"/>
    <n v="1752"/>
    <n v="6740"/>
    <n v="29871"/>
    <n v="7664"/>
    <n v="44261"/>
    <n v="8.1000000000000003E-2"/>
    <n v="0.218"/>
    <n v="0.186"/>
    <n v="83.754000000000005"/>
    <n v="477.738"/>
    <n v="141.91200000000001"/>
    <n v="1469.32"/>
    <n v="1611.232"/>
    <n v="6511.8779999999997"/>
    <n v="8123.11"/>
    <n v="8600.848"/>
  </r>
  <r>
    <x v="95"/>
    <x v="4"/>
    <s v="Rural"/>
    <n v="125656"/>
    <n v="5101"/>
    <n v="25595"/>
    <n v="1567"/>
    <n v="3526"/>
    <n v="71715"/>
    <n v="18152"/>
    <n v="102403"/>
    <n v="8.7999999999999995E-2"/>
    <n v="0.22600000000000001"/>
    <n v="0.185"/>
    <n v="448.88799999999998"/>
    <n v="2252.3599999999997"/>
    <n v="137.89599999999999"/>
    <n v="796.87599999999998"/>
    <n v="934.77199999999993"/>
    <n v="16207.59"/>
    <n v="17142.362000000001"/>
    <n v="19394.722000000002"/>
  </r>
  <r>
    <x v="96"/>
    <x v="1"/>
    <s v="Rural"/>
    <n v="69817"/>
    <n v="2029"/>
    <n v="12646"/>
    <n v="863"/>
    <n v="1638"/>
    <n v="39163"/>
    <n v="13478"/>
    <n v="54310"/>
    <n v="7.6999999999999999E-2"/>
    <n v="0.192"/>
    <n v="0.16"/>
    <n v="156.233"/>
    <n v="973.74199999999996"/>
    <n v="66.450999999999993"/>
    <n v="314.49599999999998"/>
    <n v="380.947"/>
    <n v="7519.2960000000003"/>
    <n v="7900.2430000000004"/>
    <n v="8873.9850000000006"/>
  </r>
  <r>
    <x v="97"/>
    <x v="4"/>
    <s v="Rural"/>
    <n v="82175"/>
    <n v="2798"/>
    <n v="16605"/>
    <n v="1023"/>
    <n v="2032"/>
    <n v="46595"/>
    <n v="13122"/>
    <n v="66255"/>
    <n v="0.09"/>
    <n v="0.221"/>
    <n v="0.18099999999999999"/>
    <n v="251.82"/>
    <n v="1494.45"/>
    <n v="92.07"/>
    <n v="449.072"/>
    <n v="541.14200000000005"/>
    <n v="10297.495000000001"/>
    <n v="10838.637000000001"/>
    <n v="12333.087000000001"/>
  </r>
  <r>
    <x v="98"/>
    <x v="6"/>
    <s v="Rural"/>
    <n v="38023"/>
    <n v="1220"/>
    <n v="7097"/>
    <n v="473"/>
    <n v="969"/>
    <n v="21410"/>
    <n v="6854"/>
    <n v="29949"/>
    <n v="8.3000000000000004E-2"/>
    <n v="0.20899999999999999"/>
    <n v="0.17299999999999999"/>
    <n v="101.26"/>
    <n v="589.05100000000004"/>
    <n v="39.259"/>
    <n v="202.52099999999999"/>
    <n v="241.77999999999997"/>
    <n v="4474.6899999999996"/>
    <n v="4716.4699999999993"/>
    <n v="5305.5209999999997"/>
  </r>
  <r>
    <x v="99"/>
    <x v="1"/>
    <s v="Rural"/>
    <n v="17940"/>
    <n v="505"/>
    <n v="2876"/>
    <n v="196"/>
    <n v="362"/>
    <n v="9886"/>
    <n v="4115"/>
    <n v="13320"/>
    <n v="7.9000000000000001E-2"/>
    <n v="0.19900000000000001"/>
    <n v="0.16800000000000001"/>
    <n v="39.895000000000003"/>
    <n v="227.20400000000001"/>
    <n v="15.484"/>
    <n v="72.037999999999997"/>
    <n v="87.521999999999991"/>
    <n v="1967.3140000000001"/>
    <n v="2054.8360000000002"/>
    <n v="2282.0400000000004"/>
  </r>
  <r>
    <x v="100"/>
    <x v="9"/>
    <m/>
    <m/>
    <m/>
    <m/>
    <m/>
    <m/>
    <m/>
    <m/>
    <m/>
    <s v="Calculated based on July 2011 Population"/>
    <m/>
    <m/>
    <m/>
    <m/>
    <m/>
    <m/>
    <m/>
    <m/>
    <m/>
    <m/>
  </r>
  <r>
    <x v="101"/>
    <x v="10"/>
    <m/>
    <n v="9956488"/>
    <n v="356415"/>
    <n v="1935458"/>
    <n v="136224"/>
    <n v="295641"/>
    <n v="5776812"/>
    <n v="1455938"/>
    <n v="8144135"/>
    <n v="9.2861228007293517E-2"/>
    <n v="0.22359886796611902"/>
    <n v="0.188150584549657"/>
    <n v="29817.624999999996"/>
    <n v="161478.51499999998"/>
    <n v="11354.073999999999"/>
    <n v="62143.639999999985"/>
    <n v="73497.714000000036"/>
    <n v="1207115.3490000002"/>
    <n v="1280613.0630000003"/>
    <n v="1442091.578"/>
  </r>
</pivotCacheRecords>
</file>

<file path=xl/pivotCache/pivotCacheRecords3.xml><?xml version="1.0" encoding="utf-8"?>
<pivotCacheRecords xmlns="http://schemas.openxmlformats.org/spreadsheetml/2006/main" xmlns:r="http://schemas.openxmlformats.org/officeDocument/2006/relationships" count="100">
  <r>
    <x v="0"/>
    <x v="0"/>
    <s v="Urban"/>
    <n v="154732"/>
    <n v="5187"/>
    <n v="29640"/>
    <n v="7716"/>
    <n v="87239"/>
    <n v="24950"/>
    <n v="124595"/>
    <n v="7.2000000000000008E-2"/>
    <n v="0.24299999999999999"/>
    <n v="0.19500000000000001"/>
    <n v="373.46400000000006"/>
    <n v="2134.0800000000004"/>
    <n v="1874.9880000000001"/>
    <n v="21199.077000000001"/>
    <n v="23074.065000000002"/>
    <n v="24296.025000000001"/>
  </r>
  <r>
    <x v="1"/>
    <x v="1"/>
    <s v="Urban"/>
    <n v="37383"/>
    <n v="1098"/>
    <n v="6622"/>
    <n v="1306"/>
    <n v="21507"/>
    <n v="6850"/>
    <n v="29435"/>
    <n v="6.8000000000000005E-2"/>
    <n v="0.214"/>
    <n v="0.17399999999999999"/>
    <n v="74.664000000000001"/>
    <n v="450.29600000000005"/>
    <n v="279.48399999999998"/>
    <n v="4602.4979999999996"/>
    <n v="4881.982"/>
    <n v="5121.6899999999996"/>
  </r>
  <r>
    <x v="2"/>
    <x v="1"/>
    <s v="Rural"/>
    <n v="11156"/>
    <n v="272"/>
    <n v="1743"/>
    <n v="379"/>
    <n v="6063"/>
    <n v="2699"/>
    <n v="8185"/>
    <n v="0.113"/>
    <n v="0.29499999999999998"/>
    <n v="0.251"/>
    <n v="30.736000000000001"/>
    <n v="196.959"/>
    <n v="111.80499999999999"/>
    <n v="1788.5849999999998"/>
    <n v="1900.3899999999999"/>
    <n v="2054.4349999999999"/>
  </r>
  <r>
    <x v="3"/>
    <x v="2"/>
    <s v="Rural"/>
    <n v="26429"/>
    <n v="719"/>
    <n v="4698"/>
    <n v="944"/>
    <n v="15719"/>
    <n v="4349"/>
    <n v="21361"/>
    <n v="6.2E-2"/>
    <n v="0.23899999999999999"/>
    <n v="0.19"/>
    <n v="44.578000000000003"/>
    <n v="291.27600000000001"/>
    <n v="225.61599999999999"/>
    <n v="3756.8409999999999"/>
    <n v="3982.4569999999999"/>
    <n v="4058.59"/>
  </r>
  <r>
    <x v="4"/>
    <x v="1"/>
    <s v="Rural"/>
    <n v="27444"/>
    <n v="753"/>
    <n v="4371"/>
    <n v="866"/>
    <n v="15043"/>
    <n v="6411"/>
    <n v="20280"/>
    <n v="9.0999999999999998E-2"/>
    <n v="0.28000000000000003"/>
    <n v="0.23399999999999999"/>
    <n v="68.522999999999996"/>
    <n v="397.76099999999997"/>
    <n v="242.48000000000002"/>
    <n v="4212.04"/>
    <n v="4454.5200000000004"/>
    <n v="4745.5199999999995"/>
  </r>
  <r>
    <x v="5"/>
    <x v="1"/>
    <s v="Rural"/>
    <n v="17879"/>
    <n v="452"/>
    <n v="2392"/>
    <n v="645"/>
    <n v="10767"/>
    <n v="3623"/>
    <n v="13804"/>
    <n v="0.106"/>
    <n v="0.28899999999999998"/>
    <n v="0.24600000000000002"/>
    <n v="47.911999999999999"/>
    <n v="253.55199999999999"/>
    <n v="186.40499999999997"/>
    <n v="3111.6629999999996"/>
    <n v="3298.0679999999993"/>
    <n v="3395.7840000000006"/>
  </r>
  <r>
    <x v="6"/>
    <x v="3"/>
    <s v="Rural"/>
    <n v="47782"/>
    <n v="1439"/>
    <n v="8626"/>
    <n v="1512"/>
    <n v="25594"/>
    <n v="10611"/>
    <n v="35732"/>
    <n v="8.199999999999999E-2"/>
    <n v="0.23699999999999999"/>
    <n v="0.19500000000000001"/>
    <n v="117.99799999999999"/>
    <n v="707.33199999999988"/>
    <n v="358.34399999999999"/>
    <n v="6065.7779999999993"/>
    <n v="6424.1219999999994"/>
    <n v="6967.7400000000007"/>
  </r>
  <r>
    <x v="7"/>
    <x v="3"/>
    <s v="Rural"/>
    <n v="20611"/>
    <n v="543"/>
    <n v="3395"/>
    <n v="788"/>
    <n v="12048"/>
    <n v="3837"/>
    <n v="16231"/>
    <n v="5.9000000000000004E-2"/>
    <n v="0.20800000000000002"/>
    <n v="0.17"/>
    <n v="32.036999999999999"/>
    <n v="200.30500000000001"/>
    <n v="163.90400000000002"/>
    <n v="2505.9840000000004"/>
    <n v="2669.8880000000004"/>
    <n v="2759.27"/>
  </r>
  <r>
    <x v="8"/>
    <x v="4"/>
    <s v="Rural"/>
    <n v="35245"/>
    <n v="1049"/>
    <n v="6448"/>
    <n v="1319"/>
    <n v="19854"/>
    <n v="6575"/>
    <n v="27621"/>
    <n v="8.3000000000000004E-2"/>
    <n v="0.248"/>
    <n v="0.20300000000000001"/>
    <n v="87.067000000000007"/>
    <n v="535.18400000000008"/>
    <n v="327.11200000000002"/>
    <n v="4923.7920000000004"/>
    <n v="5250.9040000000005"/>
    <n v="5607.0630000000001"/>
  </r>
  <r>
    <x v="9"/>
    <x v="3"/>
    <s v="Urban"/>
    <n v="121744"/>
    <n v="3173"/>
    <n v="18292"/>
    <n v="3045"/>
    <n v="63973"/>
    <n v="33261"/>
    <n v="85310"/>
    <n v="7.9000000000000001E-2"/>
    <n v="0.23100000000000001"/>
    <n v="0.19399999999999998"/>
    <n v="250.667"/>
    <n v="1445.068"/>
    <n v="703.39499999999998"/>
    <n v="14777.763000000001"/>
    <n v="15481.158000000001"/>
    <n v="16550.14"/>
  </r>
  <r>
    <x v="10"/>
    <x v="1"/>
    <s v="Urban"/>
    <n v="255008"/>
    <n v="7853"/>
    <n v="41908"/>
    <n v="8506"/>
    <n v="149907"/>
    <n v="46834"/>
    <n v="200321"/>
    <n v="6.8000000000000005E-2"/>
    <n v="0.24399999999999999"/>
    <n v="0.2"/>
    <n v="534.00400000000002"/>
    <n v="2849.7440000000001"/>
    <n v="2075.4639999999999"/>
    <n v="36577.307999999997"/>
    <n v="38652.771999999997"/>
    <n v="40064.200000000004"/>
  </r>
  <r>
    <x v="11"/>
    <x v="5"/>
    <s v="Urban"/>
    <n v="88786"/>
    <n v="2492"/>
    <n v="15784"/>
    <n v="4477"/>
    <n v="49551"/>
    <n v="16482"/>
    <n v="69812"/>
    <n v="6.9000000000000006E-2"/>
    <n v="0.23899999999999999"/>
    <n v="0.19600000000000001"/>
    <n v="171.94800000000001"/>
    <n v="1089.096"/>
    <n v="1070.0029999999999"/>
    <n v="11842.689"/>
    <n v="12912.692000000001"/>
    <n v="13683.152"/>
  </r>
  <r>
    <x v="12"/>
    <x v="0"/>
    <s v="Urban"/>
    <n v="192434"/>
    <n v="7147"/>
    <n v="41984"/>
    <n v="7536"/>
    <n v="111278"/>
    <n v="24489"/>
    <n v="160798"/>
    <n v="7.2000000000000008E-2"/>
    <n v="0.20499999999999999"/>
    <n v="0.16399999999999998"/>
    <n v="514.58400000000006"/>
    <n v="3022.8480000000004"/>
    <n v="1544.8799999999999"/>
    <n v="22811.989999999998"/>
    <n v="24356.87"/>
    <n v="26370.871999999996"/>
  </r>
  <r>
    <x v="13"/>
    <x v="1"/>
    <s v="Urban"/>
    <n v="82241"/>
    <n v="2322"/>
    <n v="14695"/>
    <n v="3278"/>
    <n v="47124"/>
    <n v="14822"/>
    <n v="65097"/>
    <n v="6.3E-2"/>
    <n v="0.24199999999999999"/>
    <n v="0.19500000000000001"/>
    <n v="146.286"/>
    <n v="925.78499999999997"/>
    <n v="793.27599999999995"/>
    <n v="11404.008"/>
    <n v="12197.284"/>
    <n v="12693.915000000001"/>
  </r>
  <r>
    <x v="14"/>
    <x v="3"/>
    <s v="Rural"/>
    <n v="10380"/>
    <n v="292"/>
    <n v="1975"/>
    <n v="385"/>
    <n v="6137"/>
    <n v="1591"/>
    <n v="8497"/>
    <n v="8.5999999999999993E-2"/>
    <n v="0.187"/>
    <n v="0.157"/>
    <n v="25.111999999999998"/>
    <n v="169.85"/>
    <n v="71.995000000000005"/>
    <n v="1147.6189999999999"/>
    <n v="1219.614"/>
    <n v="1334.029"/>
  </r>
  <r>
    <x v="15"/>
    <x v="3"/>
    <s v="Rural"/>
    <n v="70911"/>
    <n v="1871"/>
    <n v="10737"/>
    <n v="2197"/>
    <n v="40243"/>
    <n v="15863"/>
    <n v="53177"/>
    <n v="7.6999999999999999E-2"/>
    <n v="0.22399999999999998"/>
    <n v="0.188"/>
    <n v="144.06700000000001"/>
    <n v="826.74900000000002"/>
    <n v="492.12799999999993"/>
    <n v="9014.4319999999989"/>
    <n v="9506.56"/>
    <n v="9997.2759999999998"/>
  </r>
  <r>
    <x v="16"/>
    <x v="0"/>
    <s v="Rural"/>
    <n v="23806"/>
    <n v="616"/>
    <n v="3790"/>
    <n v="767"/>
    <n v="14179"/>
    <n v="4454"/>
    <n v="18736"/>
    <n v="7.0000000000000007E-2"/>
    <n v="0.20499999999999999"/>
    <n v="0.17"/>
    <n v="43.120000000000005"/>
    <n v="265.3"/>
    <n v="157.23499999999999"/>
    <n v="2906.6949999999997"/>
    <n v="3063.93"/>
    <n v="3185.1200000000003"/>
  </r>
  <r>
    <x v="17"/>
    <x v="5"/>
    <s v="Urban"/>
    <n v="155477"/>
    <n v="5123"/>
    <n v="29971"/>
    <n v="6206"/>
    <n v="88721"/>
    <n v="25456"/>
    <n v="124898"/>
    <n v="7.0000000000000007E-2"/>
    <n v="0.22899999999999998"/>
    <n v="0.184"/>
    <n v="358.61"/>
    <n v="2097.9700000000003"/>
    <n v="1421.174"/>
    <n v="20317.108999999997"/>
    <n v="21738.282999999996"/>
    <n v="22981.232"/>
  </r>
  <r>
    <x v="18"/>
    <x v="0"/>
    <s v="Urban"/>
    <n v="69856"/>
    <n v="1935"/>
    <n v="12037"/>
    <n v="2058"/>
    <n v="37914"/>
    <n v="15912"/>
    <n v="52009"/>
    <n v="8.900000000000001E-2"/>
    <n v="0.23199999999999998"/>
    <n v="0.193"/>
    <n v="172.21500000000003"/>
    <n v="1071.2930000000001"/>
    <n v="477.45599999999996"/>
    <n v="8796.0479999999989"/>
    <n v="9273.503999999999"/>
    <n v="10037.737000000001"/>
  </r>
  <r>
    <x v="19"/>
    <x v="1"/>
    <s v="Rural"/>
    <n v="27608"/>
    <n v="693"/>
    <n v="4253"/>
    <n v="849"/>
    <n v="14242"/>
    <n v="7571"/>
    <n v="19344"/>
    <n v="9.1999999999999998E-2"/>
    <n v="0.26400000000000001"/>
    <n v="0.221"/>
    <n v="63.756"/>
    <n v="391.27600000000001"/>
    <n v="224.13600000000002"/>
    <n v="3759.8880000000004"/>
    <n v="3984.0240000000003"/>
    <n v="4275.0240000000003"/>
  </r>
  <r>
    <x v="20"/>
    <x v="3"/>
    <s v="Rural"/>
    <n v="14884"/>
    <n v="462"/>
    <n v="2662"/>
    <n v="535"/>
    <n v="7915"/>
    <n v="3310"/>
    <n v="11112"/>
    <n v="7.0999999999999994E-2"/>
    <n v="0.221"/>
    <n v="0.18"/>
    <n v="32.802"/>
    <n v="189.00199999999998"/>
    <n v="118.235"/>
    <n v="1749.2149999999999"/>
    <n v="1867.4499999999998"/>
    <n v="2000.1599999999999"/>
  </r>
  <r>
    <x v="21"/>
    <x v="1"/>
    <s v="Rural"/>
    <n v="11007"/>
    <n v="277"/>
    <n v="1662"/>
    <n v="335"/>
    <n v="5646"/>
    <n v="3087"/>
    <n v="7643"/>
    <n v="0.10199999999999999"/>
    <n v="0.25900000000000001"/>
    <n v="0.21899999999999997"/>
    <n v="28.253999999999998"/>
    <n v="169.524"/>
    <n v="86.765000000000001"/>
    <n v="1462.3140000000001"/>
    <n v="1549.0790000000002"/>
    <n v="1673.8169999999998"/>
  </r>
  <r>
    <x v="22"/>
    <x v="5"/>
    <s v="Rural"/>
    <n v="97071"/>
    <n v="3045"/>
    <n v="18151"/>
    <n v="4338"/>
    <n v="54651"/>
    <n v="16886"/>
    <n v="77140"/>
    <n v="5.2999999999999999E-2"/>
    <n v="0.20699999999999999"/>
    <n v="0.16500000000000001"/>
    <n v="161.38499999999999"/>
    <n v="962.00299999999993"/>
    <n v="897.96600000000001"/>
    <n v="11312.757"/>
    <n v="12210.723"/>
    <n v="12728.1"/>
  </r>
  <r>
    <x v="23"/>
    <x v="4"/>
    <s v="Rural"/>
    <n v="57732"/>
    <n v="1839"/>
    <n v="10816"/>
    <n v="2301"/>
    <n v="32662"/>
    <n v="10114"/>
    <n v="45779"/>
    <n v="7.2999999999999995E-2"/>
    <n v="0.25900000000000001"/>
    <n v="0.20499999999999999"/>
    <n v="134.24699999999999"/>
    <n v="789.56799999999998"/>
    <n v="595.95900000000006"/>
    <n v="8459.4580000000005"/>
    <n v="9055.4170000000013"/>
    <n v="9384.6949999999997"/>
  </r>
  <r>
    <x v="24"/>
    <x v="3"/>
    <s v="Urban"/>
    <n v="104521"/>
    <n v="4524"/>
    <n v="21472"/>
    <n v="4704"/>
    <n v="56449"/>
    <n v="17372"/>
    <n v="82625"/>
    <n v="6.5000000000000002E-2"/>
    <n v="0.21199999999999999"/>
    <n v="0.16899999999999998"/>
    <n v="294.06"/>
    <n v="1395.68"/>
    <n v="997.24799999999993"/>
    <n v="11967.188"/>
    <n v="12964.436"/>
    <n v="13963.624999999998"/>
  </r>
  <r>
    <x v="25"/>
    <x v="6"/>
    <s v="Urban"/>
    <n v="336304"/>
    <n v="16032"/>
    <n v="73756"/>
    <n v="15648"/>
    <n v="193320"/>
    <n v="37548"/>
    <n v="282724"/>
    <n v="5.5E-2"/>
    <n v="0.2"/>
    <n v="0.157"/>
    <n v="881.76"/>
    <n v="4056.58"/>
    <n v="3129.6000000000004"/>
    <n v="38664"/>
    <n v="41793.599999999999"/>
    <n v="44387.667999999998"/>
  </r>
  <r>
    <x v="26"/>
    <x v="3"/>
    <s v="Urban"/>
    <n v="25171"/>
    <n v="752"/>
    <n v="4598"/>
    <n v="944"/>
    <n v="15093"/>
    <n v="3784"/>
    <n v="20635"/>
    <n v="8.8000000000000009E-2"/>
    <n v="0.21"/>
    <n v="0.17800000000000002"/>
    <n v="66.176000000000002"/>
    <n v="404.62400000000002"/>
    <n v="198.23999999999998"/>
    <n v="3169.5299999999997"/>
    <n v="3367.7699999999995"/>
    <n v="3673.03"/>
  </r>
  <r>
    <x v="27"/>
    <x v="3"/>
    <s v="Rural"/>
    <n v="36059"/>
    <n v="1151"/>
    <n v="5827"/>
    <n v="899"/>
    <n v="21363"/>
    <n v="6819"/>
    <n v="28089"/>
    <n v="0.1"/>
    <n v="0.23800000000000002"/>
    <n v="0.20399999999999999"/>
    <n v="115.10000000000001"/>
    <n v="582.70000000000005"/>
    <n v="213.96200000000002"/>
    <n v="5084.3940000000002"/>
    <n v="5298.3560000000007"/>
    <n v="5730.1559999999999"/>
  </r>
  <r>
    <x v="28"/>
    <x v="0"/>
    <s v="Urban"/>
    <n v="164341"/>
    <n v="5199"/>
    <n v="31310"/>
    <n v="5784"/>
    <n v="94525"/>
    <n v="27523"/>
    <n v="131619"/>
    <n v="6.0999999999999999E-2"/>
    <n v="0.21899999999999997"/>
    <n v="0.17499999999999999"/>
    <n v="317.13900000000001"/>
    <n v="1909.9099999999999"/>
    <n v="1266.6959999999999"/>
    <n v="20700.974999999999"/>
    <n v="21967.670999999998"/>
    <n v="23033.324999999997"/>
  </r>
  <r>
    <x v="29"/>
    <x v="7"/>
    <s v="Urban"/>
    <n v="41729"/>
    <n v="1229"/>
    <n v="7580"/>
    <n v="1527"/>
    <n v="23420"/>
    <n v="7973"/>
    <n v="32527"/>
    <n v="8.5999999999999993E-2"/>
    <n v="0.22"/>
    <n v="0.182"/>
    <n v="105.69399999999999"/>
    <n v="651.88"/>
    <n v="335.94"/>
    <n v="5152.3999999999996"/>
    <n v="5488.3399999999992"/>
    <n v="5919.9139999999998"/>
  </r>
  <r>
    <x v="30"/>
    <x v="4"/>
    <s v="Rural"/>
    <n v="60742"/>
    <n v="2216"/>
    <n v="12552"/>
    <n v="2373"/>
    <n v="33525"/>
    <n v="10076"/>
    <n v="48450"/>
    <n v="0.10199999999999999"/>
    <n v="0.33"/>
    <n v="0.26200000000000001"/>
    <n v="226.03199999999998"/>
    <n v="1280.3039999999999"/>
    <n v="783.09"/>
    <n v="11063.25"/>
    <n v="11846.34"/>
    <n v="12693.9"/>
  </r>
  <r>
    <x v="31"/>
    <x v="6"/>
    <s v="Urban"/>
    <n v="296492"/>
    <n v="12519"/>
    <n v="56030"/>
    <n v="14040"/>
    <n v="180105"/>
    <n v="33798"/>
    <n v="250175"/>
    <n v="6.9000000000000006E-2"/>
    <n v="0.217"/>
    <n v="0.17800000000000002"/>
    <n v="863.81100000000004"/>
    <n v="3866.07"/>
    <n v="3046.68"/>
    <n v="39082.784999999996"/>
    <n v="42129.464999999997"/>
    <n v="44531.15"/>
  </r>
  <r>
    <x v="32"/>
    <x v="4"/>
    <s v="Urban"/>
    <n v="55467"/>
    <n v="1765"/>
    <n v="10972"/>
    <n v="2205"/>
    <n v="31039"/>
    <n v="9486"/>
    <n v="44216"/>
    <n v="5.0999999999999997E-2"/>
    <n v="0.21899999999999997"/>
    <n v="0.17199999999999999"/>
    <n v="90.015000000000001"/>
    <n v="559.572"/>
    <n v="482.89499999999992"/>
    <n v="6797.5409999999993"/>
    <n v="7280.4359999999988"/>
    <n v="7605.1519999999991"/>
  </r>
  <r>
    <x v="33"/>
    <x v="7"/>
    <s v="Urban"/>
    <n v="365397"/>
    <n v="13358"/>
    <n v="72798"/>
    <n v="15135"/>
    <n v="210393"/>
    <n v="53713"/>
    <n v="298326"/>
    <n v="0.06"/>
    <n v="0.22"/>
    <n v="0.17399999999999999"/>
    <n v="801.48"/>
    <n v="4367.88"/>
    <n v="3329.7"/>
    <n v="46286.46"/>
    <n v="49616.159999999996"/>
    <n v="51908.723999999995"/>
  </r>
  <r>
    <x v="34"/>
    <x v="0"/>
    <s v="Urban"/>
    <n v="64185"/>
    <n v="2015"/>
    <n v="12547"/>
    <n v="2494"/>
    <n v="37215"/>
    <n v="9914"/>
    <n v="52256"/>
    <n v="8.199999999999999E-2"/>
    <n v="0.23699999999999999"/>
    <n v="0.193"/>
    <n v="165.23"/>
    <n v="1028.8539999999998"/>
    <n v="591.07799999999997"/>
    <n v="8819.9549999999999"/>
    <n v="9411.0329999999994"/>
    <n v="10085.407999999999"/>
  </r>
  <r>
    <x v="35"/>
    <x v="5"/>
    <s v="Urban"/>
    <n v="212238"/>
    <n v="7224"/>
    <n v="41313"/>
    <n v="8196"/>
    <n v="123415"/>
    <n v="32090"/>
    <n v="172924"/>
    <n v="7.0999999999999994E-2"/>
    <n v="0.223"/>
    <n v="0.18100000000000002"/>
    <n v="512.904"/>
    <n v="2933.223"/>
    <n v="1827.7080000000001"/>
    <n v="27521.545000000002"/>
    <n v="29349.253000000001"/>
    <n v="31299.244000000002"/>
  </r>
  <r>
    <x v="36"/>
    <x v="3"/>
    <s v="Urban"/>
    <n v="11470"/>
    <n v="310"/>
    <n v="1965"/>
    <n v="470"/>
    <n v="6659"/>
    <n v="2066"/>
    <n v="9094"/>
    <n v="0.08"/>
    <n v="0.19899999999999998"/>
    <n v="0.16699999999999998"/>
    <n v="24.8"/>
    <n v="157.20000000000002"/>
    <n v="93.529999999999987"/>
    <n v="1325.1409999999998"/>
    <n v="1418.6709999999998"/>
    <n v="1518.6979999999999"/>
  </r>
  <r>
    <x v="37"/>
    <x v="1"/>
    <s v="Rural"/>
    <n v="9057"/>
    <n v="281"/>
    <n v="1603"/>
    <n v="330"/>
    <n v="4782"/>
    <n v="2061"/>
    <n v="6715"/>
    <n v="9.0999999999999998E-2"/>
    <n v="0.26899999999999996"/>
    <n v="0.22"/>
    <n v="25.570999999999998"/>
    <n v="145.87299999999999"/>
    <n v="88.769999999999982"/>
    <n v="1286.3579999999997"/>
    <n v="1375.1279999999997"/>
    <n v="1477.3"/>
  </r>
  <r>
    <x v="38"/>
    <x v="0"/>
    <s v="Rural"/>
    <n v="58108"/>
    <n v="1596"/>
    <n v="10205"/>
    <n v="2542"/>
    <n v="34848"/>
    <n v="8917"/>
    <n v="47595"/>
    <n v="6.9000000000000006E-2"/>
    <n v="0.20100000000000001"/>
    <n v="0.16500000000000001"/>
    <n v="110.12400000000001"/>
    <n v="704.1450000000001"/>
    <n v="510.94200000000001"/>
    <n v="7004.4480000000003"/>
    <n v="7515.39"/>
    <n v="7853.1750000000002"/>
  </r>
  <r>
    <x v="39"/>
    <x v="4"/>
    <s v="Rural"/>
    <n v="21046"/>
    <n v="602"/>
    <n v="4038"/>
    <n v="698"/>
    <n v="12595"/>
    <n v="3113"/>
    <n v="17331"/>
    <n v="0.10099999999999999"/>
    <n v="0.27399999999999997"/>
    <n v="0.22399999999999998"/>
    <n v="60.801999999999992"/>
    <n v="407.83799999999997"/>
    <n v="191.25199999999998"/>
    <n v="3451.0299999999997"/>
    <n v="3642.2819999999997"/>
    <n v="3882.1439999999998"/>
  </r>
  <r>
    <x v="40"/>
    <x v="2"/>
    <s v="Urban"/>
    <n v="518113"/>
    <n v="17497"/>
    <n v="97370"/>
    <n v="26994"/>
    <n v="303133"/>
    <n v="73119"/>
    <n v="427497"/>
    <n v="6.4000000000000001E-2"/>
    <n v="0.22600000000000001"/>
    <n v="0.18100000000000002"/>
    <n v="1119.808"/>
    <n v="6231.68"/>
    <n v="6100.6440000000002"/>
    <n v="68508.058000000005"/>
    <n v="74608.702000000005"/>
    <n v="77376.957000000009"/>
  </r>
  <r>
    <x v="41"/>
    <x v="0"/>
    <s v="Rural"/>
    <n v="53105"/>
    <n v="1587"/>
    <n v="9848"/>
    <n v="1803"/>
    <n v="30000"/>
    <n v="9867"/>
    <n v="41651"/>
    <n v="5.7000000000000002E-2"/>
    <n v="0.21199999999999999"/>
    <n v="0.17"/>
    <n v="90.459000000000003"/>
    <n v="561.33600000000001"/>
    <n v="382.23599999999999"/>
    <n v="6360"/>
    <n v="6742.2359999999999"/>
    <n v="7080.67"/>
  </r>
  <r>
    <x v="42"/>
    <x v="2"/>
    <s v="Rural"/>
    <n v="127777"/>
    <n v="5360"/>
    <n v="29339"/>
    <n v="5763"/>
    <n v="72067"/>
    <n v="15248"/>
    <n v="107169"/>
    <n v="7.0000000000000007E-2"/>
    <n v="0.24399999999999999"/>
    <n v="0.188"/>
    <n v="375.20000000000005"/>
    <n v="2053.73"/>
    <n v="1406.172"/>
    <n v="17584.347999999998"/>
    <n v="18990.519999999997"/>
    <n v="20147.772000000001"/>
  </r>
  <r>
    <x v="43"/>
    <x v="1"/>
    <s v="Urban"/>
    <n v="60218"/>
    <n v="1671"/>
    <n v="9435"/>
    <n v="1889"/>
    <n v="32684"/>
    <n v="14539"/>
    <n v="44008"/>
    <n v="7.400000000000001E-2"/>
    <n v="0.223"/>
    <n v="0.18600000000000003"/>
    <n v="123.65400000000001"/>
    <n v="698.19"/>
    <n v="421.24700000000001"/>
    <n v="7288.5320000000002"/>
    <n v="7709.7790000000005"/>
    <n v="8185.4880000000012"/>
  </r>
  <r>
    <x v="44"/>
    <x v="1"/>
    <s v="Urban"/>
    <n v="111173"/>
    <n v="3253"/>
    <n v="18765"/>
    <n v="3139"/>
    <n v="58159"/>
    <n v="27857"/>
    <n v="80063"/>
    <n v="8.199999999999999E-2"/>
    <n v="0.24600000000000002"/>
    <n v="0.20199999999999999"/>
    <n v="266.74599999999998"/>
    <n v="1538.7299999999998"/>
    <n v="772.19400000000007"/>
    <n v="14307.114000000001"/>
    <n v="15079.308000000001"/>
    <n v="16172.725999999999"/>
  </r>
  <r>
    <x v="45"/>
    <x v="3"/>
    <s v="Rural"/>
    <n v="24560"/>
    <n v="654"/>
    <n v="4195"/>
    <n v="1269"/>
    <n v="14085"/>
    <n v="4357"/>
    <n v="19549"/>
    <n v="5.5999999999999994E-2"/>
    <n v="0.215"/>
    <n v="0.17199999999999999"/>
    <n v="36.623999999999995"/>
    <n v="234.92"/>
    <n v="272.83499999999998"/>
    <n v="3028.2750000000001"/>
    <n v="3301.11"/>
    <n v="3362.4279999999999"/>
  </r>
  <r>
    <x v="46"/>
    <x v="2"/>
    <s v="Urban"/>
    <n v="52259"/>
    <n v="2691"/>
    <n v="13445"/>
    <n v="2032"/>
    <n v="29529"/>
    <n v="4562"/>
    <n v="45006"/>
    <n v="8.1000000000000003E-2"/>
    <n v="0.26600000000000001"/>
    <n v="0.20600000000000002"/>
    <n v="217.971"/>
    <n v="1089.0450000000001"/>
    <n v="540.51200000000006"/>
    <n v="7854.7140000000009"/>
    <n v="8395.2260000000006"/>
    <n v="9271.2360000000008"/>
  </r>
  <r>
    <x v="47"/>
    <x v="3"/>
    <s v="Rural"/>
    <n v="5895"/>
    <n v="152"/>
    <n v="859"/>
    <n v="185"/>
    <n v="3659"/>
    <n v="1040"/>
    <n v="4703"/>
    <n v="0.125"/>
    <n v="0.27"/>
    <n v="0.23300000000000001"/>
    <n v="19"/>
    <n v="107.375"/>
    <n v="49.95"/>
    <n v="987.93000000000006"/>
    <n v="1037.8800000000001"/>
    <n v="1095.799"/>
  </r>
  <r>
    <x v="48"/>
    <x v="5"/>
    <s v="Urban"/>
    <n v="169005"/>
    <n v="5405"/>
    <n v="33695"/>
    <n v="6718"/>
    <n v="98158"/>
    <n v="25029"/>
    <n v="138571"/>
    <n v="7.0000000000000007E-2"/>
    <n v="0.223"/>
    <n v="0.17800000000000002"/>
    <n v="378.35"/>
    <n v="2358.65"/>
    <n v="1498.114"/>
    <n v="21889.234"/>
    <n v="23387.348000000002"/>
    <n v="24665.638000000003"/>
  </r>
  <r>
    <x v="49"/>
    <x v="1"/>
    <s v="Rural"/>
    <n v="41070"/>
    <n v="1117"/>
    <n v="6119"/>
    <n v="3815"/>
    <n v="22475"/>
    <n v="7544"/>
    <n v="32409"/>
    <n v="0.1"/>
    <n v="0.28999999999999998"/>
    <n v="0.245"/>
    <n v="111.7"/>
    <n v="611.9"/>
    <n v="1106.3499999999999"/>
    <n v="6517.75"/>
    <n v="7624.1"/>
    <n v="7940.2049999999999"/>
  </r>
  <r>
    <x v="50"/>
    <x v="6"/>
    <s v="Urban"/>
    <n v="182580"/>
    <n v="6841"/>
    <n v="40872"/>
    <n v="7063"/>
    <n v="105186"/>
    <n v="22618"/>
    <n v="153121"/>
    <n v="7.8E-2"/>
    <n v="0.24600000000000002"/>
    <n v="0.193"/>
    <n v="533.59799999999996"/>
    <n v="3188.0160000000001"/>
    <n v="1737.4980000000003"/>
    <n v="25875.756000000001"/>
    <n v="27613.254000000001"/>
    <n v="29552.352999999999"/>
  </r>
  <r>
    <x v="51"/>
    <x v="3"/>
    <s v="Urban"/>
    <n v="10601"/>
    <n v="308"/>
    <n v="1862"/>
    <n v="294"/>
    <n v="6086"/>
    <n v="2051"/>
    <n v="8242"/>
    <n v="9.4E-2"/>
    <n v="0.255"/>
    <n v="0.215"/>
    <n v="28.952000000000002"/>
    <n v="175.02799999999999"/>
    <n v="74.97"/>
    <n v="1551.93"/>
    <n v="1626.9"/>
    <n v="1772.03"/>
  </r>
  <r>
    <x v="52"/>
    <x v="2"/>
    <s v="Rural"/>
    <n v="60962"/>
    <n v="2405"/>
    <n v="12794"/>
    <n v="2356"/>
    <n v="33972"/>
    <n v="9435"/>
    <n v="49122"/>
    <n v="8.4000000000000005E-2"/>
    <n v="0.26899999999999996"/>
    <n v="0.21199999999999999"/>
    <n v="202.02"/>
    <n v="1074.6960000000001"/>
    <n v="633.7639999999999"/>
    <n v="9138.4679999999989"/>
    <n v="9772.2319999999982"/>
    <n v="10413.864"/>
  </r>
  <r>
    <x v="53"/>
    <x v="4"/>
    <s v="Rural"/>
    <n v="58950"/>
    <n v="1895"/>
    <n v="11377"/>
    <n v="2192"/>
    <n v="32853"/>
    <n v="10633"/>
    <n v="46422"/>
    <n v="6.3E-2"/>
    <n v="0.245"/>
    <n v="0.19399999999999998"/>
    <n v="119.38500000000001"/>
    <n v="716.75099999999998"/>
    <n v="537.04"/>
    <n v="8048.9849999999997"/>
    <n v="8586.0249999999996"/>
    <n v="9005.8679999999986"/>
  </r>
  <r>
    <x v="54"/>
    <x v="5"/>
    <s v="Urban"/>
    <n v="80813"/>
    <n v="2339"/>
    <n v="14899"/>
    <n v="3049"/>
    <n v="47422"/>
    <n v="13104"/>
    <n v="65370"/>
    <n v="8.199999999999999E-2"/>
    <n v="0.22399999999999998"/>
    <n v="0.18600000000000003"/>
    <n v="191.79799999999997"/>
    <n v="1221.7179999999998"/>
    <n v="682.97599999999989"/>
    <n v="10622.527999999998"/>
    <n v="11305.503999999999"/>
    <n v="12158.820000000002"/>
  </r>
  <r>
    <x v="55"/>
    <x v="1"/>
    <s v="Rural"/>
    <n v="34179"/>
    <n v="1037"/>
    <n v="5426"/>
    <n v="1087"/>
    <n v="17347"/>
    <n v="9282"/>
    <n v="23860"/>
    <n v="0.111"/>
    <n v="0.30199999999999999"/>
    <n v="0.253"/>
    <n v="115.107"/>
    <n v="602.28600000000006"/>
    <n v="328.274"/>
    <n v="5238.7939999999999"/>
    <n v="5567.0680000000002"/>
    <n v="6036.58"/>
  </r>
  <r>
    <x v="56"/>
    <x v="1"/>
    <s v="Urban"/>
    <n v="21508"/>
    <n v="560"/>
    <n v="3379"/>
    <n v="1246"/>
    <n v="11849"/>
    <n v="4474"/>
    <n v="16474"/>
    <n v="6.9000000000000006E-2"/>
    <n v="0.214"/>
    <n v="0.17699999999999999"/>
    <n v="38.64"/>
    <n v="233.15100000000001"/>
    <n v="266.64400000000001"/>
    <n v="2535.6860000000001"/>
    <n v="2802.33"/>
    <n v="2915.8979999999997"/>
  </r>
  <r>
    <x v="57"/>
    <x v="3"/>
    <s v="Rural"/>
    <n v="23448"/>
    <n v="705"/>
    <n v="4180"/>
    <n v="703"/>
    <n v="13000"/>
    <n v="4860"/>
    <n v="17883"/>
    <n v="6.6000000000000003E-2"/>
    <n v="0.21"/>
    <n v="0.17199999999999999"/>
    <n v="46.53"/>
    <n v="275.88"/>
    <n v="147.63"/>
    <n v="2730"/>
    <n v="2877.63"/>
    <n v="3075.8759999999997"/>
  </r>
  <r>
    <x v="58"/>
    <x v="1"/>
    <s v="Rural"/>
    <n v="45317"/>
    <n v="1331"/>
    <n v="7949"/>
    <n v="1573"/>
    <n v="25792"/>
    <n v="8672"/>
    <n v="35314"/>
    <n v="6.3E-2"/>
    <n v="0.21899999999999997"/>
    <n v="0.17800000000000002"/>
    <n v="83.852999999999994"/>
    <n v="500.78699999999998"/>
    <n v="344.48699999999997"/>
    <n v="5648.4479999999994"/>
    <n v="5992.9349999999995"/>
    <n v="6285.8920000000007"/>
  </r>
  <r>
    <x v="59"/>
    <x v="0"/>
    <s v="Urban"/>
    <n v="1032073"/>
    <n v="41410"/>
    <n v="208925"/>
    <n v="36361"/>
    <n v="638333"/>
    <n v="107044"/>
    <n v="883619"/>
    <n v="7.0999999999999994E-2"/>
    <n v="0.23"/>
    <n v="0.185"/>
    <n v="2940.1099999999997"/>
    <n v="14833.674999999999"/>
    <n v="8363.0300000000007"/>
    <n v="146816.59"/>
    <n v="155179.62"/>
    <n v="163469.51499999998"/>
  </r>
  <r>
    <x v="60"/>
    <x v="1"/>
    <s v="Rural"/>
    <n v="15337"/>
    <n v="452"/>
    <n v="2381"/>
    <n v="371"/>
    <n v="8614"/>
    <n v="3519"/>
    <n v="11366"/>
    <n v="7.2999999999999995E-2"/>
    <n v="0.22399999999999998"/>
    <n v="0.187"/>
    <n v="32.995999999999995"/>
    <n v="173.81299999999999"/>
    <n v="83.103999999999985"/>
    <n v="1929.5359999999998"/>
    <n v="2012.6399999999999"/>
    <n v="2125.442"/>
  </r>
  <r>
    <x v="61"/>
    <x v="2"/>
    <s v="Rural"/>
    <n v="27716"/>
    <n v="904"/>
    <n v="5369"/>
    <n v="1133"/>
    <n v="15033"/>
    <n v="5277"/>
    <n v="21535"/>
    <n v="0.09"/>
    <n v="0.29100000000000004"/>
    <n v="0.23199999999999998"/>
    <n v="81.36"/>
    <n v="483.21"/>
    <n v="329.70300000000003"/>
    <n v="4374.603000000001"/>
    <n v="4704.3060000000014"/>
    <n v="4996.12"/>
  </r>
  <r>
    <x v="62"/>
    <x v="2"/>
    <s v="Rural"/>
    <n v="94254"/>
    <n v="2954"/>
    <n v="16739"/>
    <n v="3017"/>
    <n v="47869"/>
    <n v="23675"/>
    <n v="67625"/>
    <n v="7.4999999999999997E-2"/>
    <n v="0.21"/>
    <n v="0.17100000000000001"/>
    <n v="221.54999999999998"/>
    <n v="1255.425"/>
    <n v="633.56999999999994"/>
    <n v="10052.49"/>
    <n v="10686.06"/>
    <n v="11563.875"/>
  </r>
  <r>
    <x v="63"/>
    <x v="4"/>
    <s v="Urban"/>
    <n v="94056"/>
    <n v="3074"/>
    <n v="17752"/>
    <n v="3505"/>
    <n v="53974"/>
    <n v="15751"/>
    <n v="75231"/>
    <n v="6.7000000000000004E-2"/>
    <n v="0.22"/>
    <n v="0.17699999999999999"/>
    <n v="205.958"/>
    <n v="1189.384"/>
    <n v="771.1"/>
    <n v="11874.28"/>
    <n v="12645.380000000001"/>
    <n v="13315.886999999999"/>
  </r>
  <r>
    <x v="64"/>
    <x v="3"/>
    <s v="Urban"/>
    <n v="221590"/>
    <n v="6543"/>
    <n v="35322"/>
    <n v="11820"/>
    <n v="132369"/>
    <n v="35536"/>
    <n v="179511"/>
    <n v="6.5000000000000002E-2"/>
    <n v="0.22600000000000001"/>
    <n v="0.18600000000000003"/>
    <n v="425.29500000000002"/>
    <n v="2295.9300000000003"/>
    <n v="2671.32"/>
    <n v="29915.394"/>
    <n v="32586.714"/>
    <n v="33389.046000000002"/>
  </r>
  <r>
    <x v="65"/>
    <x v="3"/>
    <s v="Rural"/>
    <n v="20720"/>
    <n v="543"/>
    <n v="3425"/>
    <n v="535"/>
    <n v="11640"/>
    <n v="4577"/>
    <n v="15600"/>
    <n v="5.5999999999999994E-2"/>
    <n v="0.19899999999999998"/>
    <n v="0.16200000000000001"/>
    <n v="30.407999999999998"/>
    <n v="191.79999999999998"/>
    <n v="106.46499999999999"/>
    <n v="2316.3599999999997"/>
    <n v="2422.8249999999998"/>
    <n v="2527.2000000000003"/>
  </r>
  <r>
    <x v="66"/>
    <x v="3"/>
    <s v="Urban"/>
    <n v="200922"/>
    <n v="12797"/>
    <n v="44088"/>
    <n v="14823"/>
    <n v="112046"/>
    <n v="17168"/>
    <n v="170957"/>
    <n v="6.4000000000000001E-2"/>
    <n v="0.20199999999999999"/>
    <n v="0.159"/>
    <n v="819.00800000000004"/>
    <n v="2821.6320000000001"/>
    <n v="2994.2459999999996"/>
    <n v="22633.291999999998"/>
    <n v="25627.537999999997"/>
    <n v="27182.163"/>
  </r>
  <r>
    <x v="67"/>
    <x v="0"/>
    <s v="Urban"/>
    <n v="143063"/>
    <n v="3688"/>
    <n v="24245"/>
    <n v="12235"/>
    <n v="85617"/>
    <n v="17278"/>
    <n v="122097"/>
    <n v="7.2999999999999995E-2"/>
    <n v="0.18"/>
    <n v="0.153"/>
    <n v="269.22399999999999"/>
    <n v="1769.885"/>
    <n v="2202.2999999999997"/>
    <n v="15411.06"/>
    <n v="17613.36"/>
    <n v="18680.841"/>
  </r>
  <r>
    <x v="68"/>
    <x v="3"/>
    <s v="Urban"/>
    <n v="13067"/>
    <n v="291"/>
    <n v="1843"/>
    <n v="327"/>
    <n v="7128"/>
    <n v="3478"/>
    <n v="9298"/>
    <n v="0.10800000000000001"/>
    <n v="0.22899999999999998"/>
    <n v="0.19899999999999998"/>
    <n v="31.428000000000004"/>
    <n v="199.04400000000001"/>
    <n v="74.882999999999996"/>
    <n v="1632.3119999999999"/>
    <n v="1707.1949999999999"/>
    <n v="1850.3019999999999"/>
  </r>
  <r>
    <x v="69"/>
    <x v="3"/>
    <s v="Rural"/>
    <n v="38919"/>
    <n v="1330"/>
    <n v="7579"/>
    <n v="2172"/>
    <n v="22001"/>
    <n v="5837"/>
    <n v="31752"/>
    <n v="0.06"/>
    <n v="0.214"/>
    <n v="0.17100000000000001"/>
    <n v="79.8"/>
    <n v="454.74"/>
    <n v="464.80799999999999"/>
    <n v="4708.2139999999999"/>
    <n v="5173.0219999999999"/>
    <n v="5429.5920000000006"/>
  </r>
  <r>
    <x v="70"/>
    <x v="3"/>
    <s v="Urban"/>
    <n v="57689"/>
    <n v="1778"/>
    <n v="10359"/>
    <n v="2138"/>
    <n v="33440"/>
    <n v="9974"/>
    <n v="45937"/>
    <n v="8.199999999999999E-2"/>
    <n v="0.247"/>
    <n v="0.20199999999999999"/>
    <n v="145.79599999999999"/>
    <n v="849.43799999999987"/>
    <n v="528.08600000000001"/>
    <n v="8259.68"/>
    <n v="8787.7659999999996"/>
    <n v="9279.2739999999994"/>
  </r>
  <r>
    <x v="71"/>
    <x v="3"/>
    <s v="Rural"/>
    <n v="14013"/>
    <n v="401"/>
    <n v="2288"/>
    <n v="373"/>
    <n v="7365"/>
    <n v="3586"/>
    <n v="10026"/>
    <n v="7.2999999999999995E-2"/>
    <n v="0.20699999999999999"/>
    <n v="0.17100000000000001"/>
    <n v="29.273"/>
    <n v="167.024"/>
    <n v="77.210999999999999"/>
    <n v="1524.5549999999998"/>
    <n v="1601.7659999999998"/>
    <n v="1714.4460000000001"/>
  </r>
  <r>
    <x v="72"/>
    <x v="0"/>
    <s v="Urban"/>
    <n v="39254"/>
    <n v="1240"/>
    <n v="7155"/>
    <n v="1247"/>
    <n v="22663"/>
    <n v="6949"/>
    <n v="31065"/>
    <n v="6.5000000000000002E-2"/>
    <n v="0.20399999999999999"/>
    <n v="0.16600000000000001"/>
    <n v="80.600000000000009"/>
    <n v="465.07499999999999"/>
    <n v="254.38799999999998"/>
    <n v="4623.2519999999995"/>
    <n v="4877.6399999999994"/>
    <n v="5156.79"/>
  </r>
  <r>
    <x v="73"/>
    <x v="3"/>
    <s v="Urban"/>
    <n v="176749"/>
    <n v="5885"/>
    <n v="32684"/>
    <n v="14969"/>
    <n v="102399"/>
    <n v="20812"/>
    <n v="150052"/>
    <n v="0.06"/>
    <n v="0.218"/>
    <n v="0.17699999999999999"/>
    <n v="353.09999999999997"/>
    <n v="1961.04"/>
    <n v="3263.2420000000002"/>
    <n v="22322.982"/>
    <n v="25586.224000000002"/>
    <n v="26559.203999999998"/>
  </r>
  <r>
    <x v="74"/>
    <x v="1"/>
    <s v="Rural"/>
    <n v="20754"/>
    <n v="459"/>
    <n v="3078"/>
    <n v="617"/>
    <n v="10893"/>
    <n v="5707"/>
    <n v="14588"/>
    <n v="0.11199999999999999"/>
    <n v="0.25"/>
    <n v="0.21600000000000003"/>
    <n v="51.407999999999994"/>
    <n v="344.73599999999999"/>
    <n v="154.25"/>
    <n v="2723.25"/>
    <n v="2877.5"/>
    <n v="3151.0080000000003"/>
  </r>
  <r>
    <x v="75"/>
    <x v="2"/>
    <s v="Urban"/>
    <n v="142599"/>
    <n v="4714"/>
    <n v="27950"/>
    <n v="5816"/>
    <n v="80879"/>
    <n v="23240"/>
    <n v="114645"/>
    <n v="8.4000000000000005E-2"/>
    <n v="0.26100000000000001"/>
    <n v="0.21"/>
    <n v="395.976"/>
    <n v="2347.8000000000002"/>
    <n v="1517.9760000000001"/>
    <n v="21109.419000000002"/>
    <n v="22627.395"/>
    <n v="24075.45"/>
  </r>
  <r>
    <x v="76"/>
    <x v="2"/>
    <s v="Rural"/>
    <n v="45988"/>
    <n v="1523"/>
    <n v="9165"/>
    <n v="2179"/>
    <n v="25619"/>
    <n v="7502"/>
    <n v="36963"/>
    <n v="6.8000000000000005E-2"/>
    <n v="0.25700000000000001"/>
    <n v="0.20199999999999999"/>
    <n v="103.56400000000001"/>
    <n v="623.22"/>
    <n v="560.00300000000004"/>
    <n v="6584.0830000000005"/>
    <n v="7144.0860000000002"/>
    <n v="7466.5259999999998"/>
  </r>
  <r>
    <x v="77"/>
    <x v="4"/>
    <s v="Rural"/>
    <n v="133305"/>
    <n v="5248"/>
    <n v="28141"/>
    <n v="7672"/>
    <n v="74183"/>
    <n v="18061"/>
    <n v="109996"/>
    <n v="7.4999999999999997E-2"/>
    <n v="0.32299999999999995"/>
    <n v="0.247"/>
    <n v="393.59999999999997"/>
    <n v="2110.5749999999998"/>
    <n v="2478.0559999999996"/>
    <n v="23961.108999999997"/>
    <n v="26439.164999999997"/>
    <n v="27169.011999999999"/>
  </r>
  <r>
    <x v="78"/>
    <x v="7"/>
    <s v="Urban"/>
    <n v="91316"/>
    <n v="2781"/>
    <n v="16178"/>
    <n v="3163"/>
    <n v="52241"/>
    <n v="16953"/>
    <n v="71582"/>
    <n v="6.6000000000000003E-2"/>
    <n v="0.223"/>
    <n v="0.182"/>
    <n v="183.54600000000002"/>
    <n v="1067.748"/>
    <n v="705.34900000000005"/>
    <n v="11649.743"/>
    <n v="12355.092000000001"/>
    <n v="13027.923999999999"/>
  </r>
  <r>
    <x v="79"/>
    <x v="0"/>
    <s v="Urban"/>
    <n v="139457"/>
    <n v="4473"/>
    <n v="26893"/>
    <n v="5684"/>
    <n v="79758"/>
    <n v="22649"/>
    <n v="112335"/>
    <n v="6.3E-2"/>
    <n v="0.24"/>
    <n v="0.19"/>
    <n v="281.79899999999998"/>
    <n v="1694.259"/>
    <n v="1364.1599999999999"/>
    <n v="19141.919999999998"/>
    <n v="20506.079999999998"/>
    <n v="21343.65"/>
  </r>
  <r>
    <x v="80"/>
    <x v="1"/>
    <s v="Rural"/>
    <n v="67359"/>
    <n v="2092"/>
    <n v="12116"/>
    <n v="2422"/>
    <n v="37394"/>
    <n v="13335"/>
    <n v="51932"/>
    <n v="6.2E-2"/>
    <n v="0.23"/>
    <n v="0.185"/>
    <n v="129.70400000000001"/>
    <n v="751.19200000000001"/>
    <n v="557.06000000000006"/>
    <n v="8600.6200000000008"/>
    <n v="9157.68"/>
    <n v="9607.42"/>
  </r>
  <r>
    <x v="81"/>
    <x v="4"/>
    <s v="Rural"/>
    <n v="64717"/>
    <n v="2438"/>
    <n v="13517"/>
    <n v="2651"/>
    <n v="35662"/>
    <n v="10449"/>
    <n v="51830"/>
    <n v="0.1"/>
    <n v="0.29899999999999999"/>
    <n v="0.24"/>
    <n v="243.8"/>
    <n v="1351.7"/>
    <n v="792.649"/>
    <n v="10662.938"/>
    <n v="11455.587"/>
    <n v="12439.199999999999"/>
  </r>
  <r>
    <x v="82"/>
    <x v="4"/>
    <s v="Rural"/>
    <n v="35952"/>
    <n v="1279"/>
    <n v="7256"/>
    <n v="1432"/>
    <n v="20207"/>
    <n v="5778"/>
    <n v="28895"/>
    <n v="6.2E-2"/>
    <n v="0.23499999999999999"/>
    <n v="0.183"/>
    <n v="79.298000000000002"/>
    <n v="449.87200000000001"/>
    <n v="336.52"/>
    <n v="4748.6449999999995"/>
    <n v="5085.1649999999991"/>
    <n v="5287.7849999999999"/>
  </r>
  <r>
    <x v="83"/>
    <x v="0"/>
    <s v="Rural"/>
    <n v="60820"/>
    <n v="1860"/>
    <n v="11089"/>
    <n v="2331"/>
    <n v="34759"/>
    <n v="10781"/>
    <n v="48179"/>
    <n v="6.9000000000000006E-2"/>
    <n v="0.222"/>
    <n v="0.18100000000000002"/>
    <n v="128.34"/>
    <n v="765.14100000000008"/>
    <n v="517.48199999999997"/>
    <n v="7716.4980000000005"/>
    <n v="8233.98"/>
    <n v="8720.3990000000013"/>
  </r>
  <r>
    <x v="84"/>
    <x v="7"/>
    <s v="Urban"/>
    <n v="46059"/>
    <n v="1227"/>
    <n v="7774"/>
    <n v="1480"/>
    <n v="27057"/>
    <n v="8521"/>
    <n v="36311"/>
    <n v="6.4000000000000001E-2"/>
    <n v="0.2"/>
    <n v="0.16500000000000001"/>
    <n v="78.528000000000006"/>
    <n v="497.536"/>
    <n v="296"/>
    <n v="5411.4000000000005"/>
    <n v="5707.4000000000005"/>
    <n v="5991.3150000000005"/>
  </r>
  <r>
    <x v="85"/>
    <x v="5"/>
    <s v="Rural"/>
    <n v="73341"/>
    <n v="2235"/>
    <n v="13628"/>
    <n v="3076"/>
    <n v="40776"/>
    <n v="13626"/>
    <n v="57480"/>
    <n v="7.4999999999999997E-2"/>
    <n v="0.251"/>
    <n v="0.20199999999999999"/>
    <n v="167.625"/>
    <n v="1022.0999999999999"/>
    <n v="772.07600000000002"/>
    <n v="10234.776"/>
    <n v="11006.851999999999"/>
    <n v="11610.96"/>
  </r>
  <r>
    <x v="86"/>
    <x v="1"/>
    <s v="Rural"/>
    <n v="14901"/>
    <n v="624"/>
    <n v="2882"/>
    <n v="509"/>
    <n v="8174"/>
    <n v="2712"/>
    <n v="11565"/>
    <n v="0.1"/>
    <n v="0.27399999999999997"/>
    <n v="0.22500000000000001"/>
    <n v="62.400000000000006"/>
    <n v="288.2"/>
    <n v="139.46599999999998"/>
    <n v="2239.6759999999999"/>
    <n v="2379.1419999999998"/>
    <n v="2602.125"/>
  </r>
  <r>
    <x v="87"/>
    <x v="1"/>
    <s v="Rural"/>
    <n v="33333"/>
    <n v="867"/>
    <n v="4759"/>
    <n v="1310"/>
    <n v="16621"/>
    <n v="9776"/>
    <n v="22690"/>
    <n v="0.08"/>
    <n v="0.24100000000000002"/>
    <n v="0.20199999999999999"/>
    <n v="69.36"/>
    <n v="380.72"/>
    <n v="315.71000000000004"/>
    <n v="4005.6610000000005"/>
    <n v="4321.371000000001"/>
    <n v="4583.38"/>
  </r>
  <r>
    <x v="88"/>
    <x v="3"/>
    <s v="Rural"/>
    <n v="4084"/>
    <n v="119"/>
    <n v="621"/>
    <n v="94"/>
    <n v="2472"/>
    <n v="778"/>
    <n v="3187"/>
    <n v="0.105"/>
    <n v="0.29499999999999998"/>
    <n v="0.245"/>
    <n v="12.494999999999999"/>
    <n v="65.204999999999998"/>
    <n v="27.729999999999997"/>
    <n v="729.24"/>
    <n v="756.97"/>
    <n v="780.81499999999994"/>
  </r>
  <r>
    <x v="89"/>
    <x v="0"/>
    <s v="Urban"/>
    <n v="219212"/>
    <n v="7767"/>
    <n v="51403"/>
    <n v="9675"/>
    <n v="124697"/>
    <n v="25670"/>
    <n v="185775"/>
    <n v="7.5999999999999998E-2"/>
    <n v="0.20399999999999999"/>
    <n v="0.161"/>
    <n v="590.29200000000003"/>
    <n v="3906.6279999999997"/>
    <n v="1973.6999999999998"/>
    <n v="25438.187999999998"/>
    <n v="27411.887999999999"/>
    <n v="29909.775000000001"/>
  </r>
  <r>
    <x v="90"/>
    <x v="0"/>
    <s v="Rural"/>
    <n v="44849"/>
    <n v="1579"/>
    <n v="9142"/>
    <n v="1738"/>
    <n v="24971"/>
    <n v="7419"/>
    <n v="35851"/>
    <n v="5.9000000000000004E-2"/>
    <n v="0.22899999999999998"/>
    <n v="0.18"/>
    <n v="93.161000000000001"/>
    <n v="539.37800000000004"/>
    <n v="398.00199999999995"/>
    <n v="5718.3589999999995"/>
    <n v="6116.360999999999"/>
    <n v="6453.1799999999994"/>
  </r>
  <r>
    <x v="91"/>
    <x v="6"/>
    <s v="Urban"/>
    <n v="1004455"/>
    <n v="37161"/>
    <n v="210151"/>
    <n v="40157"/>
    <n v="612147"/>
    <n v="104839"/>
    <n v="862455"/>
    <n v="5.7999999999999996E-2"/>
    <n v="0.18"/>
    <n v="0.14400000000000002"/>
    <n v="2155.3379999999997"/>
    <n v="12188.758"/>
    <n v="7228.2599999999993"/>
    <n v="110186.45999999999"/>
    <n v="117414.71999999999"/>
    <n v="124193.52000000002"/>
  </r>
  <r>
    <x v="92"/>
    <x v="0"/>
    <s v="Rural"/>
    <n v="20282"/>
    <n v="511"/>
    <n v="3288"/>
    <n v="548"/>
    <n v="11422"/>
    <n v="4513"/>
    <n v="15258"/>
    <n v="8.1000000000000003E-2"/>
    <n v="0.245"/>
    <n v="0.20199999999999999"/>
    <n v="41.390999999999998"/>
    <n v="266.32800000000003"/>
    <n v="134.26"/>
    <n v="2798.39"/>
    <n v="2932.6499999999996"/>
    <n v="3082.116"/>
  </r>
  <r>
    <x v="93"/>
    <x v="3"/>
    <s v="Rural"/>
    <n v="12691"/>
    <n v="403"/>
    <n v="2366"/>
    <n v="360"/>
    <n v="6856"/>
    <n v="2706"/>
    <n v="9582"/>
    <n v="6.9000000000000006E-2"/>
    <n v="0.21"/>
    <n v="0.17100000000000001"/>
    <n v="27.807000000000002"/>
    <n v="163.25400000000002"/>
    <n v="75.599999999999994"/>
    <n v="1439.76"/>
    <n v="1515.36"/>
    <n v="1638.5220000000002"/>
  </r>
  <r>
    <x v="94"/>
    <x v="1"/>
    <s v="Rural"/>
    <n v="53219"/>
    <n v="992"/>
    <n v="5875"/>
    <n v="8541"/>
    <n v="29862"/>
    <n v="7949"/>
    <n v="44278"/>
    <n v="7.8E-2"/>
    <n v="0.21"/>
    <n v="0.18600000000000003"/>
    <n v="77.376000000000005"/>
    <n v="458.25"/>
    <n v="1793.61"/>
    <n v="6271.0199999999995"/>
    <n v="8064.6299999999992"/>
    <n v="8235.7080000000005"/>
  </r>
  <r>
    <x v="95"/>
    <x v="4"/>
    <s v="Urban"/>
    <n v="125936"/>
    <n v="4870"/>
    <n v="25736"/>
    <n v="5091"/>
    <n v="71651"/>
    <n v="18588"/>
    <n v="102478"/>
    <n v="6.9000000000000006E-2"/>
    <n v="0.22899999999999998"/>
    <n v="0.182"/>
    <n v="336.03000000000003"/>
    <n v="1775.7840000000001"/>
    <n v="1165.8389999999999"/>
    <n v="16408.078999999998"/>
    <n v="17573.917999999998"/>
    <n v="18650.995999999999"/>
  </r>
  <r>
    <x v="96"/>
    <x v="1"/>
    <s v="Rural"/>
    <n v="69784"/>
    <n v="2032"/>
    <n v="12480"/>
    <n v="2461"/>
    <n v="39038"/>
    <n v="13773"/>
    <n v="53979"/>
    <n v="7.400000000000001E-2"/>
    <n v="0.253"/>
    <n v="0.20499999999999999"/>
    <n v="150.36800000000002"/>
    <n v="923.5200000000001"/>
    <n v="622.63300000000004"/>
    <n v="9876.6139999999996"/>
    <n v="10499.246999999999"/>
    <n v="11065.695"/>
  </r>
  <r>
    <x v="97"/>
    <x v="4"/>
    <s v="Rural"/>
    <n v="83044"/>
    <n v="2740"/>
    <n v="16635"/>
    <n v="3027"/>
    <n v="47030"/>
    <n v="13612"/>
    <n v="66692"/>
    <n v="7.6999999999999999E-2"/>
    <n v="0.251"/>
    <n v="0.20100000000000001"/>
    <n v="210.98"/>
    <n v="1280.895"/>
    <n v="759.77700000000004"/>
    <n v="11804.53"/>
    <n v="12564.307000000001"/>
    <n v="13405.092000000001"/>
  </r>
  <r>
    <x v="98"/>
    <x v="5"/>
    <s v="Urban"/>
    <n v="37885"/>
    <n v="1227"/>
    <n v="6958"/>
    <n v="1413"/>
    <n v="21319"/>
    <n v="6968"/>
    <n v="29690"/>
    <n v="8.8000000000000009E-2"/>
    <n v="0.245"/>
    <n v="0.20199999999999999"/>
    <n v="107.97600000000001"/>
    <n v="612.30400000000009"/>
    <n v="346.185"/>
    <n v="5223.1549999999997"/>
    <n v="5569.34"/>
    <n v="5997.3799999999992"/>
  </r>
  <r>
    <x v="99"/>
    <x v="1"/>
    <s v="Rural"/>
    <n v="17962"/>
    <n v="514"/>
    <n v="2853"/>
    <n v="535"/>
    <n v="9844"/>
    <n v="4216"/>
    <n v="13232"/>
    <n v="0.09"/>
    <n v="0.24299999999999999"/>
    <n v="0.20399999999999999"/>
    <n v="46.26"/>
    <n v="256.77"/>
    <n v="130.005"/>
    <n v="2392.0920000000001"/>
    <n v="2522.0970000000002"/>
    <n v="2699.328"/>
  </r>
</pivotCacheRecords>
</file>

<file path=xl/pivotCache/pivotCacheRecords4.xml><?xml version="1.0" encoding="utf-8"?>
<pivotCacheRecords xmlns="http://schemas.openxmlformats.org/spreadsheetml/2006/main" xmlns:r="http://schemas.openxmlformats.org/officeDocument/2006/relationships" count="100">
  <r>
    <x v="0"/>
    <x v="0"/>
    <s v="Urban"/>
    <n v="159522"/>
    <n v="5298"/>
    <n v="30153"/>
    <n v="7992"/>
    <n v="89836"/>
    <n v="26243"/>
    <n v="127981"/>
    <n v="5.5999999999999994E-2"/>
    <n v="0.20800000000000002"/>
    <n v="0.16500000000000001"/>
    <n v="296.68799999999999"/>
    <n v="1688.5679999999998"/>
    <n v="1662.3360000000002"/>
    <n v="18685.888000000003"/>
    <n v="20348.224000000002"/>
    <n v="21116.865000000002"/>
  </r>
  <r>
    <x v="1"/>
    <x v="1"/>
    <s v="Urban"/>
    <n v="38715"/>
    <n v="1106"/>
    <n v="6851"/>
    <n v="1331"/>
    <n v="22107"/>
    <n v="7320"/>
    <n v="30289"/>
    <n v="5.5E-2"/>
    <n v="0.20199999999999999"/>
    <n v="0.16200000000000001"/>
    <n v="60.83"/>
    <n v="376.80500000000001"/>
    <n v="268.86199999999997"/>
    <n v="4465.6139999999996"/>
    <n v="4734.4759999999997"/>
    <n v="4906.8180000000002"/>
  </r>
  <r>
    <x v="2"/>
    <x v="1"/>
    <s v="Rural"/>
    <n v="11219"/>
    <n v="285"/>
    <n v="1717"/>
    <n v="380"/>
    <n v="6057"/>
    <n v="2780"/>
    <n v="8154"/>
    <n v="0.10199999999999999"/>
    <n v="0.24399999999999999"/>
    <n v="0.21"/>
    <n v="29.069999999999997"/>
    <n v="175.13399999999999"/>
    <n v="92.72"/>
    <n v="1477.9079999999999"/>
    <n v="1570.6279999999999"/>
    <n v="1712.34"/>
  </r>
  <r>
    <x v="3"/>
    <x v="2"/>
    <s v="Rural"/>
    <n v="26466"/>
    <n v="739"/>
    <n v="4622"/>
    <n v="917"/>
    <n v="15743"/>
    <n v="4445"/>
    <n v="21282"/>
    <n v="5.5E-2"/>
    <n v="0.20800000000000002"/>
    <n v="0.16699999999999998"/>
    <n v="40.645000000000003"/>
    <n v="254.21"/>
    <n v="190.73600000000002"/>
    <n v="3274.5440000000003"/>
    <n v="3465.28"/>
    <n v="3554.0939999999996"/>
  </r>
  <r>
    <x v="4"/>
    <x v="1"/>
    <s v="Rural"/>
    <n v="27507"/>
    <n v="726"/>
    <n v="4359"/>
    <n v="884"/>
    <n v="14985"/>
    <n v="6553"/>
    <n v="20228"/>
    <n v="7.8E-2"/>
    <n v="0.23699999999999999"/>
    <n v="0.19800000000000001"/>
    <n v="56.628"/>
    <n v="340.00200000000001"/>
    <n v="209.50799999999998"/>
    <n v="3551.4449999999997"/>
    <n v="3760.9529999999995"/>
    <n v="4005.1440000000002"/>
  </r>
  <r>
    <x v="5"/>
    <x v="1"/>
    <s v="Rural"/>
    <n v="17903"/>
    <n v="418"/>
    <n v="2375"/>
    <n v="629"/>
    <n v="10754"/>
    <n v="3727"/>
    <n v="13758"/>
    <n v="8.3000000000000004E-2"/>
    <n v="0.245"/>
    <n v="0.20699999999999999"/>
    <n v="34.694000000000003"/>
    <n v="197.125"/>
    <n v="154.10499999999999"/>
    <n v="2634.73"/>
    <n v="2788.835"/>
    <n v="2847.9059999999999"/>
  </r>
  <r>
    <x v="6"/>
    <x v="3"/>
    <s v="Rural"/>
    <n v="47717"/>
    <n v="1394"/>
    <n v="8509"/>
    <n v="1530"/>
    <n v="25311"/>
    <n v="10973"/>
    <n v="35350"/>
    <n v="6.7000000000000004E-2"/>
    <n v="0.18899999999999997"/>
    <n v="0.156"/>
    <n v="93.39800000000001"/>
    <n v="570.10300000000007"/>
    <n v="289.16999999999996"/>
    <n v="4783.7789999999995"/>
    <n v="5072.9489999999996"/>
    <n v="5514.6"/>
  </r>
  <r>
    <x v="7"/>
    <x v="3"/>
    <s v="Rural"/>
    <n v="20100"/>
    <n v="555"/>
    <n v="3320"/>
    <n v="748"/>
    <n v="11618"/>
    <n v="3859"/>
    <n v="15686"/>
    <n v="4.7E-2"/>
    <n v="0.17600000000000002"/>
    <n v="0.14400000000000002"/>
    <n v="26.085000000000001"/>
    <n v="156.04"/>
    <n v="131.64800000000002"/>
    <n v="2044.7680000000003"/>
    <n v="2176.4160000000002"/>
    <n v="2258.7840000000001"/>
  </r>
  <r>
    <x v="8"/>
    <x v="4"/>
    <s v="Rural"/>
    <n v="35194"/>
    <n v="1079"/>
    <n v="6357"/>
    <n v="1307"/>
    <n v="19687"/>
    <n v="6764"/>
    <n v="27351"/>
    <n v="6.7000000000000004E-2"/>
    <n v="0.23"/>
    <n v="0.18600000000000003"/>
    <n v="72.293000000000006"/>
    <n v="425.91900000000004"/>
    <n v="300.61"/>
    <n v="4528.01"/>
    <n v="4828.62"/>
    <n v="5087.286000000001"/>
  </r>
  <r>
    <x v="9"/>
    <x v="3"/>
    <s v="Urban"/>
    <n v="124668"/>
    <n v="3246"/>
    <n v="18450"/>
    <n v="3137"/>
    <n v="64748"/>
    <n v="35087"/>
    <n v="86335"/>
    <n v="6.3E-2"/>
    <n v="0.20800000000000002"/>
    <n v="0.17399999999999999"/>
    <n v="204.49799999999999"/>
    <n v="1162.3499999999999"/>
    <n v="652.49600000000009"/>
    <n v="13467.584000000001"/>
    <n v="14120.080000000002"/>
    <n v="15022.289999999999"/>
  </r>
  <r>
    <x v="10"/>
    <x v="1"/>
    <s v="Urban"/>
    <n v="257413"/>
    <n v="7813"/>
    <n v="42095"/>
    <n v="8433"/>
    <n v="150584"/>
    <n v="48488"/>
    <n v="201112"/>
    <n v="5.4000000000000006E-2"/>
    <n v="0.18100000000000002"/>
    <n v="0.15"/>
    <n v="421.90200000000004"/>
    <n v="2273.13"/>
    <n v="1526.3730000000003"/>
    <n v="27255.704000000002"/>
    <n v="28782.077000000001"/>
    <n v="30166.799999999999"/>
  </r>
  <r>
    <x v="11"/>
    <x v="5"/>
    <s v="Urban"/>
    <n v="89198"/>
    <n v="2546"/>
    <n v="15622"/>
    <n v="4362"/>
    <n v="49671"/>
    <n v="16997"/>
    <n v="69655"/>
    <n v="5.5999999999999994E-2"/>
    <n v="0.21"/>
    <n v="0.17199999999999999"/>
    <n v="142.57599999999999"/>
    <n v="874.83199999999988"/>
    <n v="916.02"/>
    <n v="10430.91"/>
    <n v="11346.93"/>
    <n v="11980.66"/>
  </r>
  <r>
    <x v="12"/>
    <x v="0"/>
    <s v="Urban"/>
    <n v="200827"/>
    <n v="7258"/>
    <n v="43534"/>
    <n v="7828"/>
    <n v="116422"/>
    <n v="25785"/>
    <n v="167784"/>
    <n v="5.2000000000000005E-2"/>
    <n v="0.17"/>
    <n v="0.13400000000000001"/>
    <n v="377.41600000000005"/>
    <n v="2263.768"/>
    <n v="1330.76"/>
    <n v="19791.740000000002"/>
    <n v="21122.5"/>
    <n v="22483.056"/>
  </r>
  <r>
    <x v="13"/>
    <x v="1"/>
    <s v="Urban"/>
    <n v="82350"/>
    <n v="2388"/>
    <n v="14439"/>
    <n v="3308"/>
    <n v="47100"/>
    <n v="15115"/>
    <n v="64847"/>
    <n v="4.7E-2"/>
    <n v="0.21199999999999999"/>
    <n v="0.17"/>
    <n v="112.236"/>
    <n v="678.63300000000004"/>
    <n v="701.29599999999994"/>
    <n v="9985.1999999999989"/>
    <n v="10686.495999999999"/>
    <n v="11023.990000000002"/>
  </r>
  <r>
    <x v="14"/>
    <x v="3"/>
    <s v="Rural"/>
    <n v="10431"/>
    <n v="306"/>
    <n v="1928"/>
    <n v="377"/>
    <n v="6184"/>
    <n v="1636"/>
    <n v="8489"/>
    <n v="6.7000000000000004E-2"/>
    <n v="0.16"/>
    <n v="0.13300000000000001"/>
    <n v="20.502000000000002"/>
    <n v="129.17600000000002"/>
    <n v="60.32"/>
    <n v="989.44"/>
    <n v="1049.76"/>
    <n v="1129.037"/>
  </r>
  <r>
    <x v="15"/>
    <x v="3"/>
    <s v="Rural"/>
    <n v="69706"/>
    <n v="1829"/>
    <n v="10480"/>
    <n v="2151"/>
    <n v="39046"/>
    <n v="16200"/>
    <n v="51677"/>
    <n v="0.06"/>
    <n v="0.19500000000000001"/>
    <n v="0.16300000000000001"/>
    <n v="109.74"/>
    <n v="628.79999999999995"/>
    <n v="419.44499999999999"/>
    <n v="7613.97"/>
    <n v="8033.415"/>
    <n v="8423.3510000000006"/>
  </r>
  <r>
    <x v="16"/>
    <x v="0"/>
    <s v="Rural"/>
    <n v="23627"/>
    <n v="634"/>
    <n v="3717"/>
    <n v="732"/>
    <n v="13993"/>
    <n v="4551"/>
    <n v="18442"/>
    <n v="5.5999999999999994E-2"/>
    <n v="0.193"/>
    <n v="0.158"/>
    <n v="35.503999999999998"/>
    <n v="208.15199999999999"/>
    <n v="141.27600000000001"/>
    <n v="2700.6489999999999"/>
    <n v="2841.9249999999997"/>
    <n v="2913.8360000000002"/>
  </r>
  <r>
    <x v="17"/>
    <x v="5"/>
    <s v="Urban"/>
    <n v="156532"/>
    <n v="5196"/>
    <n v="29869"/>
    <n v="6155"/>
    <n v="89102"/>
    <n v="26210"/>
    <n v="125126"/>
    <n v="5.5999999999999994E-2"/>
    <n v="0.192"/>
    <n v="0.154"/>
    <n v="290.97599999999994"/>
    <n v="1672.6639999999998"/>
    <n v="1181.76"/>
    <n v="17107.583999999999"/>
    <n v="18289.343999999997"/>
    <n v="19269.403999999999"/>
  </r>
  <r>
    <x v="18"/>
    <x v="0"/>
    <s v="Urban"/>
    <n v="70981"/>
    <n v="1914"/>
    <n v="11983"/>
    <n v="2087"/>
    <n v="38235"/>
    <n v="16762"/>
    <n v="52305"/>
    <n v="7.0999999999999994E-2"/>
    <n v="0.18899999999999997"/>
    <n v="0.157"/>
    <n v="135.89399999999998"/>
    <n v="850.79299999999989"/>
    <n v="394.44299999999993"/>
    <n v="7226.4149999999991"/>
    <n v="7620.8579999999993"/>
    <n v="8211.8850000000002"/>
  </r>
  <r>
    <x v="19"/>
    <x v="1"/>
    <s v="Rural"/>
    <n v="27524"/>
    <n v="693"/>
    <n v="4186"/>
    <n v="827"/>
    <n v="14125"/>
    <n v="7693"/>
    <n v="19138"/>
    <n v="7.6999999999999999E-2"/>
    <n v="0.23"/>
    <n v="0.192"/>
    <n v="53.360999999999997"/>
    <n v="322.322"/>
    <n v="190.21"/>
    <n v="3248.75"/>
    <n v="3438.96"/>
    <n v="3674.4960000000001"/>
  </r>
  <r>
    <x v="20"/>
    <x v="3"/>
    <s v="Rural"/>
    <n v="14669"/>
    <n v="439"/>
    <n v="2615"/>
    <n v="496"/>
    <n v="7771"/>
    <n v="3348"/>
    <n v="10882"/>
    <n v="6.7000000000000004E-2"/>
    <n v="0.2"/>
    <n v="0.16300000000000001"/>
    <n v="29.413"/>
    <n v="175.20500000000001"/>
    <n v="99.2"/>
    <n v="1554.2"/>
    <n v="1653.4"/>
    <n v="1773.7660000000001"/>
  </r>
  <r>
    <x v="21"/>
    <x v="1"/>
    <s v="Rural"/>
    <n v="10855"/>
    <n v="265"/>
    <n v="1607"/>
    <n v="336"/>
    <n v="5507"/>
    <n v="3140"/>
    <n v="7450"/>
    <n v="9.0999999999999998E-2"/>
    <n v="0.223"/>
    <n v="0.19"/>
    <n v="24.114999999999998"/>
    <n v="146.23699999999999"/>
    <n v="74.927999999999997"/>
    <n v="1228.0609999999999"/>
    <n v="1302.989"/>
    <n v="1415.5"/>
  </r>
  <r>
    <x v="22"/>
    <x v="5"/>
    <s v="Rural"/>
    <n v="98532"/>
    <n v="3120"/>
    <n v="18187"/>
    <n v="4337"/>
    <n v="55443"/>
    <n v="17445"/>
    <n v="77967"/>
    <n v="4.5999999999999999E-2"/>
    <n v="0.17699999999999999"/>
    <n v="0.14099999999999999"/>
    <n v="143.52000000000001"/>
    <n v="836.60199999999998"/>
    <n v="767.649"/>
    <n v="9813.4110000000001"/>
    <n v="10581.06"/>
    <n v="10993.347"/>
  </r>
  <r>
    <x v="23"/>
    <x v="4"/>
    <s v="Rural"/>
    <n v="57579"/>
    <n v="1822"/>
    <n v="10569"/>
    <n v="2236"/>
    <n v="32588"/>
    <n v="10364"/>
    <n v="45393"/>
    <n v="6.4000000000000001E-2"/>
    <n v="0.22800000000000001"/>
    <n v="0.182"/>
    <n v="116.608"/>
    <n v="676.41600000000005"/>
    <n v="509.80799999999999"/>
    <n v="7430.0640000000003"/>
    <n v="7939.8720000000003"/>
    <n v="8261.5259999999998"/>
  </r>
  <r>
    <x v="24"/>
    <x v="3"/>
    <s v="Urban"/>
    <n v="105773"/>
    <n v="4511"/>
    <n v="21922"/>
    <n v="4707"/>
    <n v="56850"/>
    <n v="17783"/>
    <n v="83479"/>
    <n v="0.05"/>
    <n v="0.183"/>
    <n v="0.14499999999999999"/>
    <n v="225.55"/>
    <n v="1096.1000000000001"/>
    <n v="861.38099999999997"/>
    <n v="10403.549999999999"/>
    <n v="11264.930999999999"/>
    <n v="12104.455"/>
  </r>
  <r>
    <x v="25"/>
    <x v="6"/>
    <s v="Urban"/>
    <n v="333073"/>
    <n v="16245"/>
    <n v="72833"/>
    <n v="15431"/>
    <n v="189745"/>
    <n v="38819"/>
    <n v="278009"/>
    <n v="4.9000000000000002E-2"/>
    <n v="0.17"/>
    <n v="0.13400000000000001"/>
    <n v="796.005"/>
    <n v="3568.817"/>
    <n v="2623.27"/>
    <n v="32256.65"/>
    <n v="34879.919999999998"/>
    <n v="37253.206000000006"/>
  </r>
  <r>
    <x v="26"/>
    <x v="3"/>
    <s v="Urban"/>
    <n v="26160"/>
    <n v="808"/>
    <n v="4729"/>
    <n v="934"/>
    <n v="15707"/>
    <n v="3982"/>
    <n v="21370"/>
    <n v="6.5000000000000002E-2"/>
    <n v="0.18100000000000002"/>
    <n v="0.15"/>
    <n v="52.52"/>
    <n v="307.38499999999999"/>
    <n v="169.05400000000003"/>
    <n v="2842.9670000000006"/>
    <n v="3012.0210000000006"/>
    <n v="3205.5"/>
  </r>
  <r>
    <x v="27"/>
    <x v="3"/>
    <s v="Rural"/>
    <n v="35727"/>
    <n v="1107"/>
    <n v="5767"/>
    <n v="901"/>
    <n v="20831"/>
    <n v="7121"/>
    <n v="27499"/>
    <n v="7.5999999999999998E-2"/>
    <n v="0.20300000000000001"/>
    <n v="0.17199999999999999"/>
    <n v="84.132000000000005"/>
    <n v="438.29199999999997"/>
    <n v="182.90300000000002"/>
    <n v="4228.6930000000002"/>
    <n v="4411.5960000000005"/>
    <n v="4729.8279999999995"/>
  </r>
  <r>
    <x v="28"/>
    <x v="0"/>
    <s v="Urban"/>
    <n v="165399"/>
    <n v="5302"/>
    <n v="30961"/>
    <n v="5840"/>
    <n v="95081"/>
    <n v="28215"/>
    <n v="131882"/>
    <n v="4.7E-2"/>
    <n v="0.19699999999999998"/>
    <n v="0.155"/>
    <n v="249.19399999999999"/>
    <n v="1455.1669999999999"/>
    <n v="1150.4799999999998"/>
    <n v="18730.956999999999"/>
    <n v="19881.436999999998"/>
    <n v="20441.71"/>
  </r>
  <r>
    <x v="29"/>
    <x v="0"/>
    <s v="Urban"/>
    <n v="41474"/>
    <n v="1183"/>
    <n v="7370"/>
    <n v="1489"/>
    <n v="23338"/>
    <n v="8094"/>
    <n v="32197"/>
    <n v="7.0000000000000007E-2"/>
    <n v="0.17199999999999999"/>
    <n v="0.14400000000000002"/>
    <n v="82.81"/>
    <n v="515.90000000000009"/>
    <n v="256.108"/>
    <n v="4014.1359999999995"/>
    <n v="4270.2439999999997"/>
    <n v="4636.3680000000004"/>
  </r>
  <r>
    <x v="30"/>
    <x v="4"/>
    <s v="Rural"/>
    <n v="60763"/>
    <n v="2254"/>
    <n v="12409"/>
    <n v="2440"/>
    <n v="33410"/>
    <n v="10250"/>
    <n v="48259"/>
    <n v="8.5000000000000006E-2"/>
    <n v="0.29299999999999998"/>
    <n v="0.23199999999999998"/>
    <n v="191.59"/>
    <n v="1054.7650000000001"/>
    <n v="714.92"/>
    <n v="9789.1299999999992"/>
    <n v="10504.05"/>
    <n v="11196.088"/>
  </r>
  <r>
    <x v="31"/>
    <x v="6"/>
    <s v="Urban"/>
    <n v="303416"/>
    <n v="13005"/>
    <n v="57593"/>
    <n v="14181"/>
    <n v="183145"/>
    <n v="35492"/>
    <n v="254919"/>
    <n v="4.9000000000000002E-2"/>
    <n v="0.18600000000000003"/>
    <n v="0.151"/>
    <n v="637.245"/>
    <n v="2822.0570000000002"/>
    <n v="2637.6660000000002"/>
    <n v="34064.970000000008"/>
    <n v="36702.636000000006"/>
    <n v="38492.769"/>
  </r>
  <r>
    <x v="32"/>
    <x v="4"/>
    <s v="Urban"/>
    <n v="55303"/>
    <n v="1793"/>
    <n v="10895"/>
    <n v="2105"/>
    <n v="30716"/>
    <n v="9794"/>
    <n v="43716"/>
    <n v="3.9E-2"/>
    <n v="0.187"/>
    <n v="0.14499999999999999"/>
    <n v="69.927000000000007"/>
    <n v="424.90499999999997"/>
    <n v="393.63499999999999"/>
    <n v="5743.8919999999998"/>
    <n v="6137.527"/>
    <n v="6338.82"/>
  </r>
  <r>
    <x v="33"/>
    <x v="0"/>
    <s v="Urban"/>
    <n v="371646"/>
    <n v="13579"/>
    <n v="73737"/>
    <n v="15578"/>
    <n v="213147"/>
    <n v="55605"/>
    <n v="302462"/>
    <n v="4.7E-2"/>
    <n v="0.19600000000000001"/>
    <n v="0.153"/>
    <n v="638.21299999999997"/>
    <n v="3465.6390000000001"/>
    <n v="3053.288"/>
    <n v="41776.811999999998"/>
    <n v="44830.1"/>
    <n v="46276.686000000002"/>
  </r>
  <r>
    <x v="34"/>
    <x v="0"/>
    <s v="Urban"/>
    <n v="64436"/>
    <n v="2037"/>
    <n v="12349"/>
    <n v="2510"/>
    <n v="37298"/>
    <n v="10242"/>
    <n v="52157"/>
    <n v="6.4000000000000001E-2"/>
    <n v="0.21899999999999997"/>
    <n v="0.17499999999999999"/>
    <n v="130.36799999999999"/>
    <n v="790.33600000000001"/>
    <n v="549.68999999999994"/>
    <n v="8168.2619999999988"/>
    <n v="8717.9519999999993"/>
    <n v="9127.4749999999985"/>
  </r>
  <r>
    <x v="35"/>
    <x v="5"/>
    <s v="Urban"/>
    <n v="213325"/>
    <n v="7373"/>
    <n v="41293"/>
    <n v="8262"/>
    <n v="123427"/>
    <n v="32970"/>
    <n v="172982"/>
    <n v="5.2000000000000005E-2"/>
    <n v="0.19800000000000001"/>
    <n v="0.158"/>
    <n v="383.39600000000002"/>
    <n v="2147.2360000000003"/>
    <n v="1635.876"/>
    <n v="24438.546000000002"/>
    <n v="26074.422000000002"/>
    <n v="27331.155999999999"/>
  </r>
  <r>
    <x v="36"/>
    <x v="3"/>
    <s v="Urban"/>
    <n v="11914"/>
    <n v="326"/>
    <n v="2039"/>
    <n v="456"/>
    <n v="6925"/>
    <n v="2168"/>
    <n v="9420"/>
    <n v="6.2E-2"/>
    <n v="0.17199999999999999"/>
    <n v="0.14300000000000002"/>
    <n v="20.212"/>
    <n v="126.41799999999999"/>
    <n v="78.431999999999988"/>
    <n v="1191.0999999999999"/>
    <n v="1269.5319999999999"/>
    <n v="1347.0600000000002"/>
  </r>
  <r>
    <x v="37"/>
    <x v="1"/>
    <s v="Rural"/>
    <n v="8969"/>
    <n v="279"/>
    <n v="1601"/>
    <n v="316"/>
    <n v="4700"/>
    <n v="2073"/>
    <n v="6617"/>
    <n v="7.2000000000000008E-2"/>
    <n v="0.23399999999999999"/>
    <n v="0.19"/>
    <n v="20.088000000000001"/>
    <n v="115.27200000000002"/>
    <n v="73.943999999999988"/>
    <n v="1099.8"/>
    <n v="1173.7439999999999"/>
    <n v="1257.23"/>
  </r>
  <r>
    <x v="38"/>
    <x v="0"/>
    <s v="Rural"/>
    <n v="58471"/>
    <n v="1633"/>
    <n v="10097"/>
    <n v="2551"/>
    <n v="34948"/>
    <n v="9242"/>
    <n v="47596"/>
    <n v="5.7999999999999996E-2"/>
    <n v="0.17800000000000002"/>
    <n v="0.14599999999999999"/>
    <n v="94.713999999999999"/>
    <n v="585.62599999999998"/>
    <n v="454.07800000000003"/>
    <n v="6220.7440000000006"/>
    <n v="6674.822000000001"/>
    <n v="6949.0159999999996"/>
  </r>
  <r>
    <x v="39"/>
    <x v="4"/>
    <s v="Rural"/>
    <n v="21310"/>
    <n v="637"/>
    <n v="3997"/>
    <n v="746"/>
    <n v="12703"/>
    <n v="3227"/>
    <n v="17446"/>
    <n v="7.6999999999999999E-2"/>
    <n v="0.251"/>
    <n v="0.20100000000000001"/>
    <n v="49.048999999999999"/>
    <n v="307.76900000000001"/>
    <n v="187.24600000000001"/>
    <n v="3188.453"/>
    <n v="3375.6990000000001"/>
    <n v="3506.6460000000002"/>
  </r>
  <r>
    <x v="40"/>
    <x v="2"/>
    <s v="Urban"/>
    <n v="520398"/>
    <n v="17863"/>
    <n v="97307"/>
    <n v="26867"/>
    <n v="303029"/>
    <n v="75332"/>
    <n v="427203"/>
    <n v="5.5999999999999994E-2"/>
    <n v="0.183"/>
    <n v="0.14800000000000002"/>
    <n v="1000.3279999999999"/>
    <n v="5449.1919999999991"/>
    <n v="4916.6610000000001"/>
    <n v="55454.307000000001"/>
    <n v="60370.968000000001"/>
    <n v="63226.044000000009"/>
  </r>
  <r>
    <x v="41"/>
    <x v="0"/>
    <s v="Rural"/>
    <n v="52567"/>
    <n v="1685"/>
    <n v="9636"/>
    <n v="1760"/>
    <n v="29469"/>
    <n v="10017"/>
    <n v="40865"/>
    <n v="0.05"/>
    <n v="0.19399999999999998"/>
    <n v="0.155"/>
    <n v="84.25"/>
    <n v="481.8"/>
    <n v="341.43999999999994"/>
    <n v="5716.985999999999"/>
    <n v="6058.4259999999986"/>
    <n v="6334.0749999999998"/>
  </r>
  <r>
    <x v="42"/>
    <x v="2"/>
    <s v="Rural"/>
    <n v="130243"/>
    <n v="5649"/>
    <n v="29899"/>
    <n v="5928"/>
    <n v="72931"/>
    <n v="15836"/>
    <n v="108758"/>
    <n v="5.2000000000000005E-2"/>
    <n v="0.20300000000000001"/>
    <n v="0.155"/>
    <n v="293.74800000000005"/>
    <n v="1554.748"/>
    <n v="1203.384"/>
    <n v="14804.993"/>
    <n v="16008.377"/>
    <n v="16857.490000000002"/>
  </r>
  <r>
    <x v="43"/>
    <x v="1"/>
    <s v="Urban"/>
    <n v="60436"/>
    <n v="1694"/>
    <n v="9359"/>
    <n v="1882"/>
    <n v="32659"/>
    <n v="14842"/>
    <n v="43900"/>
    <n v="5.5E-2"/>
    <n v="0.184"/>
    <n v="0.153"/>
    <n v="93.17"/>
    <n v="514.745"/>
    <n v="346.28800000000001"/>
    <n v="6009.2560000000003"/>
    <n v="6355.5439999999999"/>
    <n v="6716.7"/>
  </r>
  <r>
    <x v="44"/>
    <x v="1"/>
    <s v="Urban"/>
    <n v="113314"/>
    <n v="3288"/>
    <n v="18744"/>
    <n v="3295"/>
    <n v="58964"/>
    <n v="29023"/>
    <n v="81003"/>
    <n v="6.4000000000000001E-2"/>
    <n v="0.20899999999999999"/>
    <n v="0.17100000000000001"/>
    <n v="210.43200000000002"/>
    <n v="1199.616"/>
    <n v="688.65499999999997"/>
    <n v="12323.475999999999"/>
    <n v="13012.130999999999"/>
    <n v="13851.513000000001"/>
  </r>
  <r>
    <x v="45"/>
    <x v="3"/>
    <s v="Rural"/>
    <n v="24423"/>
    <n v="672"/>
    <n v="4142"/>
    <n v="1237"/>
    <n v="13931"/>
    <n v="4441"/>
    <n v="19310"/>
    <n v="5.0999999999999997E-2"/>
    <n v="0.19399999999999998"/>
    <n v="0.156"/>
    <n v="34.271999999999998"/>
    <n v="211.24199999999999"/>
    <n v="239.97799999999998"/>
    <n v="2702.6139999999996"/>
    <n v="2942.5919999999996"/>
    <n v="3012.36"/>
  </r>
  <r>
    <x v="46"/>
    <x v="2"/>
    <s v="Urban"/>
    <n v="52400"/>
    <n v="2719"/>
    <n v="13514"/>
    <n v="2112"/>
    <n v="29339"/>
    <n v="4716"/>
    <n v="44965"/>
    <n v="6.3E-2"/>
    <n v="0.21899999999999997"/>
    <n v="0.17"/>
    <n v="171.297"/>
    <n v="851.38200000000006"/>
    <n v="462.52799999999996"/>
    <n v="6425.2409999999991"/>
    <n v="6887.7689999999993"/>
    <n v="7644.05"/>
  </r>
  <r>
    <x v="47"/>
    <x v="3"/>
    <s v="Rural"/>
    <n v="5720"/>
    <n v="136"/>
    <n v="841"/>
    <n v="188"/>
    <n v="3506"/>
    <n v="1049"/>
    <n v="4535"/>
    <n v="8.8000000000000009E-2"/>
    <n v="0.20399999999999999"/>
    <n v="0.17399999999999999"/>
    <n v="11.968000000000002"/>
    <n v="74.00800000000001"/>
    <n v="38.351999999999997"/>
    <n v="715.22399999999993"/>
    <n v="753.57599999999991"/>
    <n v="789.08999999999992"/>
  </r>
  <r>
    <x v="48"/>
    <x v="5"/>
    <s v="Urban"/>
    <n v="171400"/>
    <n v="5467"/>
    <n v="33440"/>
    <n v="6827"/>
    <n v="99775"/>
    <n v="25891"/>
    <n v="140042"/>
    <n v="5.9000000000000004E-2"/>
    <n v="0.182"/>
    <n v="0.14699999999999999"/>
    <n v="322.553"/>
    <n v="1972.96"/>
    <n v="1242.5139999999999"/>
    <n v="18159.05"/>
    <n v="19401.563999999998"/>
    <n v="20586.173999999999"/>
  </r>
  <r>
    <x v="49"/>
    <x v="1"/>
    <s v="Rural"/>
    <n v="41516"/>
    <n v="1153"/>
    <n v="6147"/>
    <n v="3891"/>
    <n v="22534"/>
    <n v="7791"/>
    <n v="32572"/>
    <n v="8.1000000000000003E-2"/>
    <n v="0.23899999999999999"/>
    <n v="0.20199999999999999"/>
    <n v="93.393000000000001"/>
    <n v="497.90700000000004"/>
    <n v="929.94899999999996"/>
    <n v="5385.6260000000002"/>
    <n v="6315.5749999999998"/>
    <n v="6579.5439999999999"/>
  </r>
  <r>
    <x v="50"/>
    <x v="6"/>
    <s v="Urban"/>
    <n v="186764"/>
    <n v="6930"/>
    <n v="41058"/>
    <n v="7294"/>
    <n v="107759"/>
    <n v="23723"/>
    <n v="156111"/>
    <n v="6.3E-2"/>
    <n v="0.20300000000000001"/>
    <n v="0.16"/>
    <n v="436.59"/>
    <n v="2586.654"/>
    <n v="1480.682"/>
    <n v="21875.077000000001"/>
    <n v="23355.759000000002"/>
    <n v="24977.760000000002"/>
  </r>
  <r>
    <x v="51"/>
    <x v="3"/>
    <s v="Urban"/>
    <n v="10518"/>
    <n v="326"/>
    <n v="1789"/>
    <n v="309"/>
    <n v="6024"/>
    <n v="2070"/>
    <n v="8122"/>
    <n v="7.400000000000001E-2"/>
    <n v="0.20199999999999999"/>
    <n v="0.17"/>
    <n v="24.124000000000002"/>
    <n v="132.38600000000002"/>
    <n v="62.417999999999992"/>
    <n v="1216.848"/>
    <n v="1279.2659999999998"/>
    <n v="1380.74"/>
  </r>
  <r>
    <x v="52"/>
    <x v="2"/>
    <s v="Rural"/>
    <n v="59211"/>
    <n v="2363"/>
    <n v="12543"/>
    <n v="2307"/>
    <n v="32698"/>
    <n v="9300"/>
    <n v="47548"/>
    <n v="6.4000000000000001E-2"/>
    <n v="0.223"/>
    <n v="0.17499999999999999"/>
    <n v="151.232"/>
    <n v="802.75200000000007"/>
    <n v="514.46100000000001"/>
    <n v="7291.6540000000005"/>
    <n v="7806.1150000000007"/>
    <n v="8320.9"/>
  </r>
  <r>
    <x v="53"/>
    <x v="4"/>
    <s v="Rural"/>
    <n v="58732"/>
    <n v="1990"/>
    <n v="11190"/>
    <n v="2137"/>
    <n v="32591"/>
    <n v="10824"/>
    <n v="45918"/>
    <n v="5.2000000000000005E-2"/>
    <n v="0.19800000000000001"/>
    <n v="0.158"/>
    <n v="103.48"/>
    <n v="581.88"/>
    <n v="423.12600000000003"/>
    <n v="6453.018"/>
    <n v="6876.1440000000002"/>
    <n v="7255.0439999999999"/>
  </r>
  <r>
    <x v="54"/>
    <x v="5"/>
    <s v="Urban"/>
    <n v="81417"/>
    <n v="2404"/>
    <n v="14718"/>
    <n v="3006"/>
    <n v="47673"/>
    <n v="13616"/>
    <n v="65397"/>
    <n v="6.0999999999999999E-2"/>
    <n v="0.18600000000000003"/>
    <n v="0.153"/>
    <n v="146.64400000000001"/>
    <n v="897.798"/>
    <n v="559.1160000000001"/>
    <n v="8867.1780000000017"/>
    <n v="9426.2940000000017"/>
    <n v="10005.741"/>
  </r>
  <r>
    <x v="55"/>
    <x v="1"/>
    <s v="Rural"/>
    <n v="35279"/>
    <n v="1034"/>
    <n v="5535"/>
    <n v="1162"/>
    <n v="17852"/>
    <n v="9696"/>
    <n v="24549"/>
    <n v="9.6000000000000002E-2"/>
    <n v="0.247"/>
    <n v="0.20800000000000002"/>
    <n v="99.263999999999996"/>
    <n v="531.36"/>
    <n v="287.01400000000001"/>
    <n v="4409.4439999999995"/>
    <n v="4696.4579999999996"/>
    <n v="5106.192"/>
  </r>
  <r>
    <x v="56"/>
    <x v="1"/>
    <s v="Urban"/>
    <n v="21875"/>
    <n v="568"/>
    <n v="3392"/>
    <n v="1247"/>
    <n v="12014"/>
    <n v="4654"/>
    <n v="16653"/>
    <n v="5.5999999999999994E-2"/>
    <n v="0.185"/>
    <n v="0.152"/>
    <n v="31.807999999999996"/>
    <n v="189.95199999999997"/>
    <n v="230.69499999999999"/>
    <n v="2222.59"/>
    <n v="2453.2850000000003"/>
    <n v="2531.2559999999999"/>
  </r>
  <r>
    <x v="57"/>
    <x v="3"/>
    <s v="Rural"/>
    <n v="23494"/>
    <n v="732"/>
    <n v="4151"/>
    <n v="693"/>
    <n v="12962"/>
    <n v="4956"/>
    <n v="17806"/>
    <n v="5.5E-2"/>
    <n v="0.185"/>
    <n v="0.151"/>
    <n v="40.26"/>
    <n v="228.30500000000001"/>
    <n v="128.20500000000001"/>
    <n v="2397.9699999999998"/>
    <n v="2526.1749999999997"/>
    <n v="2688.7060000000001"/>
  </r>
  <r>
    <x v="58"/>
    <x v="1"/>
    <s v="Rural"/>
    <n v="45437"/>
    <n v="1331"/>
    <n v="7925"/>
    <n v="1557"/>
    <n v="25784"/>
    <n v="8840"/>
    <n v="35266"/>
    <n v="5.2999999999999999E-2"/>
    <n v="0.191"/>
    <n v="0.155"/>
    <n v="70.542999999999992"/>
    <n v="420.02499999999998"/>
    <n v="297.387"/>
    <n v="4924.7439999999997"/>
    <n v="5222.1309999999994"/>
    <n v="5466.23"/>
  </r>
  <r>
    <x v="59"/>
    <x v="0"/>
    <s v="Urban"/>
    <n v="1054561"/>
    <n v="42441"/>
    <n v="211891"/>
    <n v="36404"/>
    <n v="651596"/>
    <n v="112229"/>
    <n v="899891"/>
    <n v="5.2000000000000005E-2"/>
    <n v="0.187"/>
    <n v="0.14899999999999999"/>
    <n v="2206.9320000000002"/>
    <n v="11018.332"/>
    <n v="6807.5479999999998"/>
    <n v="121848.452"/>
    <n v="128656"/>
    <n v="134083.75899999999"/>
  </r>
  <r>
    <x v="60"/>
    <x v="1"/>
    <s v="Rural"/>
    <n v="15894"/>
    <n v="459"/>
    <n v="2443"/>
    <n v="385"/>
    <n v="8944"/>
    <n v="3663"/>
    <n v="11772"/>
    <n v="6.7000000000000004E-2"/>
    <n v="0.192"/>
    <n v="0.161"/>
    <n v="30.753"/>
    <n v="163.68100000000001"/>
    <n v="73.92"/>
    <n v="1717.248"/>
    <n v="1791.1680000000001"/>
    <n v="1895.2920000000001"/>
  </r>
  <r>
    <x v="61"/>
    <x v="2"/>
    <s v="Rural"/>
    <n v="27864"/>
    <n v="917"/>
    <n v="5322"/>
    <n v="1103"/>
    <n v="15118"/>
    <n v="5404"/>
    <n v="21543"/>
    <n v="7.5999999999999998E-2"/>
    <n v="0.252"/>
    <n v="0.20100000000000001"/>
    <n v="69.691999999999993"/>
    <n v="404.47199999999998"/>
    <n v="277.95600000000002"/>
    <n v="3809.7359999999999"/>
    <n v="4087.692"/>
    <n v="4330.143"/>
  </r>
  <r>
    <x v="62"/>
    <x v="2"/>
    <s v="Rural"/>
    <n v="95327"/>
    <n v="3056"/>
    <n v="16749"/>
    <n v="3102"/>
    <n v="48149"/>
    <n v="24271"/>
    <n v="68000"/>
    <n v="6.2E-2"/>
    <n v="0.184"/>
    <n v="0.15"/>
    <n v="189.47200000000001"/>
    <n v="1038.4380000000001"/>
    <n v="570.76800000000003"/>
    <n v="8859.4159999999993"/>
    <n v="9430.1839999999993"/>
    <n v="10200"/>
  </r>
  <r>
    <x v="63"/>
    <x v="4"/>
    <s v="Urban"/>
    <n v="94140"/>
    <n v="3087"/>
    <n v="17436"/>
    <n v="3480"/>
    <n v="53723"/>
    <n v="16414"/>
    <n v="74639"/>
    <n v="5.2999999999999999E-2"/>
    <n v="0.193"/>
    <n v="0.154"/>
    <n v="163.61099999999999"/>
    <n v="924.10799999999995"/>
    <n v="671.64"/>
    <n v="10368.539000000001"/>
    <n v="11040.179"/>
    <n v="11494.405999999999"/>
  </r>
  <r>
    <x v="64"/>
    <x v="3"/>
    <s v="Urban"/>
    <n v="223260"/>
    <n v="6757"/>
    <n v="35610"/>
    <n v="11703"/>
    <n v="132527"/>
    <n v="36663"/>
    <n v="179840"/>
    <n v="5.4000000000000006E-2"/>
    <n v="0.17399999999999999"/>
    <n v="0.14499999999999999"/>
    <n v="364.87800000000004"/>
    <n v="1922.9400000000003"/>
    <n v="2036.3219999999999"/>
    <n v="23059.697999999997"/>
    <n v="25096.019999999997"/>
    <n v="26076.799999999999"/>
  </r>
  <r>
    <x v="65"/>
    <x v="3"/>
    <s v="Rural"/>
    <n v="20960"/>
    <n v="550"/>
    <n v="3402"/>
    <n v="548"/>
    <n v="11736"/>
    <n v="4724"/>
    <n v="15686"/>
    <n v="5.0999999999999997E-2"/>
    <n v="0.17899999999999999"/>
    <n v="0.14699999999999999"/>
    <n v="28.049999999999997"/>
    <n v="173.50199999999998"/>
    <n v="98.091999999999999"/>
    <n v="2100.7439999999997"/>
    <n v="2198.8359999999998"/>
    <n v="2305.8420000000001"/>
  </r>
  <r>
    <x v="66"/>
    <x v="3"/>
    <s v="Urban"/>
    <n v="195835"/>
    <n v="12364"/>
    <n v="44167"/>
    <n v="14655"/>
    <n v="107185"/>
    <n v="17464"/>
    <n v="166007"/>
    <n v="0.04"/>
    <n v="0.14699999999999999"/>
    <n v="0.115"/>
    <n v="494.56"/>
    <n v="1766.68"/>
    <n v="2154.2849999999999"/>
    <n v="15756.195"/>
    <n v="17910.48"/>
    <n v="19090.805"/>
  </r>
  <r>
    <x v="67"/>
    <x v="0"/>
    <s v="Urban"/>
    <n v="143264"/>
    <n v="3669"/>
    <n v="23711"/>
    <n v="12214"/>
    <n v="85462"/>
    <n v="18208"/>
    <n v="121387"/>
    <n v="5.7000000000000002E-2"/>
    <n v="0.14400000000000002"/>
    <n v="0.121"/>
    <n v="209.13300000000001"/>
    <n v="1351.527"/>
    <n v="1758.8160000000003"/>
    <n v="12306.528000000002"/>
    <n v="14065.344000000003"/>
    <n v="14687.826999999999"/>
  </r>
  <r>
    <x v="68"/>
    <x v="3"/>
    <s v="Urban"/>
    <n v="13184"/>
    <n v="296"/>
    <n v="1815"/>
    <n v="330"/>
    <n v="7137"/>
    <n v="3606"/>
    <n v="9282"/>
    <n v="0.09"/>
    <n v="0.185"/>
    <n v="0.16200000000000001"/>
    <n v="26.64"/>
    <n v="163.35"/>
    <n v="61.05"/>
    <n v="1320.345"/>
    <n v="1381.395"/>
    <n v="1503.684"/>
  </r>
  <r>
    <x v="69"/>
    <x v="3"/>
    <s v="Rural"/>
    <n v="40112"/>
    <n v="1457"/>
    <n v="7706"/>
    <n v="2255"/>
    <n v="22627"/>
    <n v="6067"/>
    <n v="32588"/>
    <n v="0.05"/>
    <n v="0.19600000000000001"/>
    <n v="0.156"/>
    <n v="72.850000000000009"/>
    <n v="385.3"/>
    <n v="441.98"/>
    <n v="4434.8919999999998"/>
    <n v="4876.8719999999994"/>
    <n v="5083.7280000000001"/>
  </r>
  <r>
    <x v="70"/>
    <x v="3"/>
    <s v="Urban"/>
    <n v="58815"/>
    <n v="1859"/>
    <n v="10415"/>
    <n v="2231"/>
    <n v="33966"/>
    <n v="10344"/>
    <n v="46612"/>
    <n v="6.6000000000000003E-2"/>
    <n v="0.2"/>
    <n v="0.16300000000000001"/>
    <n v="122.694"/>
    <n v="687.39"/>
    <n v="446.20000000000005"/>
    <n v="6793.2000000000007"/>
    <n v="7239.4000000000005"/>
    <n v="7597.7560000000003"/>
  </r>
  <r>
    <x v="71"/>
    <x v="3"/>
    <s v="Rural"/>
    <n v="13539"/>
    <n v="400"/>
    <n v="2198"/>
    <n v="379"/>
    <n v="7030"/>
    <n v="3532"/>
    <n v="9607"/>
    <n v="6.0999999999999999E-2"/>
    <n v="0.18899999999999997"/>
    <n v="0.154"/>
    <n v="24.4"/>
    <n v="134.078"/>
    <n v="71.630999999999986"/>
    <n v="1328.6699999999998"/>
    <n v="1400.3009999999999"/>
    <n v="1479.4780000000001"/>
  </r>
  <r>
    <x v="72"/>
    <x v="0"/>
    <s v="Urban"/>
    <n v="39383"/>
    <n v="1313"/>
    <n v="7066"/>
    <n v="1247"/>
    <n v="22607"/>
    <n v="7150"/>
    <n v="30920"/>
    <n v="5.5999999999999994E-2"/>
    <n v="0.17899999999999999"/>
    <n v="0.14599999999999999"/>
    <n v="73.527999999999992"/>
    <n v="395.69599999999997"/>
    <n v="223.21299999999999"/>
    <n v="4046.6529999999998"/>
    <n v="4269.866"/>
    <n v="4514.32"/>
  </r>
  <r>
    <x v="73"/>
    <x v="3"/>
    <s v="Urban"/>
    <n v="176269"/>
    <n v="6070"/>
    <n v="32557"/>
    <n v="14834"/>
    <n v="101432"/>
    <n v="21376"/>
    <n v="148823"/>
    <n v="0.05"/>
    <n v="0.17699999999999999"/>
    <n v="0.14400000000000002"/>
    <n v="303.5"/>
    <n v="1627.8500000000001"/>
    <n v="2625.6179999999999"/>
    <n v="17953.464"/>
    <n v="20579.081999999999"/>
    <n v="21430.512000000002"/>
  </r>
  <r>
    <x v="74"/>
    <x v="1"/>
    <s v="Rural"/>
    <n v="20955"/>
    <n v="481"/>
    <n v="3035"/>
    <n v="599"/>
    <n v="10950"/>
    <n v="5890"/>
    <n v="14584"/>
    <n v="8.8000000000000009E-2"/>
    <n v="0.20600000000000002"/>
    <n v="0.17699999999999999"/>
    <n v="42.328000000000003"/>
    <n v="267.08000000000004"/>
    <n v="123.39400000000001"/>
    <n v="2255.7000000000003"/>
    <n v="2379.0940000000001"/>
    <n v="2581.3679999999999"/>
  </r>
  <r>
    <x v="75"/>
    <x v="2"/>
    <s v="Urban"/>
    <n v="144254"/>
    <n v="4746"/>
    <n v="27809"/>
    <n v="5902"/>
    <n v="81739"/>
    <n v="24058"/>
    <n v="115450"/>
    <n v="6.9000000000000006E-2"/>
    <n v="0.21"/>
    <n v="0.17"/>
    <n v="327.47400000000005"/>
    <n v="1918.8210000000001"/>
    <n v="1239.4199999999998"/>
    <n v="17165.189999999999"/>
    <n v="18404.609999999997"/>
    <n v="19626.5"/>
  </r>
  <r>
    <x v="76"/>
    <x v="2"/>
    <s v="Rural"/>
    <n v="45484"/>
    <n v="1519"/>
    <n v="8922"/>
    <n v="2200"/>
    <n v="25186"/>
    <n v="7657"/>
    <n v="36308"/>
    <n v="5.2999999999999999E-2"/>
    <n v="0.22699999999999998"/>
    <n v="0.17699999999999999"/>
    <n v="80.506999999999991"/>
    <n v="472.86599999999999"/>
    <n v="499.4"/>
    <n v="5717.2219999999998"/>
    <n v="6216.6219999999994"/>
    <n v="6426.5159999999996"/>
  </r>
  <r>
    <x v="77"/>
    <x v="4"/>
    <s v="Rural"/>
    <n v="132948"/>
    <n v="5208"/>
    <n v="27729"/>
    <n v="7716"/>
    <n v="73656"/>
    <n v="18639"/>
    <n v="109101"/>
    <n v="6.5000000000000002E-2"/>
    <n v="0.28300000000000003"/>
    <n v="0.217"/>
    <n v="338.52000000000004"/>
    <n v="1802.385"/>
    <n v="2183.6280000000002"/>
    <n v="20844.648000000001"/>
    <n v="23028.276000000002"/>
    <n v="23674.917000000001"/>
  </r>
  <r>
    <x v="78"/>
    <x v="0"/>
    <s v="Urban"/>
    <n v="92543"/>
    <n v="2895"/>
    <n v="16221"/>
    <n v="3120"/>
    <n v="52852"/>
    <n v="17455"/>
    <n v="72193"/>
    <n v="5.4000000000000006E-2"/>
    <n v="0.184"/>
    <n v="0.15"/>
    <n v="156.33000000000001"/>
    <n v="875.93400000000008"/>
    <n v="574.08000000000004"/>
    <n v="9724.768"/>
    <n v="10298.848"/>
    <n v="10828.949999999999"/>
  </r>
  <r>
    <x v="79"/>
    <x v="0"/>
    <s v="Urban"/>
    <n v="138710"/>
    <n v="4495"/>
    <n v="26517"/>
    <n v="5653"/>
    <n v="79228"/>
    <n v="22817"/>
    <n v="111398"/>
    <n v="5.9000000000000004E-2"/>
    <n v="0.21199999999999999"/>
    <n v="0.16899999999999998"/>
    <n v="265.20500000000004"/>
    <n v="1564.5030000000002"/>
    <n v="1198.4359999999999"/>
    <n v="16796.335999999999"/>
    <n v="17994.772000000001"/>
    <n v="18826.261999999999"/>
  </r>
  <r>
    <x v="80"/>
    <x v="1"/>
    <s v="Rural"/>
    <n v="67359"/>
    <n v="2125"/>
    <n v="11996"/>
    <n v="2360"/>
    <n v="37358"/>
    <n v="13520"/>
    <n v="51714"/>
    <n v="5.4000000000000006E-2"/>
    <n v="0.192"/>
    <n v="0.155"/>
    <n v="114.75000000000001"/>
    <n v="647.78400000000011"/>
    <n v="453.12"/>
    <n v="7172.7359999999999"/>
    <n v="7625.8559999999998"/>
    <n v="8015.67"/>
  </r>
  <r>
    <x v="81"/>
    <x v="4"/>
    <s v="Rural"/>
    <n v="64633"/>
    <n v="2448"/>
    <n v="13454"/>
    <n v="2642"/>
    <n v="35379"/>
    <n v="10710"/>
    <n v="51475"/>
    <n v="7.0000000000000007E-2"/>
    <n v="0.25900000000000001"/>
    <n v="0.20300000000000001"/>
    <n v="171.36"/>
    <n v="941.78000000000009"/>
    <n v="684.27800000000002"/>
    <n v="9163.1610000000001"/>
    <n v="9847.4390000000003"/>
    <n v="10449.425000000001"/>
  </r>
  <r>
    <x v="82"/>
    <x v="4"/>
    <s v="Rural"/>
    <n v="35536"/>
    <n v="1309"/>
    <n v="7056"/>
    <n v="1396"/>
    <n v="19777"/>
    <n v="5998"/>
    <n v="28229"/>
    <n v="0.05"/>
    <n v="0.21199999999999999"/>
    <n v="0.16300000000000001"/>
    <n v="65.45"/>
    <n v="352.8"/>
    <n v="295.952"/>
    <n v="4192.7240000000002"/>
    <n v="4488.6760000000004"/>
    <n v="4601.3270000000002"/>
  </r>
  <r>
    <x v="83"/>
    <x v="0"/>
    <s v="Rural"/>
    <n v="61506"/>
    <n v="1986"/>
    <n v="11069"/>
    <n v="2303"/>
    <n v="35016"/>
    <n v="11132"/>
    <n v="48388"/>
    <n v="5.2999999999999999E-2"/>
    <n v="0.183"/>
    <n v="0.14699999999999999"/>
    <n v="105.258"/>
    <n v="586.65700000000004"/>
    <n v="421.44900000000001"/>
    <n v="6407.9279999999999"/>
    <n v="6829.3769999999995"/>
    <n v="7113.0359999999991"/>
  </r>
  <r>
    <x v="84"/>
    <x v="0"/>
    <s v="Urban"/>
    <n v="46786"/>
    <n v="1275"/>
    <n v="7657"/>
    <n v="1542"/>
    <n v="27381"/>
    <n v="8931"/>
    <n v="36580"/>
    <n v="5.0999999999999997E-2"/>
    <n v="0.17699999999999999"/>
    <n v="0.14499999999999999"/>
    <n v="65.024999999999991"/>
    <n v="390.50699999999995"/>
    <n v="272.93399999999997"/>
    <n v="4846.4369999999999"/>
    <n v="5119.3710000000001"/>
    <n v="5304.0999999999995"/>
  </r>
  <r>
    <x v="85"/>
    <x v="5"/>
    <s v="Rural"/>
    <n v="73834"/>
    <n v="2245"/>
    <n v="13523"/>
    <n v="3080"/>
    <n v="40987"/>
    <n v="13999"/>
    <n v="57590"/>
    <n v="7.2000000000000008E-2"/>
    <n v="0.22899999999999998"/>
    <n v="0.18600000000000003"/>
    <n v="161.64000000000001"/>
    <n v="973.65600000000006"/>
    <n v="705.31999999999994"/>
    <n v="9386.0229999999992"/>
    <n v="10091.342999999999"/>
    <n v="10711.740000000002"/>
  </r>
  <r>
    <x v="86"/>
    <x v="1"/>
    <s v="Rural"/>
    <n v="15142"/>
    <n v="638"/>
    <n v="2906"/>
    <n v="515"/>
    <n v="8254"/>
    <n v="2829"/>
    <n v="11675"/>
    <n v="8.6999999999999994E-2"/>
    <n v="0.253"/>
    <n v="0.20699999999999999"/>
    <n v="55.505999999999993"/>
    <n v="252.82199999999997"/>
    <n v="130.29499999999999"/>
    <n v="2088.2620000000002"/>
    <n v="2218.5570000000002"/>
    <n v="2416.7249999999999"/>
  </r>
  <r>
    <x v="87"/>
    <x v="1"/>
    <s v="Rural"/>
    <n v="34047"/>
    <n v="907"/>
    <n v="4769"/>
    <n v="1348"/>
    <n v="16834"/>
    <n v="10189"/>
    <n v="22951"/>
    <n v="6.6000000000000003E-2"/>
    <n v="0.19399999999999998"/>
    <n v="0.16399999999999998"/>
    <n v="59.862000000000002"/>
    <n v="314.75400000000002"/>
    <n v="261.51199999999994"/>
    <n v="3265.7959999999998"/>
    <n v="3527.308"/>
    <n v="3763.9639999999995"/>
  </r>
  <r>
    <x v="88"/>
    <x v="3"/>
    <s v="Rural"/>
    <n v="4141"/>
    <n v="123"/>
    <n v="642"/>
    <n v="106"/>
    <n v="2474"/>
    <n v="796"/>
    <n v="3222"/>
    <n v="9.9000000000000005E-2"/>
    <n v="0.27100000000000002"/>
    <n v="0.22600000000000001"/>
    <n v="12.177000000000001"/>
    <n v="63.558"/>
    <n v="28.726000000000003"/>
    <n v="670.45400000000006"/>
    <n v="699.18000000000006"/>
    <n v="728.17200000000003"/>
  </r>
  <r>
    <x v="89"/>
    <x v="0"/>
    <s v="Urban"/>
    <n v="225160"/>
    <n v="7850"/>
    <n v="51502"/>
    <n v="10059"/>
    <n v="128720"/>
    <n v="27029"/>
    <n v="190281"/>
    <n v="5.5E-2"/>
    <n v="0.17100000000000001"/>
    <n v="0.13200000000000001"/>
    <n v="431.75"/>
    <n v="2832.61"/>
    <n v="1720.0890000000002"/>
    <n v="22011.120000000003"/>
    <n v="23731.209000000003"/>
    <n v="25117.092000000001"/>
  </r>
  <r>
    <x v="90"/>
    <x v="0"/>
    <s v="Rural"/>
    <n v="44978"/>
    <n v="1645"/>
    <n v="9067"/>
    <n v="1740"/>
    <n v="24914"/>
    <n v="7612"/>
    <n v="35721"/>
    <n v="0.05"/>
    <n v="0.20199999999999999"/>
    <n v="0.159"/>
    <n v="82.25"/>
    <n v="453.35"/>
    <n v="351.47999999999996"/>
    <n v="5032.6279999999997"/>
    <n v="5384.1079999999993"/>
    <n v="5679.6390000000001"/>
  </r>
  <r>
    <x v="91"/>
    <x v="6"/>
    <s v="Urban"/>
    <n v="1025434"/>
    <n v="37669"/>
    <n v="212675"/>
    <n v="41630"/>
    <n v="623031"/>
    <n v="110429"/>
    <n v="877336"/>
    <n v="5.2000000000000005E-2"/>
    <n v="0.14899999999999999"/>
    <n v="0.12"/>
    <n v="1958.7880000000002"/>
    <n v="11059.1"/>
    <n v="6202.87"/>
    <n v="92831.618999999992"/>
    <n v="99034.488999999987"/>
    <n v="105280.31999999999"/>
  </r>
  <r>
    <x v="92"/>
    <x v="0"/>
    <s v="Rural"/>
    <n v="20514"/>
    <n v="575"/>
    <n v="3257"/>
    <n v="564"/>
    <n v="11455"/>
    <n v="4663"/>
    <n v="15276"/>
    <n v="7.0000000000000007E-2"/>
    <n v="0.214"/>
    <n v="0.17800000000000002"/>
    <n v="40.250000000000007"/>
    <n v="227.99"/>
    <n v="120.696"/>
    <n v="2451.37"/>
    <n v="2572.0659999999998"/>
    <n v="2719.1280000000002"/>
  </r>
  <r>
    <x v="93"/>
    <x v="3"/>
    <s v="Rural"/>
    <n v="12579"/>
    <n v="403"/>
    <n v="2328"/>
    <n v="355"/>
    <n v="6719"/>
    <n v="2774"/>
    <n v="9402"/>
    <n v="5.2000000000000005E-2"/>
    <n v="0.185"/>
    <n v="0.14899999999999999"/>
    <n v="20.956000000000003"/>
    <n v="121.05600000000001"/>
    <n v="65.674999999999997"/>
    <n v="1243.0149999999999"/>
    <n v="1308.6899999999998"/>
    <n v="1400.8979999999999"/>
  </r>
  <r>
    <x v="94"/>
    <x v="1"/>
    <s v="Rural"/>
    <n v="53706"/>
    <n v="1047"/>
    <n v="5886"/>
    <n v="8516"/>
    <n v="29913"/>
    <n v="8344"/>
    <n v="44315"/>
    <n v="6.0999999999999999E-2"/>
    <n v="0.16699999999999998"/>
    <n v="0.14800000000000002"/>
    <n v="63.866999999999997"/>
    <n v="359.04599999999999"/>
    <n v="1422.1719999999998"/>
    <n v="4995.4709999999995"/>
    <n v="6417.6429999999991"/>
    <n v="6558.6200000000008"/>
  </r>
  <r>
    <x v="95"/>
    <x v="4"/>
    <s v="Urban"/>
    <n v="126174"/>
    <n v="4964"/>
    <n v="25873"/>
    <n v="5029"/>
    <n v="71159"/>
    <n v="19149"/>
    <n v="102061"/>
    <n v="5.7000000000000002E-2"/>
    <n v="0.21199999999999999"/>
    <n v="0.16699999999999998"/>
    <n v="282.94800000000004"/>
    <n v="1474.761"/>
    <n v="1066.1479999999999"/>
    <n v="15085.707999999999"/>
    <n v="16151.855999999998"/>
    <n v="17044.186999999998"/>
  </r>
  <r>
    <x v="96"/>
    <x v="1"/>
    <s v="Rural"/>
    <n v="70116"/>
    <n v="2063"/>
    <n v="12384"/>
    <n v="2431"/>
    <n v="39106"/>
    <n v="14132"/>
    <n v="53921"/>
    <n v="5.7999999999999996E-2"/>
    <n v="0.22500000000000001"/>
    <n v="0.18100000000000002"/>
    <n v="119.654"/>
    <n v="718.27199999999993"/>
    <n v="546.97500000000002"/>
    <n v="8798.85"/>
    <n v="9345.8250000000007"/>
    <n v="9759.7010000000009"/>
  </r>
  <r>
    <x v="97"/>
    <x v="4"/>
    <s v="Rural"/>
    <n v="82066"/>
    <n v="2799"/>
    <n v="16218"/>
    <n v="3016"/>
    <n v="46317"/>
    <n v="13716"/>
    <n v="65551"/>
    <n v="5.7000000000000002E-2"/>
    <n v="0.22899999999999998"/>
    <n v="0.18"/>
    <n v="159.54300000000001"/>
    <n v="924.42600000000004"/>
    <n v="690.66399999999999"/>
    <n v="10606.592999999999"/>
    <n v="11297.257"/>
    <n v="11799.18"/>
  </r>
  <r>
    <x v="98"/>
    <x v="5"/>
    <s v="Urban"/>
    <n v="37457"/>
    <n v="1147"/>
    <n v="6804"/>
    <n v="1402"/>
    <n v="21117"/>
    <n v="6987"/>
    <n v="29323"/>
    <n v="6.7000000000000004E-2"/>
    <n v="0.20399999999999999"/>
    <n v="0.16699999999999998"/>
    <n v="76.849000000000004"/>
    <n v="455.86800000000005"/>
    <n v="286.00799999999998"/>
    <n v="4307.8679999999995"/>
    <n v="4593.8759999999993"/>
    <n v="4896.9409999999998"/>
  </r>
  <r>
    <x v="99"/>
    <x v="1"/>
    <s v="Rural"/>
    <n v="17921"/>
    <n v="523"/>
    <n v="2811"/>
    <n v="545"/>
    <n v="9754"/>
    <n v="4288"/>
    <n v="13110"/>
    <n v="7.0999999999999994E-2"/>
    <n v="0.19699999999999998"/>
    <n v="0.16500000000000001"/>
    <n v="37.132999999999996"/>
    <n v="199.58099999999999"/>
    <n v="107.36499999999999"/>
    <n v="1921.5379999999998"/>
    <n v="2028.9029999999998"/>
    <n v="2163.15"/>
  </r>
</pivotCacheRecords>
</file>

<file path=xl/pivotCache/pivotCacheRecords5.xml><?xml version="1.0" encoding="utf-8"?>
<pivotCacheRecords xmlns="http://schemas.openxmlformats.org/spreadsheetml/2006/main" xmlns:r="http://schemas.openxmlformats.org/officeDocument/2006/relationships" count="100">
  <r>
    <x v="0"/>
    <x v="0"/>
    <s v="Urban"/>
    <n v="161309"/>
    <n v="5448"/>
    <n v="30121"/>
    <n v="8181"/>
    <n v="90585"/>
    <n v="26974"/>
    <n v="128887"/>
    <n v="4.4999999999999998E-2"/>
    <n v="0.17899999999999999"/>
    <n v="0.14099999999999999"/>
    <n v="245.16"/>
    <n v="1355.4449999999999"/>
    <n v="1464.3989999999999"/>
    <n v="16214.715"/>
    <n v="17679.114000000001"/>
    <n v="18173.066999999999"/>
  </r>
  <r>
    <x v="1"/>
    <x v="1"/>
    <s v="Urban"/>
    <n v="38151"/>
    <n v="1092"/>
    <n v="6605"/>
    <n v="1301"/>
    <n v="21761"/>
    <n v="7392"/>
    <n v="29667"/>
    <n v="4.7E-2"/>
    <n v="0.14300000000000002"/>
    <n v="0.11699999999999999"/>
    <n v="51.323999999999998"/>
    <n v="310.435"/>
    <n v="186.04300000000003"/>
    <n v="3111.8230000000003"/>
    <n v="3297.8660000000004"/>
    <n v="3471.0389999999998"/>
  </r>
  <r>
    <x v="2"/>
    <x v="1"/>
    <s v="Rural"/>
    <n v="11321"/>
    <n v="302"/>
    <n v="1698"/>
    <n v="378"/>
    <n v="6105"/>
    <n v="2838"/>
    <n v="8181"/>
    <n v="8.5000000000000006E-2"/>
    <n v="0.21299999999999999"/>
    <n v="0.182"/>
    <n v="25.67"/>
    <n v="144.33000000000001"/>
    <n v="80.513999999999996"/>
    <n v="1300.365"/>
    <n v="1380.8789999999999"/>
    <n v="1488.942"/>
  </r>
  <r>
    <x v="3"/>
    <x v="2"/>
    <s v="Rural"/>
    <n v="26156"/>
    <n v="742"/>
    <n v="4543"/>
    <n v="916"/>
    <n v="15506"/>
    <n v="4449"/>
    <n v="20965"/>
    <n v="4.4999999999999998E-2"/>
    <n v="0.17"/>
    <n v="0.13699999999999998"/>
    <n v="33.39"/>
    <n v="204.435"/>
    <n v="155.72"/>
    <n v="2636.02"/>
    <n v="2791.74"/>
    <n v="2872.2049999999995"/>
  </r>
  <r>
    <x v="4"/>
    <x v="1"/>
    <s v="Rural"/>
    <n v="27255"/>
    <n v="696"/>
    <n v="4253"/>
    <n v="902"/>
    <n v="14739"/>
    <n v="6665"/>
    <n v="19894"/>
    <n v="6.7000000000000004E-2"/>
    <n v="0.20699999999999999"/>
    <n v="0.17300000000000001"/>
    <n v="46.632000000000005"/>
    <n v="284.95100000000002"/>
    <n v="186.714"/>
    <n v="3050.973"/>
    <n v="3237.6869999999999"/>
    <n v="3441.6620000000003"/>
  </r>
  <r>
    <x v="5"/>
    <x v="1"/>
    <s v="Rural"/>
    <n v="17855"/>
    <n v="425"/>
    <n v="2349"/>
    <n v="618"/>
    <n v="10676"/>
    <n v="3787"/>
    <n v="13643"/>
    <n v="7.9000000000000001E-2"/>
    <n v="0.20499999999999999"/>
    <n v="0.17600000000000002"/>
    <n v="33.575000000000003"/>
    <n v="185.571"/>
    <n v="126.69"/>
    <n v="2188.58"/>
    <n v="2315.27"/>
    <n v="2401.1680000000001"/>
  </r>
  <r>
    <x v="6"/>
    <x v="3"/>
    <s v="Rural"/>
    <n v="47826"/>
    <n v="1441"/>
    <n v="8396"/>
    <n v="1532"/>
    <n v="25151"/>
    <n v="11306"/>
    <n v="35079"/>
    <n v="0.05"/>
    <n v="0.16500000000000001"/>
    <n v="0.13400000000000001"/>
    <n v="72.05"/>
    <n v="419.8"/>
    <n v="252.78"/>
    <n v="4149.915"/>
    <n v="4402.6949999999997"/>
    <n v="4700.5860000000002"/>
  </r>
  <r>
    <x v="7"/>
    <x v="3"/>
    <s v="Rural"/>
    <n v="20312"/>
    <n v="580"/>
    <n v="3293"/>
    <n v="718"/>
    <n v="11710"/>
    <n v="4011"/>
    <n v="15721"/>
    <n v="4.4000000000000004E-2"/>
    <n v="0.153"/>
    <n v="0.126"/>
    <n v="25.520000000000003"/>
    <n v="144.89200000000002"/>
    <n v="109.854"/>
    <n v="1791.6299999999999"/>
    <n v="1901.4839999999999"/>
    <n v="1980.846"/>
  </r>
  <r>
    <x v="8"/>
    <x v="4"/>
    <s v="Rural"/>
    <n v="35012"/>
    <n v="1109"/>
    <n v="6252"/>
    <n v="1293"/>
    <n v="19465"/>
    <n v="6893"/>
    <n v="27010"/>
    <n v="0.06"/>
    <n v="0.20399999999999999"/>
    <n v="0.16600000000000001"/>
    <n v="66.539999999999992"/>
    <n v="375.12"/>
    <n v="263.77199999999999"/>
    <n v="3970.8599999999997"/>
    <n v="4234.6319999999996"/>
    <n v="4483.66"/>
  </r>
  <r>
    <x v="9"/>
    <x v="3"/>
    <s v="Urban"/>
    <n v="128891"/>
    <n v="3305"/>
    <n v="18729"/>
    <n v="3319"/>
    <n v="66122"/>
    <n v="37416"/>
    <n v="88170"/>
    <n v="5.2000000000000005E-2"/>
    <n v="0.17600000000000002"/>
    <n v="0.14699999999999999"/>
    <n v="171.86"/>
    <n v="973.90800000000013"/>
    <n v="584.14400000000001"/>
    <n v="11637.472000000002"/>
    <n v="12221.616000000002"/>
    <n v="12960.99"/>
  </r>
  <r>
    <x v="10"/>
    <x v="1"/>
    <s v="Urban"/>
    <n v="261031"/>
    <n v="7949"/>
    <n v="42196"/>
    <n v="8670"/>
    <n v="151812"/>
    <n v="50404"/>
    <n v="202678"/>
    <n v="4.2000000000000003E-2"/>
    <n v="0.16399999999999998"/>
    <n v="0.13400000000000001"/>
    <n v="333.858"/>
    <n v="1772.2320000000002"/>
    <n v="1421.8799999999999"/>
    <n v="24897.167999999998"/>
    <n v="26319.047999999999"/>
    <n v="27158.852000000003"/>
  </r>
  <r>
    <x v="11"/>
    <x v="5"/>
    <s v="Urban"/>
    <n v="89416"/>
    <n v="2664"/>
    <n v="15414"/>
    <n v="4277"/>
    <n v="49683"/>
    <n v="17378"/>
    <n v="69374"/>
    <n v="4.2999999999999997E-2"/>
    <n v="0.19"/>
    <n v="0.154"/>
    <n v="114.55199999999999"/>
    <n v="662.80199999999991"/>
    <n v="812.63"/>
    <n v="9439.77"/>
    <n v="10252.4"/>
    <n v="10683.596"/>
  </r>
  <r>
    <x v="12"/>
    <x v="0"/>
    <s v="Urban"/>
    <n v="205097"/>
    <n v="7596"/>
    <n v="43710"/>
    <n v="8086"/>
    <n v="118904"/>
    <n v="26801"/>
    <n v="170700"/>
    <n v="4.5999999999999999E-2"/>
    <n v="0.13800000000000001"/>
    <n v="0.11"/>
    <n v="349.416"/>
    <n v="2010.6599999999999"/>
    <n v="1115.8680000000002"/>
    <n v="16408.752"/>
    <n v="17524.62"/>
    <n v="18777"/>
  </r>
  <r>
    <x v="13"/>
    <x v="1"/>
    <s v="Urban"/>
    <n v="82815"/>
    <n v="2442"/>
    <n v="14220"/>
    <n v="3391"/>
    <n v="47240"/>
    <n v="15522"/>
    <n v="64851"/>
    <n v="4.4999999999999998E-2"/>
    <n v="0.188"/>
    <n v="0.151"/>
    <n v="109.89"/>
    <n v="639.9"/>
    <n v="637.50800000000004"/>
    <n v="8881.1200000000008"/>
    <n v="9518.6280000000006"/>
    <n v="9792.5010000000002"/>
  </r>
  <r>
    <x v="14"/>
    <x v="3"/>
    <s v="Rural"/>
    <n v="10223"/>
    <n v="304"/>
    <n v="1809"/>
    <n v="369"/>
    <n v="6081"/>
    <n v="1660"/>
    <n v="8259"/>
    <n v="5.9000000000000004E-2"/>
    <n v="0.127"/>
    <n v="0.10800000000000001"/>
    <n v="17.936"/>
    <n v="106.73100000000001"/>
    <n v="46.863"/>
    <n v="772.28700000000003"/>
    <n v="819.15000000000009"/>
    <n v="891.97200000000009"/>
  </r>
  <r>
    <x v="15"/>
    <x v="3"/>
    <s v="Rural"/>
    <n v="70401"/>
    <n v="1851"/>
    <n v="10468"/>
    <n v="2189"/>
    <n v="39113"/>
    <n v="16780"/>
    <n v="51770"/>
    <n v="0.05"/>
    <n v="0.159"/>
    <n v="0.13300000000000001"/>
    <n v="92.550000000000011"/>
    <n v="523.4"/>
    <n v="348.05099999999999"/>
    <n v="6218.9669999999996"/>
    <n v="6567.018"/>
    <n v="6885.4100000000008"/>
  </r>
  <r>
    <x v="16"/>
    <x v="0"/>
    <s v="Rural"/>
    <n v="23611"/>
    <n v="641"/>
    <n v="3676"/>
    <n v="741"/>
    <n v="13856"/>
    <n v="4697"/>
    <n v="18273"/>
    <n v="5.0999999999999997E-2"/>
    <n v="0.156"/>
    <n v="0.129"/>
    <n v="32.690999999999995"/>
    <n v="187.476"/>
    <n v="115.596"/>
    <n v="2161.5360000000001"/>
    <n v="2277.1320000000001"/>
    <n v="2357.2170000000001"/>
  </r>
  <r>
    <x v="17"/>
    <x v="5"/>
    <s v="Urban"/>
    <n v="156381"/>
    <n v="5312"/>
    <n v="29446"/>
    <n v="6165"/>
    <n v="88745"/>
    <n v="26713"/>
    <n v="124356"/>
    <n v="4.4999999999999998E-2"/>
    <n v="0.17600000000000002"/>
    <n v="0.13900000000000001"/>
    <n v="239.04"/>
    <n v="1325.07"/>
    <n v="1085.0400000000002"/>
    <n v="15619.12"/>
    <n v="16704.16"/>
    <n v="17285.484"/>
  </r>
  <r>
    <x v="18"/>
    <x v="0"/>
    <s v="Urban"/>
    <n v="74538"/>
    <n v="2020"/>
    <n v="12162"/>
    <n v="2179"/>
    <n v="39747"/>
    <n v="18430"/>
    <n v="54088"/>
    <n v="8.3000000000000004E-2"/>
    <n v="0.17600000000000002"/>
    <n v="0.151"/>
    <n v="167.66"/>
    <n v="1009.446"/>
    <n v="383.50400000000002"/>
    <n v="6995.4720000000007"/>
    <n v="7378.9760000000006"/>
    <n v="8167.2879999999996"/>
  </r>
  <r>
    <x v="19"/>
    <x v="1"/>
    <s v="Rural"/>
    <n v="27935"/>
    <n v="713"/>
    <n v="4155"/>
    <n v="819"/>
    <n v="14271"/>
    <n v="7977"/>
    <n v="19245"/>
    <n v="5.7000000000000002E-2"/>
    <n v="0.18100000000000002"/>
    <n v="0.15"/>
    <n v="40.640999999999998"/>
    <n v="236.83500000000001"/>
    <n v="148.239"/>
    <n v="2583.0510000000004"/>
    <n v="2731.2900000000004"/>
    <n v="2886.75"/>
  </r>
  <r>
    <x v="20"/>
    <x v="3"/>
    <s v="Rural"/>
    <n v="14297"/>
    <n v="475"/>
    <n v="2510"/>
    <n v="474"/>
    <n v="7465"/>
    <n v="3373"/>
    <n v="10449"/>
    <n v="0.06"/>
    <n v="0.16899999999999998"/>
    <n v="0.13900000000000001"/>
    <n v="28.5"/>
    <n v="150.6"/>
    <n v="80.105999999999995"/>
    <n v="1261.5849999999998"/>
    <n v="1341.6909999999998"/>
    <n v="1452.4110000000001"/>
  </r>
  <r>
    <x v="21"/>
    <x v="1"/>
    <s v="Rural"/>
    <n v="11140"/>
    <n v="269"/>
    <n v="1649"/>
    <n v="320"/>
    <n v="5602"/>
    <n v="3300"/>
    <n v="7571"/>
    <n v="7.400000000000001E-2"/>
    <n v="0.17699999999999999"/>
    <n v="0.151"/>
    <n v="19.906000000000002"/>
    <n v="122.02600000000001"/>
    <n v="56.64"/>
    <n v="991.55399999999997"/>
    <n v="1048.194"/>
    <n v="1143.221"/>
  </r>
  <r>
    <x v="22"/>
    <x v="5"/>
    <s v="Rural"/>
    <n v="98101"/>
    <n v="3248"/>
    <n v="17863"/>
    <n v="4324"/>
    <n v="54974"/>
    <n v="17692"/>
    <n v="77161"/>
    <n v="3.9E-2"/>
    <n v="0.16699999999999998"/>
    <n v="0.13200000000000001"/>
    <n v="126.672"/>
    <n v="696.65700000000004"/>
    <n v="722.10799999999995"/>
    <n v="9180.6579999999994"/>
    <n v="9902.7659999999996"/>
    <n v="10185.252"/>
  </r>
  <r>
    <x v="23"/>
    <x v="4"/>
    <s v="Rural"/>
    <n v="57089"/>
    <n v="1851"/>
    <n v="10377"/>
    <n v="2229"/>
    <n v="32151"/>
    <n v="10481"/>
    <n v="44757"/>
    <n v="5.7999999999999996E-2"/>
    <n v="0.191"/>
    <n v="0.153"/>
    <n v="107.35799999999999"/>
    <n v="601.86599999999999"/>
    <n v="425.73900000000003"/>
    <n v="6140.8410000000003"/>
    <n v="6566.58"/>
    <n v="6847.8209999999999"/>
  </r>
  <r>
    <x v="24"/>
    <x v="3"/>
    <s v="Urban"/>
    <n v="102826"/>
    <n v="4424"/>
    <n v="21919"/>
    <n v="4746"/>
    <n v="54410"/>
    <n v="17327"/>
    <n v="81075"/>
    <n v="4.5999999999999999E-2"/>
    <n v="0.14599999999999999"/>
    <n v="0.11800000000000001"/>
    <n v="203.50399999999999"/>
    <n v="1008.274"/>
    <n v="692.91599999999994"/>
    <n v="7943.86"/>
    <n v="8636.7759999999998"/>
    <n v="9566.85"/>
  </r>
  <r>
    <x v="25"/>
    <x v="6"/>
    <s v="Urban"/>
    <n v="327021"/>
    <n v="16003"/>
    <n v="70863"/>
    <n v="14982"/>
    <n v="185227"/>
    <n v="39946"/>
    <n v="271072"/>
    <n v="3.7000000000000005E-2"/>
    <n v="0.13800000000000001"/>
    <n v="0.10800000000000001"/>
    <n v="592.1110000000001"/>
    <n v="2621.9310000000005"/>
    <n v="2067.5160000000001"/>
    <n v="25561.326000000001"/>
    <n v="27628.842000000001"/>
    <n v="29275.776000000002"/>
  </r>
  <r>
    <x v="26"/>
    <x v="3"/>
    <s v="Urban"/>
    <n v="26764"/>
    <n v="837"/>
    <n v="4773"/>
    <n v="940"/>
    <n v="16030"/>
    <n v="4184"/>
    <n v="21743"/>
    <n v="5.5E-2"/>
    <n v="0.14699999999999999"/>
    <n v="0.122"/>
    <n v="46.035000000000004"/>
    <n v="262.51499999999999"/>
    <n v="138.17999999999998"/>
    <n v="2356.41"/>
    <n v="2494.5899999999997"/>
    <n v="2652.6459999999997"/>
  </r>
  <r>
    <x v="27"/>
    <x v="3"/>
    <s v="Rural"/>
    <n v="36791"/>
    <n v="1120"/>
    <n v="5869"/>
    <n v="904"/>
    <n v="21382"/>
    <n v="7516"/>
    <n v="28155"/>
    <n v="6.8000000000000005E-2"/>
    <n v="0.17199999999999999"/>
    <n v="0.14699999999999999"/>
    <n v="76.160000000000011"/>
    <n v="399.09200000000004"/>
    <n v="155.488"/>
    <n v="3677.7039999999997"/>
    <n v="3833.1919999999996"/>
    <n v="4138.7849999999999"/>
  </r>
  <r>
    <x v="28"/>
    <x v="0"/>
    <s v="Urban"/>
    <n v="166753"/>
    <n v="5438"/>
    <n v="30696"/>
    <n v="6052"/>
    <n v="95685"/>
    <n v="28882"/>
    <n v="132433"/>
    <n v="0.05"/>
    <n v="0.16500000000000001"/>
    <n v="0.13300000000000001"/>
    <n v="271.90000000000003"/>
    <n v="1534.8000000000002"/>
    <n v="998.58"/>
    <n v="15788.025000000001"/>
    <n v="16786.605000000003"/>
    <n v="17613.589"/>
  </r>
  <r>
    <x v="29"/>
    <x v="0"/>
    <s v="Urban"/>
    <n v="42234"/>
    <n v="1224"/>
    <n v="7346"/>
    <n v="1510"/>
    <n v="23740"/>
    <n v="8414"/>
    <n v="32596"/>
    <n v="5.9000000000000004E-2"/>
    <n v="0.156"/>
    <n v="0.13"/>
    <n v="72.216000000000008"/>
    <n v="433.41400000000004"/>
    <n v="235.56"/>
    <n v="3703.44"/>
    <n v="3939"/>
    <n v="4237.4800000000005"/>
  </r>
  <r>
    <x v="30"/>
    <x v="4"/>
    <s v="Rural"/>
    <n v="59864"/>
    <n v="2266"/>
    <n v="12205"/>
    <n v="2425"/>
    <n v="32716"/>
    <n v="10252"/>
    <n v="47346"/>
    <n v="7.0000000000000007E-2"/>
    <n v="0.27399999999999997"/>
    <n v="0.214"/>
    <n v="158.62"/>
    <n v="854.35000000000014"/>
    <n v="664.44999999999993"/>
    <n v="8964.1839999999993"/>
    <n v="9628.634"/>
    <n v="10132.044"/>
  </r>
  <r>
    <x v="31"/>
    <x v="6"/>
    <s v="Urban"/>
    <n v="307438"/>
    <n v="13237"/>
    <n v="59030"/>
    <n v="14323"/>
    <n v="183670"/>
    <n v="37178"/>
    <n v="257023"/>
    <n v="4.9000000000000002E-2"/>
    <n v="0.16800000000000001"/>
    <n v="0.13699999999999998"/>
    <n v="648.61300000000006"/>
    <n v="2892.4700000000003"/>
    <n v="2406.2640000000001"/>
    <n v="30856.560000000001"/>
    <n v="33262.824000000001"/>
    <n v="35212.150999999998"/>
  </r>
  <r>
    <x v="32"/>
    <x v="4"/>
    <s v="Urban"/>
    <n v="54133"/>
    <n v="1853"/>
    <n v="10645"/>
    <n v="1974"/>
    <n v="29587"/>
    <n v="10074"/>
    <n v="42206"/>
    <n v="3.5000000000000003E-2"/>
    <n v="0.156"/>
    <n v="0.122"/>
    <n v="64.855000000000004"/>
    <n v="372.57500000000005"/>
    <n v="307.94400000000002"/>
    <n v="4615.5720000000001"/>
    <n v="4923.5160000000005"/>
    <n v="5149.1319999999996"/>
  </r>
  <r>
    <x v="33"/>
    <x v="0"/>
    <s v="Urban"/>
    <n v="373145"/>
    <n v="13694"/>
    <n v="73598"/>
    <n v="15640"/>
    <n v="212985"/>
    <n v="57228"/>
    <n v="302223"/>
    <n v="0.04"/>
    <n v="0.16800000000000001"/>
    <n v="0.13100000000000001"/>
    <n v="547.76"/>
    <n v="2943.92"/>
    <n v="2627.52"/>
    <n v="35781.480000000003"/>
    <n v="38409"/>
    <n v="39591.213000000003"/>
  </r>
  <r>
    <x v="34"/>
    <x v="0"/>
    <s v="Urban"/>
    <n v="65736"/>
    <n v="2179"/>
    <n v="12414"/>
    <n v="2499"/>
    <n v="37923"/>
    <n v="10721"/>
    <n v="52836"/>
    <n v="5.5E-2"/>
    <n v="0.17499999999999999"/>
    <n v="0.14099999999999999"/>
    <n v="119.845"/>
    <n v="682.77"/>
    <n v="437.32499999999999"/>
    <n v="6636.5249999999996"/>
    <n v="7073.8499999999995"/>
    <n v="7449.8759999999993"/>
  </r>
  <r>
    <x v="35"/>
    <x v="5"/>
    <s v="Urban"/>
    <n v="216693"/>
    <n v="7637"/>
    <n v="41496"/>
    <n v="8421"/>
    <n v="124990"/>
    <n v="34149"/>
    <n v="174907"/>
    <n v="4.4000000000000004E-2"/>
    <n v="0.16300000000000001"/>
    <n v="0.13"/>
    <n v="336.02800000000002"/>
    <n v="1825.8240000000001"/>
    <n v="1372.623"/>
    <n v="20373.37"/>
    <n v="21745.992999999999"/>
    <n v="22737.91"/>
  </r>
  <r>
    <x v="36"/>
    <x v="3"/>
    <s v="Urban"/>
    <n v="11678"/>
    <n v="344"/>
    <n v="1915"/>
    <n v="436"/>
    <n v="6781"/>
    <n v="2202"/>
    <n v="9132"/>
    <n v="5.4000000000000006E-2"/>
    <n v="0.13100000000000001"/>
    <n v="0.111"/>
    <n v="18.576000000000001"/>
    <n v="103.41000000000001"/>
    <n v="57.116"/>
    <n v="888.31100000000004"/>
    <n v="945.42700000000002"/>
    <n v="1013.652"/>
  </r>
  <r>
    <x v="37"/>
    <x v="1"/>
    <s v="Rural"/>
    <n v="8684"/>
    <n v="270"/>
    <n v="1538"/>
    <n v="314"/>
    <n v="4506"/>
    <n v="2056"/>
    <n v="6358"/>
    <n v="6.7000000000000004E-2"/>
    <n v="0.20600000000000002"/>
    <n v="0.16800000000000001"/>
    <n v="18.09"/>
    <n v="103.04600000000001"/>
    <n v="64.684000000000012"/>
    <n v="928.2360000000001"/>
    <n v="992.92000000000007"/>
    <n v="1068.144"/>
  </r>
  <r>
    <x v="38"/>
    <x v="0"/>
    <s v="Rural"/>
    <n v="59315"/>
    <n v="1744"/>
    <n v="10048"/>
    <n v="2579"/>
    <n v="35346"/>
    <n v="9598"/>
    <n v="47973"/>
    <n v="5.2000000000000005E-2"/>
    <n v="0.13100000000000001"/>
    <n v="0.11"/>
    <n v="90.688000000000002"/>
    <n v="522.49600000000009"/>
    <n v="337.84899999999999"/>
    <n v="4630.326"/>
    <n v="4968.1750000000002"/>
    <n v="5277.03"/>
  </r>
  <r>
    <x v="39"/>
    <x v="4"/>
    <s v="Rural"/>
    <n v="21072"/>
    <n v="638"/>
    <n v="3874"/>
    <n v="793"/>
    <n v="12480"/>
    <n v="3287"/>
    <n v="17147"/>
    <n v="8.1000000000000003E-2"/>
    <n v="0.221"/>
    <n v="0.18100000000000002"/>
    <n v="51.678000000000004"/>
    <n v="313.79399999999998"/>
    <n v="175.25300000000001"/>
    <n v="2758.08"/>
    <n v="2933.3330000000001"/>
    <n v="3103.6070000000004"/>
  </r>
  <r>
    <x v="40"/>
    <x v="2"/>
    <s v="Urban"/>
    <n v="525464"/>
    <n v="18603"/>
    <n v="97266"/>
    <n v="26965"/>
    <n v="304797"/>
    <n v="77833"/>
    <n v="429028"/>
    <n v="4.4999999999999998E-2"/>
    <n v="0.16500000000000001"/>
    <n v="0.13200000000000001"/>
    <n v="837.13499999999999"/>
    <n v="4376.97"/>
    <n v="4449.2250000000004"/>
    <n v="50291.505000000005"/>
    <n v="54740.73"/>
    <n v="56631.696000000004"/>
  </r>
  <r>
    <x v="41"/>
    <x v="0"/>
    <s v="Rural"/>
    <n v="51702"/>
    <n v="1752"/>
    <n v="9396"/>
    <n v="1753"/>
    <n v="28633"/>
    <n v="10168"/>
    <n v="39782"/>
    <n v="4.0999999999999995E-2"/>
    <n v="0.16800000000000001"/>
    <n v="0.13400000000000001"/>
    <n v="71.831999999999994"/>
    <n v="385.23599999999993"/>
    <n v="294.50400000000002"/>
    <n v="4810.3440000000001"/>
    <n v="5104.848"/>
    <n v="5330.7880000000005"/>
  </r>
  <r>
    <x v="42"/>
    <x v="2"/>
    <s v="Rural"/>
    <n v="129996"/>
    <n v="5620"/>
    <n v="29681"/>
    <n v="6011"/>
    <n v="72513"/>
    <n v="16171"/>
    <n v="108205"/>
    <n v="3.9E-2"/>
    <n v="0.17300000000000001"/>
    <n v="0.13100000000000001"/>
    <n v="219.18"/>
    <n v="1157.559"/>
    <n v="1039.903"/>
    <n v="12544.749000000002"/>
    <n v="13584.652000000002"/>
    <n v="14174.855000000001"/>
  </r>
  <r>
    <x v="43"/>
    <x v="1"/>
    <s v="Urban"/>
    <n v="61623"/>
    <n v="1787"/>
    <n v="9413"/>
    <n v="1925"/>
    <n v="33187"/>
    <n v="15311"/>
    <n v="44525"/>
    <n v="4.2999999999999997E-2"/>
    <n v="0.14400000000000002"/>
    <n v="0.12"/>
    <n v="76.840999999999994"/>
    <n v="404.75899999999996"/>
    <n v="277.20000000000005"/>
    <n v="4778.9280000000008"/>
    <n v="5056.1280000000006"/>
    <n v="5343"/>
  </r>
  <r>
    <x v="44"/>
    <x v="1"/>
    <s v="Urban"/>
    <n v="115082"/>
    <n v="3322"/>
    <n v="18784"/>
    <n v="3398"/>
    <n v="59574"/>
    <n v="30004"/>
    <n v="81756"/>
    <n v="5.5E-2"/>
    <n v="0.17800000000000002"/>
    <n v="0.14599999999999999"/>
    <n v="182.71"/>
    <n v="1033.1200000000001"/>
    <n v="604.84400000000005"/>
    <n v="10604.172"/>
    <n v="11209.016"/>
    <n v="11936.375999999998"/>
  </r>
  <r>
    <x v="45"/>
    <x v="3"/>
    <s v="Rural"/>
    <n v="24379"/>
    <n v="713"/>
    <n v="4099"/>
    <n v="1262"/>
    <n v="13839"/>
    <n v="4466"/>
    <n v="19200"/>
    <n v="0.04"/>
    <n v="0.159"/>
    <n v="0.127"/>
    <n v="28.52"/>
    <n v="163.96"/>
    <n v="200.65800000000002"/>
    <n v="2200.4009999999998"/>
    <n v="2401.0589999999997"/>
    <n v="2438.4"/>
  </r>
  <r>
    <x v="46"/>
    <x v="2"/>
    <s v="Urban"/>
    <n v="54161"/>
    <n v="2825"/>
    <n v="13810"/>
    <n v="2249"/>
    <n v="30270"/>
    <n v="5007"/>
    <n v="46329"/>
    <n v="5.2999999999999999E-2"/>
    <n v="0.218"/>
    <n v="0.16600000000000001"/>
    <n v="149.72499999999999"/>
    <n v="731.93"/>
    <n v="490.28199999999998"/>
    <n v="6598.86"/>
    <n v="7089.1419999999998"/>
    <n v="7690.6140000000005"/>
  </r>
  <r>
    <x v="47"/>
    <x v="3"/>
    <s v="Rural"/>
    <n v="5665"/>
    <n v="138"/>
    <n v="837"/>
    <n v="167"/>
    <n v="3443"/>
    <n v="1080"/>
    <n v="4447"/>
    <n v="8.3000000000000004E-2"/>
    <n v="0.184"/>
    <n v="0.158"/>
    <n v="11.454000000000001"/>
    <n v="69.471000000000004"/>
    <n v="30.727999999999998"/>
    <n v="633.51199999999994"/>
    <n v="664.2399999999999"/>
    <n v="702.62599999999998"/>
  </r>
  <r>
    <x v="48"/>
    <x v="5"/>
    <s v="Urban"/>
    <n v="176191"/>
    <n v="5803"/>
    <n v="33617"/>
    <n v="7081"/>
    <n v="102581"/>
    <n v="27109"/>
    <n v="143279"/>
    <n v="4.7E-2"/>
    <n v="0.14599999999999999"/>
    <n v="0.11800000000000001"/>
    <n v="272.74099999999999"/>
    <n v="1579.999"/>
    <n v="1033.826"/>
    <n v="14976.825999999999"/>
    <n v="16010.651999999998"/>
    <n v="16906.922000000002"/>
  </r>
  <r>
    <x v="49"/>
    <x v="1"/>
    <s v="Rural"/>
    <n v="42221"/>
    <n v="1191"/>
    <n v="6177"/>
    <n v="3971"/>
    <n v="22791"/>
    <n v="8091"/>
    <n v="32939"/>
    <n v="7.0000000000000007E-2"/>
    <n v="0.215"/>
    <n v="0.18100000000000002"/>
    <n v="83.37"/>
    <n v="432.39000000000004"/>
    <n v="853.76499999999999"/>
    <n v="4900.0649999999996"/>
    <n v="5753.83"/>
    <n v="5961.9590000000007"/>
  </r>
  <r>
    <x v="50"/>
    <x v="6"/>
    <s v="Urban"/>
    <n v="193035"/>
    <n v="7177"/>
    <n v="41558"/>
    <n v="7706"/>
    <n v="111469"/>
    <n v="25125"/>
    <n v="160733"/>
    <n v="4.7E-2"/>
    <n v="0.17699999999999999"/>
    <n v="0.13699999999999998"/>
    <n v="337.31900000000002"/>
    <n v="1953.2260000000001"/>
    <n v="1363.962"/>
    <n v="19730.012999999999"/>
    <n v="21093.974999999999"/>
    <n v="22020.420999999998"/>
  </r>
  <r>
    <x v="51"/>
    <x v="3"/>
    <s v="Urban"/>
    <n v="10426"/>
    <n v="326"/>
    <n v="1749"/>
    <n v="323"/>
    <n v="5923"/>
    <n v="2105"/>
    <n v="7995"/>
    <n v="6.8000000000000005E-2"/>
    <n v="0.17300000000000001"/>
    <n v="0.14699999999999999"/>
    <n v="22.168000000000003"/>
    <n v="118.932"/>
    <n v="55.879000000000005"/>
    <n v="1024.6790000000001"/>
    <n v="1080.558"/>
    <n v="1175.2649999999999"/>
  </r>
  <r>
    <x v="52"/>
    <x v="2"/>
    <s v="Rural"/>
    <n v="58907"/>
    <n v="2326"/>
    <n v="12418"/>
    <n v="2356"/>
    <n v="32426"/>
    <n v="9381"/>
    <n v="47200"/>
    <n v="6.3E-2"/>
    <n v="0.19800000000000001"/>
    <n v="0.158"/>
    <n v="146.53800000000001"/>
    <n v="782.33400000000006"/>
    <n v="466.488"/>
    <n v="6420.348"/>
    <n v="6886.8360000000002"/>
    <n v="7457.6"/>
  </r>
  <r>
    <x v="53"/>
    <x v="4"/>
    <s v="Rural"/>
    <n v="58209"/>
    <n v="2021"/>
    <n v="10934"/>
    <n v="2177"/>
    <n v="32075"/>
    <n v="11002"/>
    <n v="45186"/>
    <n v="4.4000000000000004E-2"/>
    <n v="0.187"/>
    <n v="0.14800000000000002"/>
    <n v="88.924000000000007"/>
    <n v="481.09600000000006"/>
    <n v="407.09899999999999"/>
    <n v="5998.0249999999996"/>
    <n v="6405.1239999999998"/>
    <n v="6687.5280000000012"/>
  </r>
  <r>
    <x v="54"/>
    <x v="5"/>
    <s v="Urban"/>
    <n v="83554"/>
    <n v="2463"/>
    <n v="14871"/>
    <n v="3004"/>
    <n v="48947"/>
    <n v="14269"/>
    <n v="66822"/>
    <n v="4.5999999999999999E-2"/>
    <n v="0.16800000000000001"/>
    <n v="0.13600000000000001"/>
    <n v="113.298"/>
    <n v="684.06600000000003"/>
    <n v="504.67200000000003"/>
    <n v="8223.0960000000014"/>
    <n v="8727.7680000000018"/>
    <n v="9087.7920000000013"/>
  </r>
  <r>
    <x v="55"/>
    <x v="1"/>
    <s v="Rural"/>
    <n v="35411"/>
    <n v="1092"/>
    <n v="5488"/>
    <n v="1205"/>
    <n v="17661"/>
    <n v="9965"/>
    <n v="24354"/>
    <n v="7.9000000000000001E-2"/>
    <n v="0.21199999999999999"/>
    <n v="0.17699999999999999"/>
    <n v="86.268000000000001"/>
    <n v="433.55200000000002"/>
    <n v="255.45999999999998"/>
    <n v="3744.1320000000001"/>
    <n v="3999.5920000000001"/>
    <n v="4310.6579999999994"/>
  </r>
  <r>
    <x v="56"/>
    <x v="1"/>
    <s v="Urban"/>
    <n v="21971"/>
    <n v="631"/>
    <n v="3347"/>
    <n v="1252"/>
    <n v="11935"/>
    <n v="4806"/>
    <n v="16534"/>
    <n v="4.8000000000000001E-2"/>
    <n v="0.14699999999999999"/>
    <n v="0.12300000000000001"/>
    <n v="30.288"/>
    <n v="160.65600000000001"/>
    <n v="184.04399999999998"/>
    <n v="1754.4449999999999"/>
    <n v="1938.489"/>
    <n v="2033.6820000000002"/>
  </r>
  <r>
    <x v="57"/>
    <x v="3"/>
    <s v="Rural"/>
    <n v="23555"/>
    <n v="808"/>
    <n v="4074"/>
    <n v="725"/>
    <n v="12869"/>
    <n v="5079"/>
    <n v="17668"/>
    <n v="4.7E-2"/>
    <n v="0.15"/>
    <n v="0.12300000000000001"/>
    <n v="37.975999999999999"/>
    <n v="191.47800000000001"/>
    <n v="108.75"/>
    <n v="1930.35"/>
    <n v="2039.1"/>
    <n v="2173.1640000000002"/>
  </r>
  <r>
    <x v="58"/>
    <x v="1"/>
    <s v="Rural"/>
    <n v="45623"/>
    <n v="1392"/>
    <n v="7808"/>
    <n v="1592"/>
    <n v="25702"/>
    <n v="9129"/>
    <n v="35102"/>
    <n v="4.4000000000000004E-2"/>
    <n v="0.155"/>
    <n v="0.126"/>
    <n v="61.248000000000005"/>
    <n v="343.55200000000002"/>
    <n v="246.76"/>
    <n v="3983.81"/>
    <n v="4230.57"/>
    <n v="4422.8519999999999"/>
  </r>
  <r>
    <x v="59"/>
    <x v="0"/>
    <s v="Urban"/>
    <n v="1077874"/>
    <n v="44533"/>
    <n v="214445"/>
    <n v="37880"/>
    <n v="663223"/>
    <n v="117793"/>
    <n v="915548"/>
    <n v="4.2999999999999997E-2"/>
    <n v="0.16200000000000001"/>
    <n v="0.129"/>
    <n v="1914.9189999999999"/>
    <n v="9221.1349999999984"/>
    <n v="6136.56"/>
    <n v="107442.126"/>
    <n v="113578.686"/>
    <n v="118105.69200000001"/>
  </r>
  <r>
    <x v="60"/>
    <x v="1"/>
    <s v="Rural"/>
    <n v="15314"/>
    <n v="470"/>
    <n v="2340"/>
    <n v="376"/>
    <n v="8476"/>
    <n v="3652"/>
    <n v="11192"/>
    <n v="5.4000000000000006E-2"/>
    <n v="0.17399999999999999"/>
    <n v="0.14499999999999999"/>
    <n v="25.380000000000003"/>
    <n v="126.36000000000001"/>
    <n v="65.423999999999992"/>
    <n v="1474.8239999999998"/>
    <n v="1540.2479999999998"/>
    <n v="1622.84"/>
  </r>
  <r>
    <x v="61"/>
    <x v="2"/>
    <s v="Rural"/>
    <n v="27962"/>
    <n v="959"/>
    <n v="5246"/>
    <n v="1108"/>
    <n v="15085"/>
    <n v="5564"/>
    <n v="21439"/>
    <n v="6.0999999999999999E-2"/>
    <n v="0.215"/>
    <n v="0.17"/>
    <n v="58.498999999999995"/>
    <n v="320.00599999999997"/>
    <n v="238.22"/>
    <n v="3243.2750000000001"/>
    <n v="3481.4949999999999"/>
    <n v="3644.63"/>
  </r>
  <r>
    <x v="62"/>
    <x v="2"/>
    <s v="Rural"/>
    <n v="97081"/>
    <n v="3223"/>
    <n v="16836"/>
    <n v="3232"/>
    <n v="48677"/>
    <n v="25113"/>
    <n v="68745"/>
    <n v="5.5E-2"/>
    <n v="0.152"/>
    <n v="0.125"/>
    <n v="177.26500000000001"/>
    <n v="925.98"/>
    <n v="491.26400000000001"/>
    <n v="7398.9039999999995"/>
    <n v="7890.1679999999997"/>
    <n v="8593.125"/>
  </r>
  <r>
    <x v="63"/>
    <x v="3"/>
    <s v="Urban"/>
    <n v="94188"/>
    <n v="3205"/>
    <n v="17111"/>
    <n v="3502"/>
    <n v="53414"/>
    <n v="16956"/>
    <n v="74027"/>
    <n v="4.2000000000000003E-2"/>
    <n v="0.156"/>
    <n v="0.124"/>
    <n v="134.61000000000001"/>
    <n v="718.66200000000003"/>
    <n v="546.31200000000001"/>
    <n v="8332.5840000000007"/>
    <n v="8878.8960000000006"/>
    <n v="9179.348"/>
  </r>
  <r>
    <x v="64"/>
    <x v="3"/>
    <s v="Urban"/>
    <n v="226069"/>
    <n v="6982"/>
    <n v="35794"/>
    <n v="11801"/>
    <n v="133471"/>
    <n v="38021"/>
    <n v="181066"/>
    <n v="0.04"/>
    <n v="0.15"/>
    <n v="0.124"/>
    <n v="279.28000000000003"/>
    <n v="1431.76"/>
    <n v="1770.1499999999999"/>
    <n v="20020.649999999998"/>
    <n v="21790.799999999999"/>
    <n v="22452.184000000001"/>
  </r>
  <r>
    <x v="65"/>
    <x v="3"/>
    <s v="Rural"/>
    <n v="20998"/>
    <n v="591"/>
    <n v="3342"/>
    <n v="535"/>
    <n v="11694"/>
    <n v="4836"/>
    <n v="15571"/>
    <n v="4.4000000000000004E-2"/>
    <n v="0.154"/>
    <n v="0.127"/>
    <n v="26.004000000000001"/>
    <n v="147.048"/>
    <n v="82.39"/>
    <n v="1800.876"/>
    <n v="1883.2660000000001"/>
    <n v="1977.5170000000001"/>
  </r>
  <r>
    <x v="66"/>
    <x v="3"/>
    <s v="Urban"/>
    <n v="199025"/>
    <n v="12240"/>
    <n v="46406"/>
    <n v="14805"/>
    <n v="107470"/>
    <n v="18104"/>
    <n v="168681"/>
    <n v="0.03"/>
    <n v="0.127"/>
    <n v="9.8000000000000004E-2"/>
    <n v="367.2"/>
    <n v="1392.1799999999998"/>
    <n v="1880.2350000000001"/>
    <n v="13648.69"/>
    <n v="15528.925000000001"/>
    <n v="16530.738000000001"/>
  </r>
  <r>
    <x v="67"/>
    <x v="0"/>
    <s v="Urban"/>
    <n v="143264"/>
    <n v="3728"/>
    <n v="23024"/>
    <n v="12252"/>
    <n v="85022"/>
    <n v="19238"/>
    <n v="120298"/>
    <n v="4.9000000000000002E-2"/>
    <n v="0.12300000000000001"/>
    <n v="0.10400000000000001"/>
    <n v="182.672"/>
    <n v="1128.1759999999999"/>
    <n v="1506.9960000000001"/>
    <n v="10457.706"/>
    <n v="11964.702000000001"/>
    <n v="12510.992"/>
  </r>
  <r>
    <x v="68"/>
    <x v="3"/>
    <s v="Urban"/>
    <n v="13184"/>
    <n v="304"/>
    <n v="1774"/>
    <n v="337"/>
    <n v="7065"/>
    <n v="3704"/>
    <n v="9176"/>
    <n v="7.5999999999999998E-2"/>
    <n v="0.151"/>
    <n v="0.13200000000000001"/>
    <n v="23.103999999999999"/>
    <n v="134.82399999999998"/>
    <n v="50.887"/>
    <n v="1066.8150000000001"/>
    <n v="1117.702"/>
    <n v="1211.232"/>
  </r>
  <r>
    <x v="69"/>
    <x v="3"/>
    <s v="Rural"/>
    <n v="40112"/>
    <n v="1498"/>
    <n v="7712"/>
    <n v="2282"/>
    <n v="22474"/>
    <n v="6146"/>
    <n v="32468"/>
    <n v="4.4000000000000004E-2"/>
    <n v="0.14899999999999999"/>
    <n v="0.11900000000000001"/>
    <n v="65.912000000000006"/>
    <n v="339.32800000000003"/>
    <n v="340.01799999999997"/>
    <n v="3348.6259999999997"/>
    <n v="3688.6439999999998"/>
    <n v="3863.6920000000005"/>
  </r>
  <r>
    <x v="70"/>
    <x v="3"/>
    <s v="Urban"/>
    <n v="60408"/>
    <n v="1926"/>
    <n v="10609"/>
    <n v="2307"/>
    <n v="34797"/>
    <n v="10769"/>
    <n v="47713"/>
    <n v="5.5999999999999994E-2"/>
    <n v="0.17800000000000002"/>
    <n v="0.14400000000000002"/>
    <n v="107.85599999999999"/>
    <n v="594.10399999999993"/>
    <n v="410.64600000000007"/>
    <n v="6193.8660000000009"/>
    <n v="6604.5120000000006"/>
    <n v="6870.6720000000005"/>
  </r>
  <r>
    <x v="71"/>
    <x v="3"/>
    <s v="Rural"/>
    <n v="13779"/>
    <n v="390"/>
    <n v="2204"/>
    <n v="412"/>
    <n v="7143"/>
    <n v="3630"/>
    <n v="9759"/>
    <n v="5.5999999999999994E-2"/>
    <n v="0.14899999999999999"/>
    <n v="0.124"/>
    <n v="21.839999999999996"/>
    <n v="123.42399999999999"/>
    <n v="61.387999999999998"/>
    <n v="1064.307"/>
    <n v="1125.6949999999999"/>
    <n v="1210.116"/>
  </r>
  <r>
    <x v="72"/>
    <x v="0"/>
    <s v="Urban"/>
    <n v="39845"/>
    <n v="1337"/>
    <n v="7106"/>
    <n v="1236"/>
    <n v="22724"/>
    <n v="7442"/>
    <n v="31066"/>
    <n v="4.2999999999999997E-2"/>
    <n v="0.14400000000000002"/>
    <n v="0.11699999999999999"/>
    <n v="57.490999999999993"/>
    <n v="305.55799999999999"/>
    <n v="177.98400000000001"/>
    <n v="3272.2560000000003"/>
    <n v="3450.2400000000002"/>
    <n v="3634.7219999999998"/>
  </r>
  <r>
    <x v="73"/>
    <x v="3"/>
    <s v="Urban"/>
    <n v="177093"/>
    <n v="6390"/>
    <n v="32558"/>
    <n v="14922"/>
    <n v="101087"/>
    <n v="22136"/>
    <n v="148567"/>
    <n v="0.04"/>
    <n v="0.154"/>
    <n v="0.125"/>
    <n v="255.6"/>
    <n v="1302.32"/>
    <n v="2297.9879999999998"/>
    <n v="15567.397999999999"/>
    <n v="17865.385999999999"/>
    <n v="18570.875"/>
  </r>
  <r>
    <x v="74"/>
    <x v="1"/>
    <s v="Rural"/>
    <n v="21020"/>
    <n v="481"/>
    <n v="2971"/>
    <n v="586"/>
    <n v="10908"/>
    <n v="6074"/>
    <n v="14465"/>
    <n v="7.2000000000000008E-2"/>
    <n v="0.157"/>
    <n v="0.13600000000000001"/>
    <n v="34.632000000000005"/>
    <n v="213.91200000000003"/>
    <n v="92.001999999999995"/>
    <n v="1712.556"/>
    <n v="1804.558"/>
    <n v="1967.2400000000002"/>
  </r>
  <r>
    <x v="75"/>
    <x v="2"/>
    <s v="Urban"/>
    <n v="143239"/>
    <n v="4771"/>
    <n v="27121"/>
    <n v="5936"/>
    <n v="81011"/>
    <n v="24400"/>
    <n v="114068"/>
    <n v="5.9000000000000004E-2"/>
    <n v="0.2"/>
    <n v="0.161"/>
    <n v="281.48900000000003"/>
    <n v="1600.1390000000001"/>
    <n v="1187.2"/>
    <n v="16202.2"/>
    <n v="17389.400000000001"/>
    <n v="18364.948"/>
  </r>
  <r>
    <x v="76"/>
    <x v="2"/>
    <s v="Rural"/>
    <n v="45240"/>
    <n v="1604"/>
    <n v="8748"/>
    <n v="2157"/>
    <n v="24896"/>
    <n v="7835"/>
    <n v="35801"/>
    <n v="4.7E-2"/>
    <n v="0.19399999999999998"/>
    <n v="0.152"/>
    <n v="75.388000000000005"/>
    <n v="411.15600000000001"/>
    <n v="418.45799999999997"/>
    <n v="4829.8239999999996"/>
    <n v="5248.2819999999992"/>
    <n v="5441.7519999999995"/>
  </r>
  <r>
    <x v="77"/>
    <x v="4"/>
    <s v="Rural"/>
    <n v="132859"/>
    <n v="5236"/>
    <n v="27334"/>
    <n v="7825"/>
    <n v="73311"/>
    <n v="19153"/>
    <n v="108470"/>
    <n v="5.2000000000000005E-2"/>
    <n v="0.26"/>
    <n v="0.19600000000000001"/>
    <n v="272.27200000000005"/>
    <n v="1421.3680000000002"/>
    <n v="2034.5"/>
    <n v="19060.86"/>
    <n v="21095.360000000001"/>
    <n v="21260.120000000003"/>
  </r>
  <r>
    <x v="78"/>
    <x v="0"/>
    <s v="Urban"/>
    <n v="91876"/>
    <n v="2914"/>
    <n v="15898"/>
    <n v="3171"/>
    <n v="52101"/>
    <n v="17792"/>
    <n v="71170"/>
    <n v="4.7E-2"/>
    <n v="0.16200000000000001"/>
    <n v="0.13200000000000001"/>
    <n v="136.958"/>
    <n v="747.20600000000002"/>
    <n v="513.702"/>
    <n v="8440.362000000001"/>
    <n v="8954.0640000000003"/>
    <n v="9394.44"/>
  </r>
  <r>
    <x v="79"/>
    <x v="0"/>
    <s v="Urban"/>
    <n v="141806"/>
    <n v="4718"/>
    <n v="27013"/>
    <n v="5721"/>
    <n v="80489"/>
    <n v="23865"/>
    <n v="113223"/>
    <n v="4.5999999999999999E-2"/>
    <n v="0.17399999999999999"/>
    <n v="0.13900000000000001"/>
    <n v="217.02799999999999"/>
    <n v="1242.598"/>
    <n v="995.45399999999995"/>
    <n v="14005.085999999999"/>
    <n v="15000.539999999999"/>
    <n v="15737.997000000001"/>
  </r>
  <r>
    <x v="80"/>
    <x v="1"/>
    <s v="Rural"/>
    <n v="67735"/>
    <n v="2186"/>
    <n v="11873"/>
    <n v="2339"/>
    <n v="37478"/>
    <n v="13859"/>
    <n v="51690"/>
    <n v="3.9E-2"/>
    <n v="0.16600000000000001"/>
    <n v="0.13200000000000001"/>
    <n v="85.254000000000005"/>
    <n v="463.04700000000003"/>
    <n v="388.274"/>
    <n v="6221.348"/>
    <n v="6609.6220000000003"/>
    <n v="6823.08"/>
  </r>
  <r>
    <x v="81"/>
    <x v="4"/>
    <s v="Rural"/>
    <n v="63994"/>
    <n v="2466"/>
    <n v="13227"/>
    <n v="2654"/>
    <n v="34779"/>
    <n v="10868"/>
    <n v="50660"/>
    <n v="7.2999999999999995E-2"/>
    <n v="0.23699999999999999"/>
    <n v="0.188"/>
    <n v="180.018"/>
    <n v="965.57099999999991"/>
    <n v="628.99799999999993"/>
    <n v="8242.6229999999996"/>
    <n v="8871.6209999999992"/>
    <n v="9524.08"/>
  </r>
  <r>
    <x v="82"/>
    <x v="4"/>
    <s v="Rural"/>
    <n v="35462"/>
    <n v="1370"/>
    <n v="6945"/>
    <n v="1375"/>
    <n v="19531"/>
    <n v="6241"/>
    <n v="27851"/>
    <n v="5.0999999999999997E-2"/>
    <n v="0.188"/>
    <n v="0.14699999999999999"/>
    <n v="69.86999999999999"/>
    <n v="354.19499999999999"/>
    <n v="258.5"/>
    <n v="3671.828"/>
    <n v="3930.328"/>
    <n v="4094.0969999999998"/>
  </r>
  <r>
    <x v="83"/>
    <x v="0"/>
    <s v="Rural"/>
    <n v="61670"/>
    <n v="2048"/>
    <n v="10973"/>
    <n v="2330"/>
    <n v="34926"/>
    <n v="11393"/>
    <n v="48229"/>
    <n v="4.7E-2"/>
    <n v="0.158"/>
    <n v="0.128"/>
    <n v="96.256"/>
    <n v="515.73099999999999"/>
    <n v="368.14"/>
    <n v="5518.308"/>
    <n v="5886.4480000000003"/>
    <n v="6173.3119999999999"/>
  </r>
  <r>
    <x v="84"/>
    <x v="0"/>
    <s v="Urban"/>
    <n v="46708"/>
    <n v="1322"/>
    <n v="7444"/>
    <n v="1500"/>
    <n v="27275"/>
    <n v="9167"/>
    <n v="36219"/>
    <n v="4.5999999999999999E-2"/>
    <n v="0.16200000000000001"/>
    <n v="0.13"/>
    <n v="60.811999999999998"/>
    <n v="342.42399999999998"/>
    <n v="243"/>
    <n v="4418.55"/>
    <n v="4661.55"/>
    <n v="4708.47"/>
  </r>
  <r>
    <x v="85"/>
    <x v="5"/>
    <s v="Rural"/>
    <n v="73196"/>
    <n v="2280"/>
    <n v="13088"/>
    <n v="3116"/>
    <n v="40594"/>
    <n v="14118"/>
    <n v="56798"/>
    <n v="4.4999999999999998E-2"/>
    <n v="0.155"/>
    <n v="0.128"/>
    <n v="102.6"/>
    <n v="588.95999999999992"/>
    <n v="482.98"/>
    <n v="6292.07"/>
    <n v="6775.0499999999993"/>
    <n v="7270.1440000000002"/>
  </r>
  <r>
    <x v="86"/>
    <x v="1"/>
    <s v="Rural"/>
    <n v="15256"/>
    <n v="671"/>
    <n v="2928"/>
    <n v="502"/>
    <n v="8247"/>
    <n v="2908"/>
    <n v="11677"/>
    <n v="6.0999999999999999E-2"/>
    <n v="0.19600000000000001"/>
    <n v="0.159"/>
    <n v="40.930999999999997"/>
    <n v="178.608"/>
    <n v="98.39200000000001"/>
    <n v="1616.412"/>
    <n v="1714.8040000000001"/>
    <n v="1856.643"/>
  </r>
  <r>
    <x v="87"/>
    <x v="1"/>
    <s v="Rural"/>
    <n v="34369"/>
    <n v="914"/>
    <n v="4767"/>
    <n v="1329"/>
    <n v="16853"/>
    <n v="10506"/>
    <n v="22949"/>
    <n v="7.2000000000000008E-2"/>
    <n v="0.221"/>
    <n v="0.18"/>
    <n v="65.808000000000007"/>
    <n v="343.22400000000005"/>
    <n v="293.709"/>
    <n v="3724.5129999999999"/>
    <n v="4018.2219999999998"/>
    <n v="4130.82"/>
  </r>
  <r>
    <x v="88"/>
    <x v="3"/>
    <s v="Rural"/>
    <n v="4215"/>
    <n v="126"/>
    <n v="653"/>
    <n v="112"/>
    <n v="2503"/>
    <n v="821"/>
    <n v="3268"/>
    <n v="5.5999999999999994E-2"/>
    <n v="0.16300000000000001"/>
    <n v="0.13699999999999998"/>
    <n v="7.0559999999999992"/>
    <n v="36.567999999999998"/>
    <n v="18.256"/>
    <n v="407.98900000000003"/>
    <n v="426.245"/>
    <n v="447.71599999999995"/>
  </r>
  <r>
    <x v="89"/>
    <x v="0"/>
    <s v="Urban"/>
    <n v="228065"/>
    <n v="8052"/>
    <n v="50409"/>
    <n v="10373"/>
    <n v="131014"/>
    <n v="28217"/>
    <n v="191796"/>
    <n v="8.6999999999999994E-2"/>
    <n v="0.23100000000000001"/>
    <n v="0.192"/>
    <n v="700.524"/>
    <n v="4385.5829999999996"/>
    <n v="2396.163"/>
    <n v="30264.234"/>
    <n v="32660.397000000001"/>
    <n v="36824.832000000002"/>
  </r>
  <r>
    <x v="90"/>
    <x v="0"/>
    <s v="Rural"/>
    <n v="45127"/>
    <n v="1700"/>
    <n v="9013"/>
    <n v="1746"/>
    <n v="24832"/>
    <n v="7836"/>
    <n v="35591"/>
    <n v="4.9000000000000002E-2"/>
    <n v="0.14499999999999999"/>
    <n v="0.113"/>
    <n v="83.3"/>
    <n v="441.637"/>
    <n v="253.17"/>
    <n v="3600.64"/>
    <n v="3853.81"/>
    <n v="4021.7829999999999"/>
  </r>
  <r>
    <x v="91"/>
    <x v="6"/>
    <s v="Urban"/>
    <n v="1052122"/>
    <n v="38817"/>
    <n v="214991"/>
    <n v="43308"/>
    <n v="637968"/>
    <n v="117038"/>
    <n v="896267"/>
    <n v="4.2000000000000003E-2"/>
    <n v="0.17600000000000002"/>
    <n v="0.13699999999999998"/>
    <n v="1630.3140000000001"/>
    <n v="9029.6220000000012"/>
    <n v="7622.2080000000005"/>
    <n v="112282.36800000002"/>
    <n v="119904.57600000002"/>
    <n v="122788.57899999998"/>
  </r>
  <r>
    <x v="92"/>
    <x v="0"/>
    <s v="Rural"/>
    <n v="20473"/>
    <n v="601"/>
    <n v="3223"/>
    <n v="568"/>
    <n v="11308"/>
    <n v="4773"/>
    <n v="15099"/>
    <n v="3.7999999999999999E-2"/>
    <n v="0.122"/>
    <n v="9.6999999999999989E-2"/>
    <n v="22.838000000000001"/>
    <n v="122.474"/>
    <n v="69.295999999999992"/>
    <n v="1379.576"/>
    <n v="1448.8720000000001"/>
    <n v="1464.6029999999998"/>
  </r>
  <r>
    <x v="93"/>
    <x v="3"/>
    <s v="Rural"/>
    <n v="12429"/>
    <n v="412"/>
    <n v="2293"/>
    <n v="328"/>
    <n v="6559"/>
    <n v="2837"/>
    <n v="9180"/>
    <n v="6.7000000000000004E-2"/>
    <n v="0.20199999999999999"/>
    <n v="0.16800000000000001"/>
    <n v="27.604000000000003"/>
    <n v="153.631"/>
    <n v="66.256"/>
    <n v="1324.9179999999999"/>
    <n v="1391.174"/>
    <n v="1542.24"/>
  </r>
  <r>
    <x v="94"/>
    <x v="1"/>
    <s v="Rural"/>
    <n v="54940"/>
    <n v="1116"/>
    <n v="5939"/>
    <n v="8587"/>
    <n v="30564"/>
    <n v="8734"/>
    <n v="45090"/>
    <n v="4.7E-2"/>
    <n v="0.17100000000000001"/>
    <n v="0.13800000000000001"/>
    <n v="52.451999999999998"/>
    <n v="279.13299999999998"/>
    <n v="1468.3770000000002"/>
    <n v="5226.4440000000004"/>
    <n v="6694.8210000000008"/>
    <n v="6222.42"/>
  </r>
  <r>
    <x v="95"/>
    <x v="4"/>
    <s v="Urban"/>
    <n v="125146"/>
    <n v="5012"/>
    <n v="25676"/>
    <n v="5057"/>
    <n v="69841"/>
    <n v="19560"/>
    <n v="100574"/>
    <n v="4.9000000000000002E-2"/>
    <n v="0.15"/>
    <n v="0.13200000000000001"/>
    <n v="245.58800000000002"/>
    <n v="1258.124"/>
    <n v="758.55"/>
    <n v="10476.15"/>
    <n v="11234.699999999999"/>
    <n v="13275.768"/>
  </r>
  <r>
    <x v="96"/>
    <x v="1"/>
    <s v="Rural"/>
    <n v="69664"/>
    <n v="2162"/>
    <n v="12043"/>
    <n v="2431"/>
    <n v="38663"/>
    <n v="14365"/>
    <n v="53137"/>
    <n v="5.0999999999999997E-2"/>
    <n v="0.17300000000000001"/>
    <n v="0.13800000000000001"/>
    <n v="110.26199999999999"/>
    <n v="614.19299999999998"/>
    <n v="420.56300000000005"/>
    <n v="6688.6990000000005"/>
    <n v="7109.2620000000006"/>
    <n v="7332.9060000000009"/>
  </r>
  <r>
    <x v="97"/>
    <x v="4"/>
    <s v="Rural"/>
    <n v="82686"/>
    <n v="2938"/>
    <n v="16061"/>
    <n v="3126"/>
    <n v="46320"/>
    <n v="14241"/>
    <n v="65507"/>
    <n v="5.5999999999999994E-2"/>
    <n v="0.19600000000000001"/>
    <n v="0.159"/>
    <n v="164.52799999999999"/>
    <n v="899.41599999999994"/>
    <n v="612.69600000000003"/>
    <n v="9078.7200000000012"/>
    <n v="9691.4160000000011"/>
    <n v="10415.612999999999"/>
  </r>
  <r>
    <x v="98"/>
    <x v="5"/>
    <s v="Urban"/>
    <n v="37376"/>
    <n v="1175"/>
    <n v="6632"/>
    <n v="1413"/>
    <n v="21024"/>
    <n v="7132"/>
    <n v="29069"/>
    <n v="5.7000000000000002E-2"/>
    <n v="0.187"/>
    <n v="0.15"/>
    <n v="66.975000000000009"/>
    <n v="378.024"/>
    <n v="264.23099999999999"/>
    <n v="3931.4879999999998"/>
    <n v="4195.7190000000001"/>
    <n v="4360.3499999999995"/>
  </r>
  <r>
    <x v="99"/>
    <x v="1"/>
    <s v="Rural"/>
    <n v="17999"/>
    <n v="556"/>
    <n v="2800"/>
    <n v="514"/>
    <n v="9756"/>
    <n v="4373"/>
    <n v="13070"/>
    <n v="5.5999999999999994E-2"/>
    <n v="0.17899999999999999"/>
    <n v="0.14599999999999999"/>
    <n v="31.135999999999996"/>
    <n v="156.79999999999998"/>
    <n v="92.006"/>
    <n v="1746.3239999999998"/>
    <n v="1838.33"/>
    <n v="1908.219999999999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4" minRefreshableVersion="3" itemPrintTitles="1" createdVersion="4" indent="0" outline="1" outlineData="1" multipleFieldFilters="0" rowHeaderCaption="LME-MCOs and Counties">
  <location ref="G5:K126" firstHeaderRow="0" firstDataRow="1" firstDataCol="1"/>
  <pivotFields count="22">
    <pivotField axis="axisRow" showAll="0">
      <items count="10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101"/>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t="default"/>
      </items>
    </pivotField>
    <pivotField axis="axisRow" showAll="0" insertBlankRow="1">
      <items count="14">
        <item x="7"/>
        <item x="0"/>
        <item x="8"/>
        <item x="5"/>
        <item x="3"/>
        <item x="4"/>
        <item x="9"/>
        <item h="1" x="11"/>
        <item x="6"/>
        <item x="2"/>
        <item x="1"/>
        <item m="1" x="12"/>
        <item h="1" x="1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dataField="1" showAll="0"/>
    <pivotField dataField="1" showAll="0"/>
    <pivotField showAll="0"/>
    <pivotField dataField="1" showAll="0"/>
  </pivotFields>
  <rowFields count="2">
    <field x="1"/>
    <field x="0"/>
  </rowFields>
  <rowItems count="121">
    <i>
      <x/>
    </i>
    <i r="1">
      <x v="25"/>
    </i>
    <i r="1">
      <x v="31"/>
    </i>
    <i r="1">
      <x v="50"/>
    </i>
    <i r="1">
      <x v="92"/>
    </i>
    <i t="blank">
      <x/>
    </i>
    <i>
      <x v="1"/>
    </i>
    <i r="1">
      <x/>
    </i>
    <i r="1">
      <x v="12"/>
    </i>
    <i r="1">
      <x v="16"/>
    </i>
    <i r="1">
      <x v="18"/>
    </i>
    <i r="1">
      <x v="28"/>
    </i>
    <i r="1">
      <x v="34"/>
    </i>
    <i r="1">
      <x v="38"/>
    </i>
    <i r="1">
      <x v="41"/>
    </i>
    <i r="1">
      <x v="68"/>
    </i>
    <i r="1">
      <x v="73"/>
    </i>
    <i r="1">
      <x v="80"/>
    </i>
    <i r="1">
      <x v="84"/>
    </i>
    <i r="1">
      <x v="90"/>
    </i>
    <i r="1">
      <x v="91"/>
    </i>
    <i r="1">
      <x v="93"/>
    </i>
    <i t="blank">
      <x v="1"/>
    </i>
    <i>
      <x v="2"/>
    </i>
    <i r="1">
      <x v="29"/>
    </i>
    <i r="1">
      <x v="33"/>
    </i>
    <i r="1">
      <x v="79"/>
    </i>
    <i r="1">
      <x v="85"/>
    </i>
    <i t="blank">
      <x v="2"/>
    </i>
    <i>
      <x v="3"/>
    </i>
    <i r="1">
      <x v="9"/>
    </i>
    <i r="1">
      <x v="15"/>
    </i>
    <i r="1">
      <x v="64"/>
    </i>
    <i r="1">
      <x v="67"/>
    </i>
    <i r="1">
      <x v="71"/>
    </i>
    <i t="blank">
      <x v="3"/>
    </i>
    <i>
      <x v="4"/>
    </i>
    <i r="1">
      <x v="6"/>
    </i>
    <i r="1">
      <x v="7"/>
    </i>
    <i r="1">
      <x v="14"/>
    </i>
    <i r="1">
      <x v="20"/>
    </i>
    <i r="1">
      <x v="24"/>
    </i>
    <i r="1">
      <x v="26"/>
    </i>
    <i r="1">
      <x v="27"/>
    </i>
    <i r="1">
      <x v="36"/>
    </i>
    <i r="1">
      <x v="45"/>
    </i>
    <i r="1">
      <x v="47"/>
    </i>
    <i r="1">
      <x v="51"/>
    </i>
    <i r="1">
      <x v="57"/>
    </i>
    <i r="1">
      <x v="66"/>
    </i>
    <i r="1">
      <x v="69"/>
    </i>
    <i r="1">
      <x v="70"/>
    </i>
    <i r="1">
      <x v="72"/>
    </i>
    <i r="1">
      <x v="74"/>
    </i>
    <i r="1">
      <x v="89"/>
    </i>
    <i r="1">
      <x v="94"/>
    </i>
    <i t="blank">
      <x v="4"/>
    </i>
    <i>
      <x v="5"/>
    </i>
    <i r="1">
      <x v="8"/>
    </i>
    <i r="1">
      <x v="23"/>
    </i>
    <i r="1">
      <x v="30"/>
    </i>
    <i r="1">
      <x v="32"/>
    </i>
    <i r="1">
      <x v="39"/>
    </i>
    <i r="1">
      <x v="53"/>
    </i>
    <i r="1">
      <x v="63"/>
    </i>
    <i r="1">
      <x v="78"/>
    </i>
    <i r="1">
      <x v="82"/>
    </i>
    <i r="1">
      <x v="83"/>
    </i>
    <i r="1">
      <x v="96"/>
    </i>
    <i r="1">
      <x v="98"/>
    </i>
    <i t="blank">
      <x v="5"/>
    </i>
    <i>
      <x v="6"/>
    </i>
    <i r="1">
      <x v="59"/>
    </i>
    <i t="blank">
      <x v="6"/>
    </i>
    <i>
      <x v="8"/>
    </i>
    <i r="1">
      <x v="11"/>
    </i>
    <i r="1">
      <x v="17"/>
    </i>
    <i r="1">
      <x v="22"/>
    </i>
    <i r="1">
      <x v="35"/>
    </i>
    <i r="1">
      <x v="48"/>
    </i>
    <i r="1">
      <x v="54"/>
    </i>
    <i r="1">
      <x v="86"/>
    </i>
    <i r="1">
      <x v="99"/>
    </i>
    <i t="blank">
      <x v="8"/>
    </i>
    <i>
      <x v="9"/>
    </i>
    <i r="1">
      <x v="3"/>
    </i>
    <i r="1">
      <x v="40"/>
    </i>
    <i r="1">
      <x v="42"/>
    </i>
    <i r="1">
      <x v="46"/>
    </i>
    <i r="1">
      <x v="52"/>
    </i>
    <i r="1">
      <x v="61"/>
    </i>
    <i r="1">
      <x v="62"/>
    </i>
    <i r="1">
      <x v="76"/>
    </i>
    <i r="1">
      <x v="77"/>
    </i>
    <i t="blank">
      <x v="9"/>
    </i>
    <i>
      <x v="10"/>
    </i>
    <i r="1">
      <x v="1"/>
    </i>
    <i r="1">
      <x v="2"/>
    </i>
    <i r="1">
      <x v="4"/>
    </i>
    <i r="1">
      <x v="5"/>
    </i>
    <i r="1">
      <x v="10"/>
    </i>
    <i r="1">
      <x v="13"/>
    </i>
    <i r="1">
      <x v="19"/>
    </i>
    <i r="1">
      <x v="21"/>
    </i>
    <i r="1">
      <x v="37"/>
    </i>
    <i r="1">
      <x v="43"/>
    </i>
    <i r="1">
      <x v="44"/>
    </i>
    <i r="1">
      <x v="49"/>
    </i>
    <i r="1">
      <x v="55"/>
    </i>
    <i r="1">
      <x v="56"/>
    </i>
    <i r="1">
      <x v="58"/>
    </i>
    <i r="1">
      <x v="60"/>
    </i>
    <i r="1">
      <x v="75"/>
    </i>
    <i r="1">
      <x v="81"/>
    </i>
    <i r="1">
      <x v="87"/>
    </i>
    <i r="1">
      <x v="88"/>
    </i>
    <i r="1">
      <x v="95"/>
    </i>
    <i r="1">
      <x v="97"/>
    </i>
    <i r="1">
      <x v="100"/>
    </i>
    <i t="blank">
      <x v="10"/>
    </i>
    <i t="grand">
      <x/>
    </i>
  </rowItems>
  <colFields count="1">
    <field x="-2"/>
  </colFields>
  <colItems count="4">
    <i>
      <x/>
    </i>
    <i i="1">
      <x v="1"/>
    </i>
    <i i="2">
      <x v="2"/>
    </i>
    <i i="3">
      <x v="3"/>
    </i>
  </colItems>
  <dataFields count="4">
    <dataField name="Children (Ages 3-17)" fld="15" baseField="1" baseItem="0" numFmtId="3"/>
    <dataField name="Adults (Ages 18-20)" fld="18" baseField="1" baseItem="0" numFmtId="3"/>
    <dataField name="NonElderly Adults (Ages 21-64)" fld="19" baseField="1" baseItem="0" numFmtId="3"/>
    <dataField name="Total NonElderly UnInsured Population (Ages 3-64)" fld="21" baseField="1" baseItem="0" numFmtId="3"/>
  </dataFields>
  <formats count="37">
    <format dxfId="200">
      <pivotArea dataOnly="0" labelOnly="1" outline="0" axis="axisValues" fieldPosition="0"/>
    </format>
    <format dxfId="199">
      <pivotArea type="all" dataOnly="0" outline="0" fieldPosition="0"/>
    </format>
    <format dxfId="198">
      <pivotArea outline="0" collapsedLevelsAreSubtotals="1" fieldPosition="0"/>
    </format>
    <format dxfId="197">
      <pivotArea dataOnly="0" labelOnly="1" outline="0" axis="axisValues" fieldPosition="0"/>
    </format>
    <format dxfId="196">
      <pivotArea outline="0" fieldPosition="0">
        <references count="1">
          <reference field="4294967294" count="1">
            <x v="1"/>
          </reference>
        </references>
      </pivotArea>
    </format>
    <format dxfId="195">
      <pivotArea outline="0" fieldPosition="0">
        <references count="1">
          <reference field="4294967294" count="1">
            <x v="2"/>
          </reference>
        </references>
      </pivotArea>
    </format>
    <format dxfId="194">
      <pivotArea outline="0" fieldPosition="0">
        <references count="1">
          <reference field="4294967294" count="1">
            <x v="3"/>
          </reference>
        </references>
      </pivotArea>
    </format>
    <format dxfId="193">
      <pivotArea dataOnly="0" labelOnly="1" outline="0" fieldPosition="0">
        <references count="1">
          <reference field="4294967294" count="4">
            <x v="0"/>
            <x v="1"/>
            <x v="2"/>
            <x v="3"/>
          </reference>
        </references>
      </pivotArea>
    </format>
    <format dxfId="192">
      <pivotArea dataOnly="0" labelOnly="1" outline="0" fieldPosition="0">
        <references count="1">
          <reference field="4294967294" count="4">
            <x v="0"/>
            <x v="1"/>
            <x v="2"/>
            <x v="3"/>
          </reference>
        </references>
      </pivotArea>
    </format>
    <format dxfId="191">
      <pivotArea dataOnly="0" labelOnly="1" outline="0" fieldPosition="0">
        <references count="1">
          <reference field="4294967294" count="4">
            <x v="0"/>
            <x v="1"/>
            <x v="2"/>
            <x v="3"/>
          </reference>
        </references>
      </pivotArea>
    </format>
    <format dxfId="190">
      <pivotArea field="1" type="button" dataOnly="0" labelOnly="1" outline="0" axis="axisRow" fieldPosition="0"/>
    </format>
    <format dxfId="189">
      <pivotArea collapsedLevelsAreSubtotals="1" fieldPosition="0">
        <references count="1">
          <reference field="1" count="1">
            <x v="0"/>
          </reference>
        </references>
      </pivotArea>
    </format>
    <format dxfId="188">
      <pivotArea dataOnly="0" labelOnly="1" fieldPosition="0">
        <references count="1">
          <reference field="1" count="1">
            <x v="0"/>
          </reference>
        </references>
      </pivotArea>
    </format>
    <format dxfId="187">
      <pivotArea collapsedLevelsAreSubtotals="1" fieldPosition="0">
        <references count="1">
          <reference field="1" count="1">
            <x v="1"/>
          </reference>
        </references>
      </pivotArea>
    </format>
    <format dxfId="186">
      <pivotArea dataOnly="0" labelOnly="1" fieldPosition="0">
        <references count="1">
          <reference field="1" count="1">
            <x v="1"/>
          </reference>
        </references>
      </pivotArea>
    </format>
    <format dxfId="185">
      <pivotArea collapsedLevelsAreSubtotals="1" fieldPosition="0">
        <references count="1">
          <reference field="1" count="1">
            <x v="2"/>
          </reference>
        </references>
      </pivotArea>
    </format>
    <format dxfId="184">
      <pivotArea dataOnly="0" labelOnly="1" fieldPosition="0">
        <references count="1">
          <reference field="1" count="1">
            <x v="2"/>
          </reference>
        </references>
      </pivotArea>
    </format>
    <format dxfId="183">
      <pivotArea collapsedLevelsAreSubtotals="1" fieldPosition="0">
        <references count="1">
          <reference field="1" count="1">
            <x v="3"/>
          </reference>
        </references>
      </pivotArea>
    </format>
    <format dxfId="182">
      <pivotArea dataOnly="0" labelOnly="1" fieldPosition="0">
        <references count="1">
          <reference field="1" count="1">
            <x v="3"/>
          </reference>
        </references>
      </pivotArea>
    </format>
    <format dxfId="181">
      <pivotArea collapsedLevelsAreSubtotals="1" fieldPosition="0">
        <references count="1">
          <reference field="1" count="1">
            <x v="4"/>
          </reference>
        </references>
      </pivotArea>
    </format>
    <format dxfId="180">
      <pivotArea dataOnly="0" labelOnly="1" fieldPosition="0">
        <references count="1">
          <reference field="1" count="1">
            <x v="4"/>
          </reference>
        </references>
      </pivotArea>
    </format>
    <format dxfId="179">
      <pivotArea collapsedLevelsAreSubtotals="1" fieldPosition="0">
        <references count="1">
          <reference field="1" count="1">
            <x v="5"/>
          </reference>
        </references>
      </pivotArea>
    </format>
    <format dxfId="178">
      <pivotArea dataOnly="0" labelOnly="1" fieldPosition="0">
        <references count="1">
          <reference field="1" count="1">
            <x v="5"/>
          </reference>
        </references>
      </pivotArea>
    </format>
    <format dxfId="177">
      <pivotArea collapsedLevelsAreSubtotals="1" fieldPosition="0">
        <references count="1">
          <reference field="1" count="1">
            <x v="6"/>
          </reference>
        </references>
      </pivotArea>
    </format>
    <format dxfId="176">
      <pivotArea dataOnly="0" labelOnly="1" fieldPosition="0">
        <references count="1">
          <reference field="1" count="1">
            <x v="6"/>
          </reference>
        </references>
      </pivotArea>
    </format>
    <format dxfId="175">
      <pivotArea collapsedLevelsAreSubtotals="1" fieldPosition="0">
        <references count="1">
          <reference field="1" count="1">
            <x v="8"/>
          </reference>
        </references>
      </pivotArea>
    </format>
    <format dxfId="174">
      <pivotArea dataOnly="0" labelOnly="1" fieldPosition="0">
        <references count="1">
          <reference field="1" count="1">
            <x v="8"/>
          </reference>
        </references>
      </pivotArea>
    </format>
    <format dxfId="173">
      <pivotArea collapsedLevelsAreSubtotals="1" fieldPosition="0">
        <references count="1">
          <reference field="1" count="1">
            <x v="9"/>
          </reference>
        </references>
      </pivotArea>
    </format>
    <format dxfId="172">
      <pivotArea dataOnly="0" labelOnly="1" fieldPosition="0">
        <references count="1">
          <reference field="1" count="1">
            <x v="9"/>
          </reference>
        </references>
      </pivotArea>
    </format>
    <format dxfId="171">
      <pivotArea collapsedLevelsAreSubtotals="1" fieldPosition="0">
        <references count="1">
          <reference field="1" count="1">
            <x v="10"/>
          </reference>
        </references>
      </pivotArea>
    </format>
    <format dxfId="170">
      <pivotArea dataOnly="0" labelOnly="1" fieldPosition="0">
        <references count="1">
          <reference field="1" count="1">
            <x v="10"/>
          </reference>
        </references>
      </pivotArea>
    </format>
    <format dxfId="169">
      <pivotArea collapsedLevelsAreSubtotals="1" fieldPosition="0">
        <references count="1">
          <reference field="1" count="1">
            <x v="11"/>
          </reference>
        </references>
      </pivotArea>
    </format>
    <format dxfId="168">
      <pivotArea dataOnly="0" labelOnly="1" fieldPosition="0">
        <references count="1">
          <reference field="1" count="1">
            <x v="11"/>
          </reference>
        </references>
      </pivotArea>
    </format>
    <format dxfId="167">
      <pivotArea field="1" type="button" dataOnly="0" labelOnly="1" outline="0" axis="axisRow" fieldPosition="0"/>
    </format>
    <format dxfId="166">
      <pivotArea dataOnly="0" labelOnly="1" outline="0" fieldPosition="0">
        <references count="1">
          <reference field="4294967294" count="4">
            <x v="0"/>
            <x v="1"/>
            <x v="2"/>
            <x v="3"/>
          </reference>
        </references>
      </pivotArea>
    </format>
    <format dxfId="165">
      <pivotArea grandRow="1" outline="0" collapsedLevelsAreSubtotals="1" fieldPosition="0"/>
    </format>
    <format dxfId="164">
      <pivotArea dataOnly="0" labelOnly="1" grandRow="1" outline="0" fieldPosition="0"/>
    </format>
  </formats>
  <pivotTableStyleInfo name="PivotStyleLight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PivotTable2" cacheId="1" applyNumberFormats="0" applyBorderFormats="0" applyFontFormats="0" applyPatternFormats="0" applyAlignmentFormats="0" applyWidthHeightFormats="1" dataCaption="Values" updatedVersion="4" minRefreshableVersion="3" itemPrintTitles="1" createdVersion="4" indent="0" outline="1" outlineData="1" multipleFieldFilters="0" rowHeaderCaption="LME-MCOs and Counties">
  <location ref="B5:F124" firstHeaderRow="0" firstDataRow="1" firstDataCol="1"/>
  <pivotFields count="22">
    <pivotField axis="axisRow" showAll="0">
      <items count="10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101"/>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t="default"/>
      </items>
    </pivotField>
    <pivotField axis="axisRow" showAll="0" insertBlankRow="1">
      <items count="14">
        <item x="7"/>
        <item x="0"/>
        <item x="8"/>
        <item x="5"/>
        <item x="3"/>
        <item x="4"/>
        <item m="1" x="11"/>
        <item h="1" x="10"/>
        <item x="6"/>
        <item x="2"/>
        <item x="1"/>
        <item m="1" x="12"/>
        <item h="1" x="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dataField="1" showAll="0"/>
    <pivotField dataField="1" showAll="0"/>
    <pivotField showAll="0"/>
    <pivotField dataField="1" showAll="0"/>
  </pivotFields>
  <rowFields count="2">
    <field x="1"/>
    <field x="0"/>
  </rowFields>
  <rowItems count="119">
    <i>
      <x/>
    </i>
    <i r="1">
      <x v="25"/>
    </i>
    <i r="1">
      <x v="31"/>
    </i>
    <i r="1">
      <x v="50"/>
    </i>
    <i r="1">
      <x v="92"/>
    </i>
    <i t="blank">
      <x/>
    </i>
    <i>
      <x v="1"/>
    </i>
    <i r="1">
      <x/>
    </i>
    <i r="1">
      <x v="12"/>
    </i>
    <i r="1">
      <x v="16"/>
    </i>
    <i r="1">
      <x v="18"/>
    </i>
    <i r="1">
      <x v="28"/>
    </i>
    <i r="1">
      <x v="34"/>
    </i>
    <i r="1">
      <x v="38"/>
    </i>
    <i r="1">
      <x v="41"/>
    </i>
    <i r="1">
      <x v="59"/>
    </i>
    <i r="1">
      <x v="68"/>
    </i>
    <i r="1">
      <x v="73"/>
    </i>
    <i r="1">
      <x v="80"/>
    </i>
    <i r="1">
      <x v="84"/>
    </i>
    <i r="1">
      <x v="90"/>
    </i>
    <i r="1">
      <x v="91"/>
    </i>
    <i r="1">
      <x v="93"/>
    </i>
    <i t="blank">
      <x v="1"/>
    </i>
    <i>
      <x v="2"/>
    </i>
    <i r="1">
      <x v="29"/>
    </i>
    <i r="1">
      <x v="33"/>
    </i>
    <i r="1">
      <x v="79"/>
    </i>
    <i r="1">
      <x v="85"/>
    </i>
    <i t="blank">
      <x v="2"/>
    </i>
    <i>
      <x v="3"/>
    </i>
    <i r="1">
      <x v="9"/>
    </i>
    <i r="1">
      <x v="15"/>
    </i>
    <i r="1">
      <x v="64"/>
    </i>
    <i r="1">
      <x v="67"/>
    </i>
    <i r="1">
      <x v="71"/>
    </i>
    <i t="blank">
      <x v="3"/>
    </i>
    <i>
      <x v="4"/>
    </i>
    <i r="1">
      <x v="6"/>
    </i>
    <i r="1">
      <x v="7"/>
    </i>
    <i r="1">
      <x v="14"/>
    </i>
    <i r="1">
      <x v="20"/>
    </i>
    <i r="1">
      <x v="24"/>
    </i>
    <i r="1">
      <x v="26"/>
    </i>
    <i r="1">
      <x v="27"/>
    </i>
    <i r="1">
      <x v="36"/>
    </i>
    <i r="1">
      <x v="45"/>
    </i>
    <i r="1">
      <x v="47"/>
    </i>
    <i r="1">
      <x v="51"/>
    </i>
    <i r="1">
      <x v="57"/>
    </i>
    <i r="1">
      <x v="66"/>
    </i>
    <i r="1">
      <x v="69"/>
    </i>
    <i r="1">
      <x v="70"/>
    </i>
    <i r="1">
      <x v="72"/>
    </i>
    <i r="1">
      <x v="74"/>
    </i>
    <i r="1">
      <x v="89"/>
    </i>
    <i r="1">
      <x v="94"/>
    </i>
    <i t="blank">
      <x v="4"/>
    </i>
    <i>
      <x v="5"/>
    </i>
    <i r="1">
      <x v="8"/>
    </i>
    <i r="1">
      <x v="23"/>
    </i>
    <i r="1">
      <x v="30"/>
    </i>
    <i r="1">
      <x v="32"/>
    </i>
    <i r="1">
      <x v="39"/>
    </i>
    <i r="1">
      <x v="53"/>
    </i>
    <i r="1">
      <x v="63"/>
    </i>
    <i r="1">
      <x v="78"/>
    </i>
    <i r="1">
      <x v="82"/>
    </i>
    <i r="1">
      <x v="83"/>
    </i>
    <i r="1">
      <x v="96"/>
    </i>
    <i r="1">
      <x v="98"/>
    </i>
    <i t="blank">
      <x v="5"/>
    </i>
    <i>
      <x v="8"/>
    </i>
    <i r="1">
      <x v="11"/>
    </i>
    <i r="1">
      <x v="17"/>
    </i>
    <i r="1">
      <x v="22"/>
    </i>
    <i r="1">
      <x v="35"/>
    </i>
    <i r="1">
      <x v="48"/>
    </i>
    <i r="1">
      <x v="54"/>
    </i>
    <i r="1">
      <x v="86"/>
    </i>
    <i r="1">
      <x v="99"/>
    </i>
    <i t="blank">
      <x v="8"/>
    </i>
    <i>
      <x v="9"/>
    </i>
    <i r="1">
      <x v="3"/>
    </i>
    <i r="1">
      <x v="40"/>
    </i>
    <i r="1">
      <x v="42"/>
    </i>
    <i r="1">
      <x v="46"/>
    </i>
    <i r="1">
      <x v="52"/>
    </i>
    <i r="1">
      <x v="61"/>
    </i>
    <i r="1">
      <x v="62"/>
    </i>
    <i r="1">
      <x v="76"/>
    </i>
    <i r="1">
      <x v="77"/>
    </i>
    <i t="blank">
      <x v="9"/>
    </i>
    <i>
      <x v="10"/>
    </i>
    <i r="1">
      <x v="1"/>
    </i>
    <i r="1">
      <x v="2"/>
    </i>
    <i r="1">
      <x v="4"/>
    </i>
    <i r="1">
      <x v="5"/>
    </i>
    <i r="1">
      <x v="10"/>
    </i>
    <i r="1">
      <x v="13"/>
    </i>
    <i r="1">
      <x v="19"/>
    </i>
    <i r="1">
      <x v="21"/>
    </i>
    <i r="1">
      <x v="37"/>
    </i>
    <i r="1">
      <x v="43"/>
    </i>
    <i r="1">
      <x v="44"/>
    </i>
    <i r="1">
      <x v="49"/>
    </i>
    <i r="1">
      <x v="55"/>
    </i>
    <i r="1">
      <x v="56"/>
    </i>
    <i r="1">
      <x v="58"/>
    </i>
    <i r="1">
      <x v="60"/>
    </i>
    <i r="1">
      <x v="75"/>
    </i>
    <i r="1">
      <x v="81"/>
    </i>
    <i r="1">
      <x v="87"/>
    </i>
    <i r="1">
      <x v="88"/>
    </i>
    <i r="1">
      <x v="95"/>
    </i>
    <i r="1">
      <x v="97"/>
    </i>
    <i r="1">
      <x v="100"/>
    </i>
    <i t="blank">
      <x v="10"/>
    </i>
    <i t="grand">
      <x/>
    </i>
  </rowItems>
  <colFields count="1">
    <field x="-2"/>
  </colFields>
  <colItems count="4">
    <i>
      <x/>
    </i>
    <i i="1">
      <x v="1"/>
    </i>
    <i i="2">
      <x v="2"/>
    </i>
    <i i="3">
      <x v="3"/>
    </i>
  </colItems>
  <dataFields count="4">
    <dataField name="Children (Ages 3-17)" fld="15" baseField="1" baseItem="0" numFmtId="3"/>
    <dataField name="Adults (Ages 18-20)" fld="18" baseField="1" baseItem="0" numFmtId="3"/>
    <dataField name="NonElderly Adults (Ages 21-64)" fld="19" baseField="1" baseItem="0" numFmtId="3"/>
    <dataField name="Total NonElderly UnInsured Population (Ages 3-64)" fld="21" baseField="1" baseItem="0" numFmtId="3"/>
  </dataFields>
  <formats count="37">
    <format dxfId="163">
      <pivotArea dataOnly="0" labelOnly="1" outline="0" axis="axisValues" fieldPosition="0"/>
    </format>
    <format dxfId="162">
      <pivotArea type="all" dataOnly="0" outline="0" fieldPosition="0"/>
    </format>
    <format dxfId="161">
      <pivotArea outline="0" collapsedLevelsAreSubtotals="1" fieldPosition="0"/>
    </format>
    <format dxfId="160">
      <pivotArea dataOnly="0" labelOnly="1" outline="0" axis="axisValues" fieldPosition="0"/>
    </format>
    <format dxfId="159">
      <pivotArea outline="0" fieldPosition="0">
        <references count="1">
          <reference field="4294967294" count="1">
            <x v="1"/>
          </reference>
        </references>
      </pivotArea>
    </format>
    <format dxfId="158">
      <pivotArea outline="0" fieldPosition="0">
        <references count="1">
          <reference field="4294967294" count="1">
            <x v="2"/>
          </reference>
        </references>
      </pivotArea>
    </format>
    <format dxfId="157">
      <pivotArea outline="0" fieldPosition="0">
        <references count="1">
          <reference field="4294967294" count="1">
            <x v="3"/>
          </reference>
        </references>
      </pivotArea>
    </format>
    <format dxfId="156">
      <pivotArea dataOnly="0" labelOnly="1" outline="0" fieldPosition="0">
        <references count="1">
          <reference field="4294967294" count="4">
            <x v="0"/>
            <x v="1"/>
            <x v="2"/>
            <x v="3"/>
          </reference>
        </references>
      </pivotArea>
    </format>
    <format dxfId="155">
      <pivotArea dataOnly="0" labelOnly="1" outline="0" fieldPosition="0">
        <references count="1">
          <reference field="4294967294" count="4">
            <x v="0"/>
            <x v="1"/>
            <x v="2"/>
            <x v="3"/>
          </reference>
        </references>
      </pivotArea>
    </format>
    <format dxfId="154">
      <pivotArea dataOnly="0" labelOnly="1" outline="0" fieldPosition="0">
        <references count="1">
          <reference field="4294967294" count="4">
            <x v="0"/>
            <x v="1"/>
            <x v="2"/>
            <x v="3"/>
          </reference>
        </references>
      </pivotArea>
    </format>
    <format dxfId="153">
      <pivotArea field="1" type="button" dataOnly="0" labelOnly="1" outline="0" axis="axisRow" fieldPosition="0"/>
    </format>
    <format dxfId="152">
      <pivotArea collapsedLevelsAreSubtotals="1" fieldPosition="0">
        <references count="1">
          <reference field="1" count="1">
            <x v="0"/>
          </reference>
        </references>
      </pivotArea>
    </format>
    <format dxfId="151">
      <pivotArea dataOnly="0" labelOnly="1" fieldPosition="0">
        <references count="1">
          <reference field="1" count="1">
            <x v="0"/>
          </reference>
        </references>
      </pivotArea>
    </format>
    <format dxfId="150">
      <pivotArea collapsedLevelsAreSubtotals="1" fieldPosition="0">
        <references count="1">
          <reference field="1" count="1">
            <x v="1"/>
          </reference>
        </references>
      </pivotArea>
    </format>
    <format dxfId="149">
      <pivotArea dataOnly="0" labelOnly="1" fieldPosition="0">
        <references count="1">
          <reference field="1" count="1">
            <x v="1"/>
          </reference>
        </references>
      </pivotArea>
    </format>
    <format dxfId="148">
      <pivotArea collapsedLevelsAreSubtotals="1" fieldPosition="0">
        <references count="1">
          <reference field="1" count="1">
            <x v="2"/>
          </reference>
        </references>
      </pivotArea>
    </format>
    <format dxfId="147">
      <pivotArea dataOnly="0" labelOnly="1" fieldPosition="0">
        <references count="1">
          <reference field="1" count="1">
            <x v="2"/>
          </reference>
        </references>
      </pivotArea>
    </format>
    <format dxfId="146">
      <pivotArea collapsedLevelsAreSubtotals="1" fieldPosition="0">
        <references count="1">
          <reference field="1" count="1">
            <x v="3"/>
          </reference>
        </references>
      </pivotArea>
    </format>
    <format dxfId="145">
      <pivotArea dataOnly="0" labelOnly="1" fieldPosition="0">
        <references count="1">
          <reference field="1" count="1">
            <x v="3"/>
          </reference>
        </references>
      </pivotArea>
    </format>
    <format dxfId="144">
      <pivotArea collapsedLevelsAreSubtotals="1" fieldPosition="0">
        <references count="1">
          <reference field="1" count="1">
            <x v="4"/>
          </reference>
        </references>
      </pivotArea>
    </format>
    <format dxfId="143">
      <pivotArea dataOnly="0" labelOnly="1" fieldPosition="0">
        <references count="1">
          <reference field="1" count="1">
            <x v="4"/>
          </reference>
        </references>
      </pivotArea>
    </format>
    <format dxfId="142">
      <pivotArea collapsedLevelsAreSubtotals="1" fieldPosition="0">
        <references count="1">
          <reference field="1" count="1">
            <x v="5"/>
          </reference>
        </references>
      </pivotArea>
    </format>
    <format dxfId="141">
      <pivotArea dataOnly="0" labelOnly="1" fieldPosition="0">
        <references count="1">
          <reference field="1" count="1">
            <x v="5"/>
          </reference>
        </references>
      </pivotArea>
    </format>
    <format dxfId="140">
      <pivotArea collapsedLevelsAreSubtotals="1" fieldPosition="0">
        <references count="1">
          <reference field="1" count="1">
            <x v="6"/>
          </reference>
        </references>
      </pivotArea>
    </format>
    <format dxfId="139">
      <pivotArea dataOnly="0" labelOnly="1" fieldPosition="0">
        <references count="1">
          <reference field="1" count="1">
            <x v="6"/>
          </reference>
        </references>
      </pivotArea>
    </format>
    <format dxfId="138">
      <pivotArea collapsedLevelsAreSubtotals="1" fieldPosition="0">
        <references count="1">
          <reference field="1" count="1">
            <x v="8"/>
          </reference>
        </references>
      </pivotArea>
    </format>
    <format dxfId="137">
      <pivotArea dataOnly="0" labelOnly="1" fieldPosition="0">
        <references count="1">
          <reference field="1" count="1">
            <x v="8"/>
          </reference>
        </references>
      </pivotArea>
    </format>
    <format dxfId="136">
      <pivotArea collapsedLevelsAreSubtotals="1" fieldPosition="0">
        <references count="1">
          <reference field="1" count="1">
            <x v="9"/>
          </reference>
        </references>
      </pivotArea>
    </format>
    <format dxfId="135">
      <pivotArea dataOnly="0" labelOnly="1" fieldPosition="0">
        <references count="1">
          <reference field="1" count="1">
            <x v="9"/>
          </reference>
        </references>
      </pivotArea>
    </format>
    <format dxfId="134">
      <pivotArea collapsedLevelsAreSubtotals="1" fieldPosition="0">
        <references count="1">
          <reference field="1" count="1">
            <x v="10"/>
          </reference>
        </references>
      </pivotArea>
    </format>
    <format dxfId="133">
      <pivotArea dataOnly="0" labelOnly="1" fieldPosition="0">
        <references count="1">
          <reference field="1" count="1">
            <x v="10"/>
          </reference>
        </references>
      </pivotArea>
    </format>
    <format dxfId="132">
      <pivotArea collapsedLevelsAreSubtotals="1" fieldPosition="0">
        <references count="1">
          <reference field="1" count="1">
            <x v="11"/>
          </reference>
        </references>
      </pivotArea>
    </format>
    <format dxfId="131">
      <pivotArea dataOnly="0" labelOnly="1" fieldPosition="0">
        <references count="1">
          <reference field="1" count="1">
            <x v="11"/>
          </reference>
        </references>
      </pivotArea>
    </format>
    <format dxfId="130">
      <pivotArea field="1" type="button" dataOnly="0" labelOnly="1" outline="0" axis="axisRow" fieldPosition="0"/>
    </format>
    <format dxfId="129">
      <pivotArea dataOnly="0" labelOnly="1" outline="0" fieldPosition="0">
        <references count="1">
          <reference field="4294967294" count="4">
            <x v="0"/>
            <x v="1"/>
            <x v="2"/>
            <x v="3"/>
          </reference>
        </references>
      </pivotArea>
    </format>
    <format dxfId="128">
      <pivotArea grandRow="1" outline="0" collapsedLevelsAreSubtotals="1" fieldPosition="0"/>
    </format>
    <format dxfId="127">
      <pivotArea dataOnly="0" labelOnly="1" grandRow="1" outline="0" fieldPosition="0"/>
    </format>
  </formats>
  <pivotTableStyleInfo name="PivotStyleLight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PivotTable1" cacheId="2" applyNumberFormats="0" applyBorderFormats="0" applyFontFormats="0" applyPatternFormats="0" applyAlignmentFormats="0" applyWidthHeightFormats="1" dataCaption="Values" updatedVersion="5" minRefreshableVersion="3" itemPrintTitles="1" createdVersion="4" indent="0" outline="1" outlineData="1" multipleFieldFilters="0" rowHeaderCaption="LME-MCOs and Counties">
  <location ref="A4:E121"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9">
        <item x="6"/>
        <item x="0"/>
        <item x="7"/>
        <item x="4"/>
        <item x="5"/>
        <item x="2"/>
        <item x="1"/>
        <item x="3"/>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showAll="0"/>
    <pivotField dataField="1" showAll="0"/>
  </pivotFields>
  <rowFields count="2">
    <field x="1"/>
    <field x="0"/>
  </rowFields>
  <rowItems count="117">
    <i>
      <x/>
    </i>
    <i r="1">
      <x v="25"/>
    </i>
    <i r="1">
      <x v="31"/>
    </i>
    <i r="1">
      <x v="50"/>
    </i>
    <i r="1">
      <x v="91"/>
    </i>
    <i t="blank">
      <x/>
    </i>
    <i>
      <x v="1"/>
    </i>
    <i r="1">
      <x/>
    </i>
    <i r="1">
      <x v="12"/>
    </i>
    <i r="1">
      <x v="16"/>
    </i>
    <i r="1">
      <x v="18"/>
    </i>
    <i r="1">
      <x v="28"/>
    </i>
    <i r="1">
      <x v="34"/>
    </i>
    <i r="1">
      <x v="38"/>
    </i>
    <i r="1">
      <x v="41"/>
    </i>
    <i r="1">
      <x v="59"/>
    </i>
    <i r="1">
      <x v="67"/>
    </i>
    <i r="1">
      <x v="72"/>
    </i>
    <i r="1">
      <x v="79"/>
    </i>
    <i r="1">
      <x v="83"/>
    </i>
    <i r="1">
      <x v="89"/>
    </i>
    <i r="1">
      <x v="90"/>
    </i>
    <i r="1">
      <x v="92"/>
    </i>
    <i t="blank">
      <x v="1"/>
    </i>
    <i>
      <x v="2"/>
    </i>
    <i r="1">
      <x v="29"/>
    </i>
    <i r="1">
      <x v="33"/>
    </i>
    <i r="1">
      <x v="78"/>
    </i>
    <i r="1">
      <x v="84"/>
    </i>
    <i t="blank">
      <x v="2"/>
    </i>
    <i>
      <x v="3"/>
    </i>
    <i r="1">
      <x v="8"/>
    </i>
    <i r="1">
      <x v="23"/>
    </i>
    <i r="1">
      <x v="30"/>
    </i>
    <i r="1">
      <x v="32"/>
    </i>
    <i r="1">
      <x v="39"/>
    </i>
    <i r="1">
      <x v="53"/>
    </i>
    <i r="1">
      <x v="6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6"/>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6"/>
    </i>
    <i>
      <x v="7"/>
    </i>
    <i r="1">
      <x v="6"/>
    </i>
    <i r="1">
      <x v="7"/>
    </i>
    <i r="1">
      <x v="9"/>
    </i>
    <i r="1">
      <x v="14"/>
    </i>
    <i r="1">
      <x v="15"/>
    </i>
    <i r="1">
      <x v="20"/>
    </i>
    <i r="1">
      <x v="24"/>
    </i>
    <i r="1">
      <x v="26"/>
    </i>
    <i r="1">
      <x v="27"/>
    </i>
    <i r="1">
      <x v="36"/>
    </i>
    <i r="1">
      <x v="45"/>
    </i>
    <i r="1">
      <x v="47"/>
    </i>
    <i r="1">
      <x v="51"/>
    </i>
    <i r="1">
      <x v="57"/>
    </i>
    <i r="1">
      <x v="64"/>
    </i>
    <i r="1">
      <x v="65"/>
    </i>
    <i r="1">
      <x v="66"/>
    </i>
    <i r="1">
      <x v="68"/>
    </i>
    <i r="1">
      <x v="69"/>
    </i>
    <i r="1">
      <x v="70"/>
    </i>
    <i r="1">
      <x v="71"/>
    </i>
    <i r="1">
      <x v="73"/>
    </i>
    <i r="1">
      <x v="88"/>
    </i>
    <i r="1">
      <x v="93"/>
    </i>
    <i t="blank">
      <x v="7"/>
    </i>
    <i t="grand">
      <x/>
    </i>
  </rowItems>
  <colFields count="1">
    <field x="-2"/>
  </colFields>
  <colItems count="4">
    <i>
      <x/>
    </i>
    <i i="1">
      <x v="1"/>
    </i>
    <i i="2">
      <x v="2"/>
    </i>
    <i i="3">
      <x v="3"/>
    </i>
  </colItems>
  <dataFields count="4">
    <dataField name="Uninsured Children (Ages 3-17)" fld="14" baseField="1" baseItem="0" numFmtId="3"/>
    <dataField name="Uninsured NonElderly Adults (Ages 18-20)" fld="15" baseField="0" baseItem="64" numFmtId="3"/>
    <dataField name="Uninsured NonElderly Adults (Ages 21-64)" fld="16" baseField="1" baseItem="0" numFmtId="3"/>
    <dataField name="Total Uninsured NonElderly Population (Ages 3-64)" fld="18" baseField="1" baseItem="0" numFmtId="3"/>
  </dataFields>
  <formats count="32">
    <format dxfId="126">
      <pivotArea dataOnly="0" labelOnly="1" outline="0" axis="axisValues" fieldPosition="0"/>
    </format>
    <format dxfId="125">
      <pivotArea type="all" dataOnly="0" outline="0" fieldPosition="0"/>
    </format>
    <format dxfId="124">
      <pivotArea outline="0" collapsedLevelsAreSubtotals="1" fieldPosition="0"/>
    </format>
    <format dxfId="123">
      <pivotArea dataOnly="0" labelOnly="1" outline="0" axis="axisValues" fieldPosition="0"/>
    </format>
    <format dxfId="122">
      <pivotArea outline="0" fieldPosition="0">
        <references count="1">
          <reference field="4294967294" count="1">
            <x v="2"/>
          </reference>
        </references>
      </pivotArea>
    </format>
    <format dxfId="121">
      <pivotArea outline="0" fieldPosition="0">
        <references count="1">
          <reference field="4294967294" count="1">
            <x v="3"/>
          </reference>
        </references>
      </pivotArea>
    </format>
    <format dxfId="120">
      <pivotArea dataOnly="0" labelOnly="1" outline="0" fieldPosition="0">
        <references count="1">
          <reference field="4294967294" count="3">
            <x v="0"/>
            <x v="2"/>
            <x v="3"/>
          </reference>
        </references>
      </pivotArea>
    </format>
    <format dxfId="119">
      <pivotArea dataOnly="0" labelOnly="1" outline="0" fieldPosition="0">
        <references count="1">
          <reference field="4294967294" count="3">
            <x v="0"/>
            <x v="2"/>
            <x v="3"/>
          </reference>
        </references>
      </pivotArea>
    </format>
    <format dxfId="118">
      <pivotArea dataOnly="0" labelOnly="1" outline="0" fieldPosition="0">
        <references count="1">
          <reference field="4294967294" count="3">
            <x v="0"/>
            <x v="2"/>
            <x v="3"/>
          </reference>
        </references>
      </pivotArea>
    </format>
    <format dxfId="117">
      <pivotArea field="0" type="button" dataOnly="0" labelOnly="1" outline="0" axis="axisRow" fieldPosition="1"/>
    </format>
    <format dxfId="116">
      <pivotArea dataOnly="0" labelOnly="1" outline="0" fieldPosition="0">
        <references count="1">
          <reference field="4294967294" count="3">
            <x v="0"/>
            <x v="2"/>
            <x v="3"/>
          </reference>
        </references>
      </pivotArea>
    </format>
    <format dxfId="115">
      <pivotArea dataOnly="0" fieldPosition="0">
        <references count="1">
          <reference field="1" count="0"/>
        </references>
      </pivotArea>
    </format>
    <format dxfId="114">
      <pivotArea collapsedLevelsAreSubtotals="1" fieldPosition="0">
        <references count="2">
          <reference field="0" count="4">
            <x v="25"/>
            <x v="31"/>
            <x v="50"/>
            <x v="91"/>
          </reference>
          <reference field="1" count="1" selected="0">
            <x v="0"/>
          </reference>
        </references>
      </pivotArea>
    </format>
    <format dxfId="113">
      <pivotArea dataOnly="0" labelOnly="1" fieldPosition="0">
        <references count="2">
          <reference field="0" count="4">
            <x v="25"/>
            <x v="31"/>
            <x v="50"/>
            <x v="91"/>
          </reference>
          <reference field="1" count="1" selected="0">
            <x v="0"/>
          </reference>
        </references>
      </pivotArea>
    </format>
    <format dxfId="112">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111">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110">
      <pivotArea collapsedLevelsAreSubtotals="1" fieldPosition="0">
        <references count="2">
          <reference field="0" count="4">
            <x v="29"/>
            <x v="33"/>
            <x v="78"/>
            <x v="84"/>
          </reference>
          <reference field="1" count="1" selected="0">
            <x v="2"/>
          </reference>
        </references>
      </pivotArea>
    </format>
    <format dxfId="109">
      <pivotArea dataOnly="0" labelOnly="1" fieldPosition="0">
        <references count="2">
          <reference field="0" count="4">
            <x v="29"/>
            <x v="33"/>
            <x v="78"/>
            <x v="84"/>
          </reference>
          <reference field="1" count="1" selected="0">
            <x v="2"/>
          </reference>
        </references>
      </pivotArea>
    </format>
    <format dxfId="108">
      <pivotArea collapsedLevelsAreSubtotals="1" fieldPosition="0">
        <references count="2">
          <reference field="0" count="12">
            <x v="8"/>
            <x v="23"/>
            <x v="30"/>
            <x v="32"/>
            <x v="39"/>
            <x v="53"/>
            <x v="63"/>
            <x v="77"/>
            <x v="81"/>
            <x v="82"/>
            <x v="95"/>
            <x v="97"/>
          </reference>
          <reference field="1" count="1" selected="0">
            <x v="3"/>
          </reference>
        </references>
      </pivotArea>
    </format>
    <format dxfId="107">
      <pivotArea dataOnly="0" labelOnly="1" fieldPosition="0">
        <references count="2">
          <reference field="0" count="12">
            <x v="8"/>
            <x v="23"/>
            <x v="30"/>
            <x v="32"/>
            <x v="39"/>
            <x v="53"/>
            <x v="63"/>
            <x v="77"/>
            <x v="81"/>
            <x v="82"/>
            <x v="95"/>
            <x v="97"/>
          </reference>
          <reference field="1" count="1" selected="0">
            <x v="3"/>
          </reference>
        </references>
      </pivotArea>
    </format>
    <format dxfId="106">
      <pivotArea collapsedLevelsAreSubtotals="1" fieldPosition="0">
        <references count="2">
          <reference field="0" count="8">
            <x v="11"/>
            <x v="17"/>
            <x v="22"/>
            <x v="35"/>
            <x v="48"/>
            <x v="54"/>
            <x v="85"/>
            <x v="98"/>
          </reference>
          <reference field="1" count="1" selected="0">
            <x v="4"/>
          </reference>
        </references>
      </pivotArea>
    </format>
    <format dxfId="105">
      <pivotArea dataOnly="0" labelOnly="1" fieldPosition="0">
        <references count="2">
          <reference field="0" count="8">
            <x v="11"/>
            <x v="17"/>
            <x v="22"/>
            <x v="35"/>
            <x v="48"/>
            <x v="54"/>
            <x v="85"/>
            <x v="98"/>
          </reference>
          <reference field="1" count="1" selected="0">
            <x v="4"/>
          </reference>
        </references>
      </pivotArea>
    </format>
    <format dxfId="104">
      <pivotArea collapsedLevelsAreSubtotals="1" fieldPosition="0">
        <references count="2">
          <reference field="0" count="9">
            <x v="3"/>
            <x v="40"/>
            <x v="42"/>
            <x v="46"/>
            <x v="52"/>
            <x v="61"/>
            <x v="62"/>
            <x v="75"/>
            <x v="76"/>
          </reference>
          <reference field="1" count="1" selected="0">
            <x v="5"/>
          </reference>
        </references>
      </pivotArea>
    </format>
    <format dxfId="103">
      <pivotArea dataOnly="0" labelOnly="1" fieldPosition="0">
        <references count="2">
          <reference field="0" count="9">
            <x v="3"/>
            <x v="40"/>
            <x v="42"/>
            <x v="46"/>
            <x v="52"/>
            <x v="61"/>
            <x v="62"/>
            <x v="75"/>
            <x v="76"/>
          </reference>
          <reference field="1" count="1" selected="0">
            <x v="5"/>
          </reference>
        </references>
      </pivotArea>
    </format>
    <format dxfId="102">
      <pivotArea collapsedLevelsAreSubtotals="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101">
      <pivotArea dataOnly="0" labelOnly="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100">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99">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98">
      <pivotArea outline="0" fieldPosition="0">
        <references count="1">
          <reference field="4294967294" count="1">
            <x v="1"/>
          </reference>
        </references>
      </pivotArea>
    </format>
    <format dxfId="97">
      <pivotArea dataOnly="0" labelOnly="1" outline="0" fieldPosition="0">
        <references count="1">
          <reference field="4294967294" count="1">
            <x v="1"/>
          </reference>
        </references>
      </pivotArea>
    </format>
    <format dxfId="96">
      <pivotArea dataOnly="0" labelOnly="1" outline="0" fieldPosition="0">
        <references count="1">
          <reference field="4294967294" count="1">
            <x v="1"/>
          </reference>
        </references>
      </pivotArea>
    </format>
    <format dxfId="95">
      <pivotArea dataOnly="0" labelOnly="1" outline="0" fieldPosition="0">
        <references count="1">
          <reference field="4294967294" count="1">
            <x v="1"/>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PivotTable1" cacheId="3" applyNumberFormats="0" applyBorderFormats="0" applyFontFormats="0" applyPatternFormats="0" applyAlignmentFormats="0" applyWidthHeightFormats="1" dataCaption="Values" updatedVersion="5" minRefreshableVersion="3" itemPrintTitles="1" createdVersion="4" indent="0" outline="1" outlineData="1" multipleFieldFilters="0" rowHeaderCaption="LME-MCOs and Counties">
  <location ref="A4:E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10">
        <item x="6"/>
        <item x="0"/>
        <item m="1" x="7"/>
        <item x="4"/>
        <item x="5"/>
        <item x="2"/>
        <item m="1" x="8"/>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showAll="0"/>
    <pivotField dataField="1" showAll="0"/>
  </pivotFields>
  <rowFields count="2">
    <field x="1"/>
    <field x="0"/>
  </rowFields>
  <rowItems count="115">
    <i>
      <x/>
    </i>
    <i r="1">
      <x v="25"/>
    </i>
    <i r="1">
      <x v="31"/>
    </i>
    <i r="1">
      <x v="50"/>
    </i>
    <i r="1">
      <x v="91"/>
    </i>
    <i t="blank">
      <x/>
    </i>
    <i>
      <x v="1"/>
    </i>
    <i r="1">
      <x/>
    </i>
    <i r="1">
      <x v="12"/>
    </i>
    <i r="1">
      <x v="16"/>
    </i>
    <i r="1">
      <x v="18"/>
    </i>
    <i r="1">
      <x v="28"/>
    </i>
    <i r="1">
      <x v="29"/>
    </i>
    <i r="1">
      <x v="33"/>
    </i>
    <i r="1">
      <x v="34"/>
    </i>
    <i r="1">
      <x v="38"/>
    </i>
    <i r="1">
      <x v="41"/>
    </i>
    <i r="1">
      <x v="59"/>
    </i>
    <i r="1">
      <x v="67"/>
    </i>
    <i r="1">
      <x v="72"/>
    </i>
    <i r="1">
      <x v="78"/>
    </i>
    <i r="1">
      <x v="79"/>
    </i>
    <i r="1">
      <x v="83"/>
    </i>
    <i r="1">
      <x v="84"/>
    </i>
    <i r="1">
      <x v="89"/>
    </i>
    <i r="1">
      <x v="90"/>
    </i>
    <i r="1">
      <x v="92"/>
    </i>
    <i t="blank">
      <x v="1"/>
    </i>
    <i>
      <x v="3"/>
    </i>
    <i r="1">
      <x v="8"/>
    </i>
    <i r="1">
      <x v="23"/>
    </i>
    <i r="1">
      <x v="30"/>
    </i>
    <i r="1">
      <x v="32"/>
    </i>
    <i r="1">
      <x v="39"/>
    </i>
    <i r="1">
      <x v="53"/>
    </i>
    <i r="1">
      <x v="6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7"/>
    </i>
    <i r="1">
      <x v="6"/>
    </i>
    <i r="1">
      <x v="7"/>
    </i>
    <i r="1">
      <x v="9"/>
    </i>
    <i r="1">
      <x v="14"/>
    </i>
    <i r="1">
      <x v="15"/>
    </i>
    <i r="1">
      <x v="20"/>
    </i>
    <i r="1">
      <x v="24"/>
    </i>
    <i r="1">
      <x v="26"/>
    </i>
    <i r="1">
      <x v="27"/>
    </i>
    <i r="1">
      <x v="36"/>
    </i>
    <i r="1">
      <x v="45"/>
    </i>
    <i r="1">
      <x v="47"/>
    </i>
    <i r="1">
      <x v="51"/>
    </i>
    <i r="1">
      <x v="57"/>
    </i>
    <i r="1">
      <x v="64"/>
    </i>
    <i r="1">
      <x v="65"/>
    </i>
    <i r="1">
      <x v="66"/>
    </i>
    <i r="1">
      <x v="68"/>
    </i>
    <i r="1">
      <x v="69"/>
    </i>
    <i r="1">
      <x v="70"/>
    </i>
    <i r="1">
      <x v="71"/>
    </i>
    <i r="1">
      <x v="73"/>
    </i>
    <i r="1">
      <x v="88"/>
    </i>
    <i r="1">
      <x v="93"/>
    </i>
    <i t="blank">
      <x v="7"/>
    </i>
    <i>
      <x v="8"/>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8"/>
    </i>
    <i t="grand">
      <x/>
    </i>
  </rowItems>
  <colFields count="1">
    <field x="-2"/>
  </colFields>
  <colItems count="4">
    <i>
      <x/>
    </i>
    <i i="1">
      <x v="1"/>
    </i>
    <i i="2">
      <x v="2"/>
    </i>
    <i i="3">
      <x v="3"/>
    </i>
  </colItems>
  <dataFields count="4">
    <dataField name="Uninsured Children (Ages 3-17)" fld="14" baseField="1" baseItem="0" numFmtId="3"/>
    <dataField name="Uninsured NonElderly Adults (Ages 18-20)" fld="15" baseField="1" baseItem="0" numFmtId="3"/>
    <dataField name="Uninsured NonElderly Adults (Ages 21-64)" fld="16" baseField="1" baseItem="0" numFmtId="3"/>
    <dataField name="Total Uninsured NonElderly Population (Ages 3-64)" fld="18" baseField="1" baseItem="0" numFmtId="3"/>
  </dataFields>
  <formats count="39">
    <format dxfId="94">
      <pivotArea dataOnly="0" labelOnly="1" outline="0" axis="axisValues" fieldPosition="0"/>
    </format>
    <format dxfId="93">
      <pivotArea type="all" dataOnly="0" outline="0" fieldPosition="0"/>
    </format>
    <format dxfId="92">
      <pivotArea outline="0" collapsedLevelsAreSubtotals="1" fieldPosition="0"/>
    </format>
    <format dxfId="91">
      <pivotArea dataOnly="0" labelOnly="1" outline="0" axis="axisValues" fieldPosition="0"/>
    </format>
    <format dxfId="90">
      <pivotArea outline="0" fieldPosition="0">
        <references count="1">
          <reference field="4294967294" count="1">
            <x v="2"/>
          </reference>
        </references>
      </pivotArea>
    </format>
    <format dxfId="89">
      <pivotArea outline="0" fieldPosition="0">
        <references count="1">
          <reference field="4294967294" count="1">
            <x v="3"/>
          </reference>
        </references>
      </pivotArea>
    </format>
    <format dxfId="88">
      <pivotArea dataOnly="0" labelOnly="1" outline="0" fieldPosition="0">
        <references count="1">
          <reference field="4294967294" count="3">
            <x v="0"/>
            <x v="2"/>
            <x v="3"/>
          </reference>
        </references>
      </pivotArea>
    </format>
    <format dxfId="87">
      <pivotArea dataOnly="0" labelOnly="1" outline="0" fieldPosition="0">
        <references count="1">
          <reference field="4294967294" count="3">
            <x v="0"/>
            <x v="2"/>
            <x v="3"/>
          </reference>
        </references>
      </pivotArea>
    </format>
    <format dxfId="86">
      <pivotArea dataOnly="0" labelOnly="1" outline="0" fieldPosition="0">
        <references count="1">
          <reference field="4294967294" count="3">
            <x v="0"/>
            <x v="2"/>
            <x v="3"/>
          </reference>
        </references>
      </pivotArea>
    </format>
    <format dxfId="85">
      <pivotArea field="0" type="button" dataOnly="0" labelOnly="1" outline="0" axis="axisRow" fieldPosition="1"/>
    </format>
    <format dxfId="84">
      <pivotArea dataOnly="0" labelOnly="1" outline="0" fieldPosition="0">
        <references count="1">
          <reference field="4294967294" count="3">
            <x v="0"/>
            <x v="2"/>
            <x v="3"/>
          </reference>
        </references>
      </pivotArea>
    </format>
    <format dxfId="83">
      <pivotArea dataOnly="0" fieldPosition="0">
        <references count="1">
          <reference field="1" count="0"/>
        </references>
      </pivotArea>
    </format>
    <format dxfId="82">
      <pivotArea collapsedLevelsAreSubtotals="1" fieldPosition="0">
        <references count="2">
          <reference field="0" count="4">
            <x v="25"/>
            <x v="31"/>
            <x v="50"/>
            <x v="91"/>
          </reference>
          <reference field="1" count="1" selected="0">
            <x v="0"/>
          </reference>
        </references>
      </pivotArea>
    </format>
    <format dxfId="81">
      <pivotArea dataOnly="0" labelOnly="1" fieldPosition="0">
        <references count="2">
          <reference field="0" count="4">
            <x v="25"/>
            <x v="31"/>
            <x v="50"/>
            <x v="91"/>
          </reference>
          <reference field="1" count="1" selected="0">
            <x v="0"/>
          </reference>
        </references>
      </pivotArea>
    </format>
    <format dxfId="80">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79">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78">
      <pivotArea collapsedLevelsAreSubtotals="1" fieldPosition="0">
        <references count="2">
          <reference field="0" count="4">
            <x v="29"/>
            <x v="33"/>
            <x v="78"/>
            <x v="84"/>
          </reference>
          <reference field="1" count="1" selected="0">
            <x v="2"/>
          </reference>
        </references>
      </pivotArea>
    </format>
    <format dxfId="77">
      <pivotArea dataOnly="0" labelOnly="1" fieldPosition="0">
        <references count="2">
          <reference field="0" count="4">
            <x v="29"/>
            <x v="33"/>
            <x v="78"/>
            <x v="84"/>
          </reference>
          <reference field="1" count="1" selected="0">
            <x v="2"/>
          </reference>
        </references>
      </pivotArea>
    </format>
    <format dxfId="76">
      <pivotArea collapsedLevelsAreSubtotals="1" fieldPosition="0">
        <references count="2">
          <reference field="0" count="12">
            <x v="8"/>
            <x v="23"/>
            <x v="30"/>
            <x v="32"/>
            <x v="39"/>
            <x v="53"/>
            <x v="63"/>
            <x v="77"/>
            <x v="81"/>
            <x v="82"/>
            <x v="95"/>
            <x v="97"/>
          </reference>
          <reference field="1" count="1" selected="0">
            <x v="3"/>
          </reference>
        </references>
      </pivotArea>
    </format>
    <format dxfId="75">
      <pivotArea dataOnly="0" labelOnly="1" fieldPosition="0">
        <references count="2">
          <reference field="0" count="12">
            <x v="8"/>
            <x v="23"/>
            <x v="30"/>
            <x v="32"/>
            <x v="39"/>
            <x v="53"/>
            <x v="63"/>
            <x v="77"/>
            <x v="81"/>
            <x v="82"/>
            <x v="95"/>
            <x v="97"/>
          </reference>
          <reference field="1" count="1" selected="0">
            <x v="3"/>
          </reference>
        </references>
      </pivotArea>
    </format>
    <format dxfId="74">
      <pivotArea collapsedLevelsAreSubtotals="1" fieldPosition="0">
        <references count="2">
          <reference field="0" count="8">
            <x v="11"/>
            <x v="17"/>
            <x v="22"/>
            <x v="35"/>
            <x v="48"/>
            <x v="54"/>
            <x v="85"/>
            <x v="98"/>
          </reference>
          <reference field="1" count="1" selected="0">
            <x v="4"/>
          </reference>
        </references>
      </pivotArea>
    </format>
    <format dxfId="73">
      <pivotArea dataOnly="0" labelOnly="1" fieldPosition="0">
        <references count="2">
          <reference field="0" count="8">
            <x v="11"/>
            <x v="17"/>
            <x v="22"/>
            <x v="35"/>
            <x v="48"/>
            <x v="54"/>
            <x v="85"/>
            <x v="98"/>
          </reference>
          <reference field="1" count="1" selected="0">
            <x v="4"/>
          </reference>
        </references>
      </pivotArea>
    </format>
    <format dxfId="72">
      <pivotArea collapsedLevelsAreSubtotals="1" fieldPosition="0">
        <references count="2">
          <reference field="0" count="9">
            <x v="3"/>
            <x v="40"/>
            <x v="42"/>
            <x v="46"/>
            <x v="52"/>
            <x v="61"/>
            <x v="62"/>
            <x v="75"/>
            <x v="76"/>
          </reference>
          <reference field="1" count="1" selected="0">
            <x v="5"/>
          </reference>
        </references>
      </pivotArea>
    </format>
    <format dxfId="71">
      <pivotArea dataOnly="0" labelOnly="1" fieldPosition="0">
        <references count="2">
          <reference field="0" count="9">
            <x v="3"/>
            <x v="40"/>
            <x v="42"/>
            <x v="46"/>
            <x v="52"/>
            <x v="61"/>
            <x v="62"/>
            <x v="75"/>
            <x v="76"/>
          </reference>
          <reference field="1" count="1" selected="0">
            <x v="5"/>
          </reference>
        </references>
      </pivotArea>
    </format>
    <format dxfId="70">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69">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68">
      <pivotArea dataOnly="0" labelOnly="1" outline="0" fieldPosition="0">
        <references count="1">
          <reference field="4294967294" count="1">
            <x v="1"/>
          </reference>
        </references>
      </pivotArea>
    </format>
    <format dxfId="67">
      <pivotArea dataOnly="0" labelOnly="1" outline="0" fieldPosition="0">
        <references count="1">
          <reference field="4294967294" count="1">
            <x v="1"/>
          </reference>
        </references>
      </pivotArea>
    </format>
    <format dxfId="66">
      <pivotArea dataOnly="0" labelOnly="1" outline="0" fieldPosition="0">
        <references count="1">
          <reference field="4294967294" count="1">
            <x v="1"/>
          </reference>
        </references>
      </pivotArea>
    </format>
    <format dxfId="65">
      <pivotArea outline="0" fieldPosition="0">
        <references count="1">
          <reference field="4294967294" count="1">
            <x v="1"/>
          </reference>
        </references>
      </pivotArea>
    </format>
    <format dxfId="64">
      <pivotArea dataOnly="0" labelOnly="1" outline="0" fieldPosition="0">
        <references count="1">
          <reference field="4294967294" count="1">
            <x v="1"/>
          </reference>
        </references>
      </pivotArea>
    </format>
    <format dxfId="63">
      <pivotArea collapsedLevelsAreSubtotals="1" fieldPosition="0">
        <references count="2">
          <reference field="0" count="15">
            <x v="28"/>
            <x v="29"/>
            <x v="33"/>
            <x v="34"/>
            <x v="38"/>
            <x v="41"/>
            <x v="59"/>
            <x v="67"/>
            <x v="72"/>
            <x v="78"/>
            <x v="79"/>
            <x v="83"/>
            <x v="84"/>
            <x v="89"/>
            <x v="90"/>
          </reference>
          <reference field="1" count="1" selected="0">
            <x v="1"/>
          </reference>
        </references>
      </pivotArea>
    </format>
    <format dxfId="62">
      <pivotArea dataOnly="0" labelOnly="1" fieldPosition="0">
        <references count="2">
          <reference field="0" count="15">
            <x v="28"/>
            <x v="29"/>
            <x v="33"/>
            <x v="34"/>
            <x v="38"/>
            <x v="41"/>
            <x v="59"/>
            <x v="67"/>
            <x v="72"/>
            <x v="78"/>
            <x v="79"/>
            <x v="83"/>
            <x v="84"/>
            <x v="89"/>
            <x v="90"/>
          </reference>
          <reference field="1" count="1" selected="0">
            <x v="1"/>
          </reference>
        </references>
      </pivotArea>
    </format>
    <format dxfId="61">
      <pivotArea outline="0" collapsedLevelsAreSubtotals="1" fieldPosition="0"/>
    </format>
    <format dxfId="60">
      <pivotArea dataOnly="0" labelOnly="1" fieldPosition="0">
        <references count="1">
          <reference field="1" count="0"/>
        </references>
      </pivotArea>
    </format>
    <format dxfId="59">
      <pivotArea dataOnly="0" labelOnly="1" grandRow="1" outline="0" fieldPosition="0"/>
    </format>
    <format dxfId="58">
      <pivotArea dataOnly="0" labelOnly="1" fieldPosition="0">
        <references count="2">
          <reference field="0" count="50">
            <x v="0"/>
            <x v="3"/>
            <x v="8"/>
            <x v="11"/>
            <x v="12"/>
            <x v="16"/>
            <x v="17"/>
            <x v="18"/>
            <x v="22"/>
            <x v="23"/>
            <x v="25"/>
            <x v="28"/>
            <x v="29"/>
            <x v="30"/>
            <x v="31"/>
            <x v="32"/>
            <x v="33"/>
            <x v="34"/>
            <x v="35"/>
            <x v="38"/>
            <x v="39"/>
            <x v="40"/>
            <x v="41"/>
            <x v="42"/>
            <x v="46"/>
            <x v="48"/>
            <x v="50"/>
            <x v="52"/>
            <x v="53"/>
            <x v="54"/>
            <x v="59"/>
            <x v="61"/>
            <x v="63"/>
            <x v="67"/>
            <x v="72"/>
            <x v="77"/>
            <x v="78"/>
            <x v="79"/>
            <x v="81"/>
            <x v="82"/>
            <x v="83"/>
            <x v="84"/>
            <x v="85"/>
            <x v="89"/>
            <x v="90"/>
            <x v="91"/>
            <x v="92"/>
            <x v="95"/>
            <x v="97"/>
            <x v="98"/>
          </reference>
          <reference field="1" count="1" selected="0">
            <x v="0"/>
          </reference>
        </references>
      </pivotArea>
    </format>
    <format dxfId="57">
      <pivotArea dataOnly="0" labelOnly="1" fieldPosition="0">
        <references count="2">
          <reference field="0" count="50">
            <x v="1"/>
            <x v="2"/>
            <x v="4"/>
            <x v="5"/>
            <x v="6"/>
            <x v="7"/>
            <x v="9"/>
            <x v="10"/>
            <x v="13"/>
            <x v="14"/>
            <x v="15"/>
            <x v="19"/>
            <x v="20"/>
            <x v="21"/>
            <x v="24"/>
            <x v="26"/>
            <x v="27"/>
            <x v="36"/>
            <x v="37"/>
            <x v="43"/>
            <x v="44"/>
            <x v="45"/>
            <x v="47"/>
            <x v="49"/>
            <x v="51"/>
            <x v="55"/>
            <x v="56"/>
            <x v="57"/>
            <x v="58"/>
            <x v="60"/>
            <x v="62"/>
            <x v="64"/>
            <x v="65"/>
            <x v="66"/>
            <x v="68"/>
            <x v="69"/>
            <x v="70"/>
            <x v="71"/>
            <x v="73"/>
            <x v="74"/>
            <x v="75"/>
            <x v="76"/>
            <x v="80"/>
            <x v="86"/>
            <x v="87"/>
            <x v="88"/>
            <x v="93"/>
            <x v="94"/>
            <x v="96"/>
            <x v="99"/>
          </reference>
          <reference field="1" count="1" selected="0">
            <x v="5"/>
          </reference>
        </references>
      </pivotArea>
    </format>
    <format dxfId="56">
      <pivotArea dataOnly="0" fieldPosition="0">
        <references count="1">
          <reference field="0" count="23">
            <x v="1"/>
            <x v="2"/>
            <x v="4"/>
            <x v="5"/>
            <x v="10"/>
            <x v="13"/>
            <x v="19"/>
            <x v="21"/>
            <x v="37"/>
            <x v="43"/>
            <x v="44"/>
            <x v="49"/>
            <x v="55"/>
            <x v="56"/>
            <x v="58"/>
            <x v="60"/>
            <x v="74"/>
            <x v="80"/>
            <x v="86"/>
            <x v="87"/>
            <x v="94"/>
            <x v="96"/>
            <x v="99"/>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5" minRefreshableVersion="3" asteriskTotals="1" itemPrintTitles="1" createdVersion="4" indent="0" outline="1" outlineData="1" multipleFieldFilters="0" rowHeaderCaption="LME-MCOs and Counties">
  <location ref="A4:F119" firstHeaderRow="0" firstDataRow="1" firstDataCol="1"/>
  <pivotFields count="19">
    <pivotField axis="axisRow" showAll="0">
      <items count="10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t="default"/>
      </items>
    </pivotField>
    <pivotField axis="axisRow" showAll="0" insertBlankRow="1">
      <items count="10">
        <item x="6"/>
        <item x="0"/>
        <item m="1" x="7"/>
        <item x="4"/>
        <item x="5"/>
        <item x="2"/>
        <item m="1" x="8"/>
        <item x="3"/>
        <item x="1"/>
        <item t="default"/>
      </items>
    </pivotField>
    <pivotField showAll="0"/>
    <pivotField numFmtId="167" showAll="0" defaultSubtotal="0"/>
    <pivotField showAll="0"/>
    <pivotField showAll="0"/>
    <pivotField showAll="0"/>
    <pivotField showAll="0"/>
    <pivotField showAll="0"/>
    <pivotField showAll="0"/>
    <pivotField numFmtId="165" showAll="0" defaultSubtotal="0"/>
    <pivotField numFmtId="165" showAll="0" defaultSubtotal="0"/>
    <pivotField numFmtId="165" showAll="0" defaultSubtotal="0"/>
    <pivotField showAll="0"/>
    <pivotField dataField="1" showAll="0"/>
    <pivotField dataField="1" numFmtId="3" showAll="0" defaultSubtotal="0"/>
    <pivotField dataField="1" showAll="0"/>
    <pivotField dataField="1" showAll="0"/>
    <pivotField dataField="1" showAll="0"/>
  </pivotFields>
  <rowFields count="2">
    <field x="1"/>
    <field x="0"/>
  </rowFields>
  <rowItems count="115">
    <i>
      <x/>
    </i>
    <i r="1">
      <x v="25"/>
    </i>
    <i r="1">
      <x v="31"/>
    </i>
    <i r="1">
      <x v="50"/>
    </i>
    <i r="1">
      <x v="91"/>
    </i>
    <i t="blank">
      <x/>
    </i>
    <i>
      <x v="1"/>
    </i>
    <i r="1">
      <x/>
    </i>
    <i r="1">
      <x v="12"/>
    </i>
    <i r="1">
      <x v="16"/>
    </i>
    <i r="1">
      <x v="18"/>
    </i>
    <i r="1">
      <x v="28"/>
    </i>
    <i r="1">
      <x v="29"/>
    </i>
    <i r="1">
      <x v="33"/>
    </i>
    <i r="1">
      <x v="34"/>
    </i>
    <i r="1">
      <x v="38"/>
    </i>
    <i r="1">
      <x v="41"/>
    </i>
    <i r="1">
      <x v="59"/>
    </i>
    <i r="1">
      <x v="67"/>
    </i>
    <i r="1">
      <x v="72"/>
    </i>
    <i r="1">
      <x v="78"/>
    </i>
    <i r="1">
      <x v="79"/>
    </i>
    <i r="1">
      <x v="83"/>
    </i>
    <i r="1">
      <x v="84"/>
    </i>
    <i r="1">
      <x v="89"/>
    </i>
    <i r="1">
      <x v="90"/>
    </i>
    <i r="1">
      <x v="92"/>
    </i>
    <i t="blank">
      <x v="1"/>
    </i>
    <i>
      <x v="3"/>
    </i>
    <i r="1">
      <x v="8"/>
    </i>
    <i r="1">
      <x v="23"/>
    </i>
    <i r="1">
      <x v="30"/>
    </i>
    <i r="1">
      <x v="32"/>
    </i>
    <i r="1">
      <x v="39"/>
    </i>
    <i r="1">
      <x v="53"/>
    </i>
    <i r="1">
      <x v="77"/>
    </i>
    <i r="1">
      <x v="81"/>
    </i>
    <i r="1">
      <x v="82"/>
    </i>
    <i r="1">
      <x v="95"/>
    </i>
    <i r="1">
      <x v="97"/>
    </i>
    <i t="blank">
      <x v="3"/>
    </i>
    <i>
      <x v="4"/>
    </i>
    <i r="1">
      <x v="11"/>
    </i>
    <i r="1">
      <x v="17"/>
    </i>
    <i r="1">
      <x v="22"/>
    </i>
    <i r="1">
      <x v="35"/>
    </i>
    <i r="1">
      <x v="48"/>
    </i>
    <i r="1">
      <x v="54"/>
    </i>
    <i r="1">
      <x v="85"/>
    </i>
    <i r="1">
      <x v="98"/>
    </i>
    <i t="blank">
      <x v="4"/>
    </i>
    <i>
      <x v="5"/>
    </i>
    <i r="1">
      <x v="3"/>
    </i>
    <i r="1">
      <x v="40"/>
    </i>
    <i r="1">
      <x v="42"/>
    </i>
    <i r="1">
      <x v="46"/>
    </i>
    <i r="1">
      <x v="52"/>
    </i>
    <i r="1">
      <x v="61"/>
    </i>
    <i r="1">
      <x v="62"/>
    </i>
    <i r="1">
      <x v="75"/>
    </i>
    <i r="1">
      <x v="76"/>
    </i>
    <i t="blank">
      <x v="5"/>
    </i>
    <i>
      <x v="7"/>
    </i>
    <i r="1">
      <x v="6"/>
    </i>
    <i r="1">
      <x v="7"/>
    </i>
    <i r="1">
      <x v="9"/>
    </i>
    <i r="1">
      <x v="14"/>
    </i>
    <i r="1">
      <x v="15"/>
    </i>
    <i r="1">
      <x v="20"/>
    </i>
    <i r="1">
      <x v="24"/>
    </i>
    <i r="1">
      <x v="26"/>
    </i>
    <i r="1">
      <x v="27"/>
    </i>
    <i r="1">
      <x v="36"/>
    </i>
    <i r="1">
      <x v="45"/>
    </i>
    <i r="1">
      <x v="47"/>
    </i>
    <i r="1">
      <x v="51"/>
    </i>
    <i r="1">
      <x v="57"/>
    </i>
    <i r="1">
      <x v="63"/>
    </i>
    <i r="1">
      <x v="64"/>
    </i>
    <i r="1">
      <x v="65"/>
    </i>
    <i r="1">
      <x v="66"/>
    </i>
    <i r="1">
      <x v="68"/>
    </i>
    <i r="1">
      <x v="69"/>
    </i>
    <i r="1">
      <x v="70"/>
    </i>
    <i r="1">
      <x v="71"/>
    </i>
    <i r="1">
      <x v="73"/>
    </i>
    <i r="1">
      <x v="88"/>
    </i>
    <i r="1">
      <x v="93"/>
    </i>
    <i t="blank">
      <x v="7"/>
    </i>
    <i>
      <x v="8"/>
    </i>
    <i r="1">
      <x v="1"/>
    </i>
    <i r="1">
      <x v="2"/>
    </i>
    <i r="1">
      <x v="4"/>
    </i>
    <i r="1">
      <x v="5"/>
    </i>
    <i r="1">
      <x v="10"/>
    </i>
    <i r="1">
      <x v="13"/>
    </i>
    <i r="1">
      <x v="19"/>
    </i>
    <i r="1">
      <x v="21"/>
    </i>
    <i r="1">
      <x v="37"/>
    </i>
    <i r="1">
      <x v="43"/>
    </i>
    <i r="1">
      <x v="44"/>
    </i>
    <i r="1">
      <x v="49"/>
    </i>
    <i r="1">
      <x v="55"/>
    </i>
    <i r="1">
      <x v="56"/>
    </i>
    <i r="1">
      <x v="58"/>
    </i>
    <i r="1">
      <x v="60"/>
    </i>
    <i r="1">
      <x v="74"/>
    </i>
    <i r="1">
      <x v="80"/>
    </i>
    <i r="1">
      <x v="86"/>
    </i>
    <i r="1">
      <x v="87"/>
    </i>
    <i r="1">
      <x v="94"/>
    </i>
    <i r="1">
      <x v="96"/>
    </i>
    <i r="1">
      <x v="99"/>
    </i>
    <i t="blank">
      <x v="8"/>
    </i>
    <i t="grand">
      <x/>
    </i>
  </rowItems>
  <colFields count="1">
    <field x="-2"/>
  </colFields>
  <colItems count="5">
    <i>
      <x/>
    </i>
    <i i="1">
      <x v="1"/>
    </i>
    <i i="2">
      <x v="2"/>
    </i>
    <i i="3">
      <x v="3"/>
    </i>
    <i i="4">
      <x v="4"/>
    </i>
  </colItems>
  <dataFields count="5">
    <dataField name="Uninsured Children (Ages 3-17)" fld="14" baseField="1" baseItem="0" numFmtId="3"/>
    <dataField name="Uninsured NonElderly Adults (Ages 18-20)" fld="15" baseField="1" baseItem="0" numFmtId="3"/>
    <dataField name="Uninsured NonElderly Adults (Ages 21-64)" fld="16" baseField="1" baseItem="0" numFmtId="3"/>
    <dataField name="Uninsured NonElderly Adults (Ages 18-64)" fld="17" baseField="1" baseItem="0" numFmtId="3"/>
    <dataField name="Total Uninsured NonElderly Population _x000a_(Ages 3-64)" fld="18" baseField="1" baseItem="0" numFmtId="3"/>
  </dataFields>
  <formats count="41">
    <format dxfId="55">
      <pivotArea dataOnly="0" labelOnly="1" outline="0" axis="axisValues" fieldPosition="0"/>
    </format>
    <format dxfId="54">
      <pivotArea type="all" dataOnly="0" outline="0" fieldPosition="0"/>
    </format>
    <format dxfId="53">
      <pivotArea outline="0" collapsedLevelsAreSubtotals="1" fieldPosition="0"/>
    </format>
    <format dxfId="52">
      <pivotArea dataOnly="0" labelOnly="1" outline="0" axis="axisValues" fieldPosition="0"/>
    </format>
    <format dxfId="51">
      <pivotArea outline="0" fieldPosition="0">
        <references count="1">
          <reference field="4294967294" count="1">
            <x v="2"/>
          </reference>
        </references>
      </pivotArea>
    </format>
    <format dxfId="50">
      <pivotArea outline="0" fieldPosition="0">
        <references count="1">
          <reference field="4294967294" count="1">
            <x v="4"/>
          </reference>
        </references>
      </pivotArea>
    </format>
    <format dxfId="49">
      <pivotArea dataOnly="0" labelOnly="1" outline="0" fieldPosition="0">
        <references count="1">
          <reference field="4294967294" count="3">
            <x v="0"/>
            <x v="2"/>
            <x v="4"/>
          </reference>
        </references>
      </pivotArea>
    </format>
    <format dxfId="48">
      <pivotArea dataOnly="0" labelOnly="1" outline="0" fieldPosition="0">
        <references count="1">
          <reference field="4294967294" count="3">
            <x v="0"/>
            <x v="2"/>
            <x v="4"/>
          </reference>
        </references>
      </pivotArea>
    </format>
    <format dxfId="47">
      <pivotArea dataOnly="0" labelOnly="1" outline="0" fieldPosition="0">
        <references count="1">
          <reference field="4294967294" count="3">
            <x v="0"/>
            <x v="2"/>
            <x v="4"/>
          </reference>
        </references>
      </pivotArea>
    </format>
    <format dxfId="46">
      <pivotArea field="0" type="button" dataOnly="0" labelOnly="1" outline="0" axis="axisRow" fieldPosition="1"/>
    </format>
    <format dxfId="45">
      <pivotArea dataOnly="0" labelOnly="1" outline="0" fieldPosition="0">
        <references count="1">
          <reference field="4294967294" count="3">
            <x v="0"/>
            <x v="2"/>
            <x v="4"/>
          </reference>
        </references>
      </pivotArea>
    </format>
    <format dxfId="44">
      <pivotArea dataOnly="0" fieldPosition="0">
        <references count="1">
          <reference field="1" count="0"/>
        </references>
      </pivotArea>
    </format>
    <format dxfId="43">
      <pivotArea collapsedLevelsAreSubtotals="1" fieldPosition="0">
        <references count="2">
          <reference field="0" count="4">
            <x v="25"/>
            <x v="31"/>
            <x v="50"/>
            <x v="91"/>
          </reference>
          <reference field="1" count="1" selected="0">
            <x v="0"/>
          </reference>
        </references>
      </pivotArea>
    </format>
    <format dxfId="42">
      <pivotArea dataOnly="0" labelOnly="1" fieldPosition="0">
        <references count="2">
          <reference field="0" count="4">
            <x v="25"/>
            <x v="31"/>
            <x v="50"/>
            <x v="91"/>
          </reference>
          <reference field="1" count="1" selected="0">
            <x v="0"/>
          </reference>
        </references>
      </pivotArea>
    </format>
    <format dxfId="41">
      <pivotArea collapsedLevelsAreSubtotals="1" fieldPosition="0">
        <references count="2">
          <reference field="0" count="16">
            <x v="0"/>
            <x v="12"/>
            <x v="16"/>
            <x v="18"/>
            <x v="28"/>
            <x v="34"/>
            <x v="38"/>
            <x v="41"/>
            <x v="59"/>
            <x v="67"/>
            <x v="72"/>
            <x v="79"/>
            <x v="83"/>
            <x v="89"/>
            <x v="90"/>
            <x v="92"/>
          </reference>
          <reference field="1" count="1" selected="0">
            <x v="1"/>
          </reference>
        </references>
      </pivotArea>
    </format>
    <format dxfId="40">
      <pivotArea dataOnly="0" labelOnly="1" fieldPosition="0">
        <references count="2">
          <reference field="0" count="16">
            <x v="0"/>
            <x v="12"/>
            <x v="16"/>
            <x v="18"/>
            <x v="28"/>
            <x v="34"/>
            <x v="38"/>
            <x v="41"/>
            <x v="59"/>
            <x v="67"/>
            <x v="72"/>
            <x v="79"/>
            <x v="83"/>
            <x v="89"/>
            <x v="90"/>
            <x v="92"/>
          </reference>
          <reference field="1" count="1" selected="0">
            <x v="1"/>
          </reference>
        </references>
      </pivotArea>
    </format>
    <format dxfId="39">
      <pivotArea collapsedLevelsAreSubtotals="1" fieldPosition="0">
        <references count="2">
          <reference field="0" count="4">
            <x v="29"/>
            <x v="33"/>
            <x v="78"/>
            <x v="84"/>
          </reference>
          <reference field="1" count="1" selected="0">
            <x v="2"/>
          </reference>
        </references>
      </pivotArea>
    </format>
    <format dxfId="38">
      <pivotArea dataOnly="0" labelOnly="1" fieldPosition="0">
        <references count="2">
          <reference field="0" count="4">
            <x v="29"/>
            <x v="33"/>
            <x v="78"/>
            <x v="84"/>
          </reference>
          <reference field="1" count="1" selected="0">
            <x v="2"/>
          </reference>
        </references>
      </pivotArea>
    </format>
    <format dxfId="37">
      <pivotArea collapsedLevelsAreSubtotals="1" fieldPosition="0">
        <references count="2">
          <reference field="0" count="12">
            <x v="8"/>
            <x v="23"/>
            <x v="30"/>
            <x v="32"/>
            <x v="39"/>
            <x v="53"/>
            <x v="63"/>
            <x v="77"/>
            <x v="81"/>
            <x v="82"/>
            <x v="95"/>
            <x v="97"/>
          </reference>
          <reference field="1" count="1" selected="0">
            <x v="3"/>
          </reference>
        </references>
      </pivotArea>
    </format>
    <format dxfId="36">
      <pivotArea dataOnly="0" labelOnly="1" fieldPosition="0">
        <references count="2">
          <reference field="0" count="12">
            <x v="8"/>
            <x v="23"/>
            <x v="30"/>
            <x v="32"/>
            <x v="39"/>
            <x v="53"/>
            <x v="63"/>
            <x v="77"/>
            <x v="81"/>
            <x v="82"/>
            <x v="95"/>
            <x v="97"/>
          </reference>
          <reference field="1" count="1" selected="0">
            <x v="3"/>
          </reference>
        </references>
      </pivotArea>
    </format>
    <format dxfId="35">
      <pivotArea collapsedLevelsAreSubtotals="1" fieldPosition="0">
        <references count="2">
          <reference field="0" count="8">
            <x v="11"/>
            <x v="17"/>
            <x v="22"/>
            <x v="35"/>
            <x v="48"/>
            <x v="54"/>
            <x v="85"/>
            <x v="98"/>
          </reference>
          <reference field="1" count="1" selected="0">
            <x v="4"/>
          </reference>
        </references>
      </pivotArea>
    </format>
    <format dxfId="34">
      <pivotArea dataOnly="0" labelOnly="1" fieldPosition="0">
        <references count="2">
          <reference field="0" count="8">
            <x v="11"/>
            <x v="17"/>
            <x v="22"/>
            <x v="35"/>
            <x v="48"/>
            <x v="54"/>
            <x v="85"/>
            <x v="98"/>
          </reference>
          <reference field="1" count="1" selected="0">
            <x v="4"/>
          </reference>
        </references>
      </pivotArea>
    </format>
    <format dxfId="33">
      <pivotArea collapsedLevelsAreSubtotals="1" fieldPosition="0">
        <references count="2">
          <reference field="0" count="9">
            <x v="3"/>
            <x v="40"/>
            <x v="42"/>
            <x v="46"/>
            <x v="52"/>
            <x v="61"/>
            <x v="62"/>
            <x v="75"/>
            <x v="76"/>
          </reference>
          <reference field="1" count="1" selected="0">
            <x v="5"/>
          </reference>
        </references>
      </pivotArea>
    </format>
    <format dxfId="32">
      <pivotArea dataOnly="0" labelOnly="1" fieldPosition="0">
        <references count="2">
          <reference field="0" count="9">
            <x v="3"/>
            <x v="40"/>
            <x v="42"/>
            <x v="46"/>
            <x v="52"/>
            <x v="61"/>
            <x v="62"/>
            <x v="75"/>
            <x v="76"/>
          </reference>
          <reference field="1" count="1" selected="0">
            <x v="5"/>
          </reference>
        </references>
      </pivotArea>
    </format>
    <format dxfId="31">
      <pivotArea collapsedLevelsAreSubtotals="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30">
      <pivotArea dataOnly="0" labelOnly="1" fieldPosition="0">
        <references count="2">
          <reference field="0" count="23">
            <x v="1"/>
            <x v="2"/>
            <x v="4"/>
            <x v="5"/>
            <x v="10"/>
            <x v="13"/>
            <x v="19"/>
            <x v="21"/>
            <x v="37"/>
            <x v="43"/>
            <x v="44"/>
            <x v="49"/>
            <x v="55"/>
            <x v="56"/>
            <x v="58"/>
            <x v="60"/>
            <x v="74"/>
            <x v="80"/>
            <x v="86"/>
            <x v="87"/>
            <x v="94"/>
            <x v="96"/>
            <x v="99"/>
          </reference>
          <reference field="1" count="1" selected="0">
            <x v="6"/>
          </reference>
        </references>
      </pivotArea>
    </format>
    <format dxfId="29">
      <pivotArea collapsedLevelsAreSubtotals="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28">
      <pivotArea dataOnly="0" labelOnly="1" fieldPosition="0">
        <references count="2">
          <reference field="0" count="24">
            <x v="6"/>
            <x v="7"/>
            <x v="9"/>
            <x v="14"/>
            <x v="15"/>
            <x v="20"/>
            <x v="24"/>
            <x v="26"/>
            <x v="27"/>
            <x v="36"/>
            <x v="45"/>
            <x v="47"/>
            <x v="51"/>
            <x v="57"/>
            <x v="64"/>
            <x v="65"/>
            <x v="66"/>
            <x v="68"/>
            <x v="69"/>
            <x v="70"/>
            <x v="71"/>
            <x v="73"/>
            <x v="88"/>
            <x v="93"/>
          </reference>
          <reference field="1" count="1" selected="0">
            <x v="7"/>
          </reference>
        </references>
      </pivotArea>
    </format>
    <format dxfId="27">
      <pivotArea dataOnly="0" labelOnly="1" outline="0" fieldPosition="0">
        <references count="1">
          <reference field="4294967294" count="1">
            <x v="1"/>
          </reference>
        </references>
      </pivotArea>
    </format>
    <format dxfId="26">
      <pivotArea dataOnly="0" labelOnly="1" outline="0" fieldPosition="0">
        <references count="1">
          <reference field="4294967294" count="1">
            <x v="1"/>
          </reference>
        </references>
      </pivotArea>
    </format>
    <format dxfId="25">
      <pivotArea dataOnly="0" labelOnly="1" outline="0" fieldPosition="0">
        <references count="1">
          <reference field="4294967294" count="1">
            <x v="1"/>
          </reference>
        </references>
      </pivotArea>
    </format>
    <format dxfId="24">
      <pivotArea outline="0" fieldPosition="0">
        <references count="1">
          <reference field="4294967294" count="1">
            <x v="1"/>
          </reference>
        </references>
      </pivotArea>
    </format>
    <format dxfId="23">
      <pivotArea dataOnly="0" labelOnly="1" outline="0" fieldPosition="0">
        <references count="1">
          <reference field="4294967294" count="1">
            <x v="1"/>
          </reference>
        </references>
      </pivotArea>
    </format>
    <format dxfId="22">
      <pivotArea collapsedLevelsAreSubtotals="1" fieldPosition="0">
        <references count="2">
          <reference field="0" count="15">
            <x v="28"/>
            <x v="29"/>
            <x v="33"/>
            <x v="34"/>
            <x v="38"/>
            <x v="41"/>
            <x v="59"/>
            <x v="67"/>
            <x v="72"/>
            <x v="78"/>
            <x v="79"/>
            <x v="83"/>
            <x v="84"/>
            <x v="89"/>
            <x v="90"/>
          </reference>
          <reference field="1" count="1" selected="0">
            <x v="1"/>
          </reference>
        </references>
      </pivotArea>
    </format>
    <format dxfId="21">
      <pivotArea dataOnly="0" labelOnly="1" fieldPosition="0">
        <references count="2">
          <reference field="0" count="15">
            <x v="28"/>
            <x v="29"/>
            <x v="33"/>
            <x v="34"/>
            <x v="38"/>
            <x v="41"/>
            <x v="59"/>
            <x v="67"/>
            <x v="72"/>
            <x v="78"/>
            <x v="79"/>
            <x v="83"/>
            <x v="84"/>
            <x v="89"/>
            <x v="90"/>
          </reference>
          <reference field="1" count="1" selected="0">
            <x v="1"/>
          </reference>
        </references>
      </pivotArea>
    </format>
    <format dxfId="20">
      <pivotArea dataOnly="0" fieldPosition="0">
        <references count="2">
          <reference field="0" count="23">
            <x v="1"/>
            <x v="2"/>
            <x v="4"/>
            <x v="5"/>
            <x v="10"/>
            <x v="13"/>
            <x v="19"/>
            <x v="21"/>
            <x v="37"/>
            <x v="43"/>
            <x v="44"/>
            <x v="49"/>
            <x v="55"/>
            <x v="56"/>
            <x v="58"/>
            <x v="60"/>
            <x v="74"/>
            <x v="80"/>
            <x v="86"/>
            <x v="87"/>
            <x v="94"/>
            <x v="96"/>
            <x v="99"/>
          </reference>
          <reference field="1" count="1" selected="0">
            <x v="8"/>
          </reference>
        </references>
      </pivotArea>
    </format>
    <format dxfId="19">
      <pivotArea outline="0" fieldPosition="0">
        <references count="1">
          <reference field="4294967294" count="1">
            <x v="3"/>
          </reference>
        </references>
      </pivotArea>
    </format>
    <format dxfId="18">
      <pivotArea dataOnly="0" labelOnly="1" outline="0" fieldPosition="0">
        <references count="1">
          <reference field="4294967294" count="1">
            <x v="3"/>
          </reference>
        </references>
      </pivotArea>
    </format>
    <format dxfId="17">
      <pivotArea dataOnly="0" labelOnly="1" outline="0" fieldPosition="0">
        <references count="1">
          <reference field="4294967294" count="1">
            <x v="3"/>
          </reference>
        </references>
      </pivotArea>
    </format>
    <format dxfId="16">
      <pivotArea dataOnly="0" labelOnly="1" outline="0" fieldPosition="0">
        <references count="1">
          <reference field="4294967294" count="1">
            <x v="3"/>
          </reference>
        </references>
      </pivotArea>
    </format>
    <format dxfId="15">
      <pivotArea dataOnly="0" labelOnly="1" outline="0" fieldPosition="0">
        <references count="1">
          <reference field="4294967294" count="1">
            <x v="3"/>
          </reference>
        </references>
      </pivotArea>
    </format>
  </formats>
  <pivotTableStyleInfo name="PivotStyleLight2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xml"/><Relationship Id="rId1" Type="http://schemas.openxmlformats.org/officeDocument/2006/relationships/printerSettings" Target="../printerSettings/printerSettings33.bin"/><Relationship Id="rId4" Type="http://schemas.openxmlformats.org/officeDocument/2006/relationships/comments" Target="../comments20.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xml"/><Relationship Id="rId1" Type="http://schemas.openxmlformats.org/officeDocument/2006/relationships/printerSettings" Target="../printerSettings/printerSettings34.bin"/><Relationship Id="rId4" Type="http://schemas.openxmlformats.org/officeDocument/2006/relationships/comments" Target="../comments21.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4.xml"/><Relationship Id="rId1" Type="http://schemas.openxmlformats.org/officeDocument/2006/relationships/printerSettings" Target="../printerSettings/printerSettings35.bin"/><Relationship Id="rId4" Type="http://schemas.openxmlformats.org/officeDocument/2006/relationships/comments" Target="../comments22.xm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ivotTable" Target="../pivotTables/pivotTable1.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5.xml"/><Relationship Id="rId1" Type="http://schemas.openxmlformats.org/officeDocument/2006/relationships/printerSettings" Target="../printerSettings/printerSettings37.bin"/><Relationship Id="rId4" Type="http://schemas.openxmlformats.org/officeDocument/2006/relationships/comments" Target="../comments23.xm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ivotTable" Target="../pivotTables/pivotTable2.x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ivotTable" Target="../pivotTables/pivotTable3.xm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ivotTable" Target="../pivotTables/pivotTable4.xm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4.bin"/><Relationship Id="rId1" Type="http://schemas.openxmlformats.org/officeDocument/2006/relationships/pivotTable" Target="../pivotTables/pivotTable5.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4"/>
    <pageSetUpPr fitToPage="1"/>
  </sheetPr>
  <dimension ref="A1:N15"/>
  <sheetViews>
    <sheetView showGridLines="0" tabSelected="1" zoomScaleNormal="100" zoomScaleSheetLayoutView="100" workbookViewId="0">
      <selection activeCell="E7" sqref="E7:I7"/>
    </sheetView>
  </sheetViews>
  <sheetFormatPr defaultRowHeight="12.75" x14ac:dyDescent="0.2"/>
  <cols>
    <col min="1" max="6" width="13.7109375" style="11" customWidth="1"/>
    <col min="7" max="7" width="2.7109375" style="11" customWidth="1"/>
    <col min="8" max="14" width="13.7109375" style="11" customWidth="1"/>
    <col min="15" max="16384" width="9.140625" style="11"/>
  </cols>
  <sheetData>
    <row r="1" spans="1:14" s="6" customFormat="1" ht="24.75" customHeight="1" x14ac:dyDescent="0.3">
      <c r="A1" s="28" t="s">
        <v>12</v>
      </c>
      <c r="B1" s="16"/>
      <c r="C1" s="15"/>
      <c r="D1" s="15"/>
      <c r="E1" s="15"/>
      <c r="F1" s="15"/>
      <c r="G1" s="15"/>
      <c r="H1" s="15"/>
      <c r="I1" s="15"/>
      <c r="J1" s="15"/>
      <c r="K1" s="15"/>
      <c r="L1" s="15"/>
      <c r="M1" s="15"/>
      <c r="N1" s="15"/>
    </row>
    <row r="2" spans="1:14" s="6" customFormat="1" ht="24.75" customHeight="1" x14ac:dyDescent="0.2">
      <c r="A2" s="18" t="s">
        <v>196</v>
      </c>
      <c r="B2" s="17"/>
      <c r="C2" s="15"/>
      <c r="D2" s="15"/>
      <c r="E2" s="15"/>
      <c r="F2" s="15"/>
      <c r="G2" s="15"/>
      <c r="H2" s="15"/>
      <c r="I2" s="15"/>
      <c r="J2" s="15"/>
      <c r="K2" s="15"/>
      <c r="L2" s="15"/>
      <c r="M2" s="15"/>
      <c r="N2" s="15"/>
    </row>
    <row r="3" spans="1:14" s="6" customFormat="1" ht="24.75" customHeight="1" x14ac:dyDescent="0.2">
      <c r="A3" s="20"/>
      <c r="C3" s="14"/>
      <c r="E3" s="19" t="s">
        <v>194</v>
      </c>
      <c r="F3" s="554">
        <v>2018</v>
      </c>
      <c r="G3" s="555"/>
      <c r="H3" s="556"/>
      <c r="I3" s="21" t="str">
        <f>IF(F3="","&lt;--- Enter State Fiscal Year (YYYY)","")</f>
        <v/>
      </c>
      <c r="J3" s="7"/>
      <c r="K3" s="7"/>
      <c r="L3" s="7"/>
      <c r="M3" s="7"/>
      <c r="N3" s="7"/>
    </row>
    <row r="4" spans="1:14" s="6" customFormat="1" ht="24.75" customHeight="1" x14ac:dyDescent="0.2">
      <c r="A4" s="20"/>
      <c r="C4" s="14"/>
      <c r="E4" s="19" t="s">
        <v>195</v>
      </c>
      <c r="F4" s="554" t="s">
        <v>460</v>
      </c>
      <c r="G4" s="555"/>
      <c r="H4" s="556"/>
      <c r="I4" s="21" t="str">
        <f>IF(F4="","&lt;--- Enter Report Quarter","")</f>
        <v/>
      </c>
      <c r="J4" s="7"/>
      <c r="K4" s="7"/>
      <c r="L4" s="7"/>
      <c r="M4" s="7"/>
      <c r="N4" s="7"/>
    </row>
    <row r="5" spans="1:14" s="6" customFormat="1" ht="24.75" customHeight="1" x14ac:dyDescent="0.2">
      <c r="B5" s="14"/>
      <c r="C5" s="14"/>
      <c r="D5" s="14"/>
      <c r="E5" s="14"/>
      <c r="F5" s="14"/>
      <c r="H5" s="14"/>
      <c r="I5" s="7"/>
      <c r="J5" s="7"/>
      <c r="K5" s="7"/>
      <c r="L5" s="7"/>
      <c r="M5" s="7"/>
      <c r="N5" s="7"/>
    </row>
    <row r="6" spans="1:14" s="6" customFormat="1" ht="24.75" customHeight="1" x14ac:dyDescent="0.2">
      <c r="B6" s="17"/>
      <c r="C6" s="26"/>
      <c r="D6" s="26"/>
      <c r="E6" s="25" t="s">
        <v>1</v>
      </c>
      <c r="F6" s="26"/>
      <c r="G6" s="17"/>
      <c r="H6" s="26"/>
      <c r="I6" s="26"/>
      <c r="J6" s="10"/>
      <c r="K6" s="27"/>
      <c r="L6" s="26"/>
      <c r="M6" s="27"/>
      <c r="N6" s="27"/>
    </row>
    <row r="7" spans="1:14" s="6" customFormat="1" ht="30" customHeight="1" x14ac:dyDescent="0.2">
      <c r="A7" s="5"/>
      <c r="B7" s="7"/>
      <c r="D7" s="24" t="s">
        <v>2</v>
      </c>
      <c r="E7" s="557"/>
      <c r="F7" s="558"/>
      <c r="G7" s="558"/>
      <c r="H7" s="558"/>
      <c r="I7" s="559"/>
      <c r="J7" s="21" t="str">
        <f>IF(E7="","&lt;--- Enter Name of LME-MCO for the SFY and Report Quarter","")</f>
        <v>&lt;--- Enter Name of LME-MCO for the SFY and Report Quarter</v>
      </c>
      <c r="K7" s="10"/>
      <c r="L7" s="7"/>
      <c r="M7" s="2"/>
      <c r="N7" s="10"/>
    </row>
    <row r="8" spans="1:14" s="6" customFormat="1" ht="30" customHeight="1" x14ac:dyDescent="0.2">
      <c r="A8" s="5"/>
      <c r="B8" s="7"/>
      <c r="D8" s="24" t="s">
        <v>9</v>
      </c>
      <c r="E8" s="29" t="s">
        <v>10</v>
      </c>
      <c r="F8" s="15"/>
      <c r="G8" s="15"/>
      <c r="H8" s="27"/>
      <c r="I8" s="15"/>
      <c r="J8" s="2"/>
      <c r="K8" s="10"/>
      <c r="L8" s="7"/>
      <c r="M8" s="2"/>
      <c r="N8" s="10"/>
    </row>
    <row r="9" spans="1:14" s="6" customFormat="1" ht="30" customHeight="1" x14ac:dyDescent="0.2">
      <c r="A9" s="5"/>
      <c r="B9" s="7"/>
      <c r="D9" s="24" t="s">
        <v>25</v>
      </c>
      <c r="E9" s="548"/>
      <c r="F9" s="549"/>
      <c r="G9" s="549"/>
      <c r="H9" s="549"/>
      <c r="I9" s="550"/>
      <c r="J9" s="21" t="str">
        <f>IF(E9="","&lt;--- Enter Name of CEO","")</f>
        <v>&lt;--- Enter Name of CEO</v>
      </c>
      <c r="K9" s="10"/>
      <c r="L9" s="10"/>
      <c r="M9" s="10"/>
      <c r="N9" s="10"/>
    </row>
    <row r="10" spans="1:14" s="6" customFormat="1" ht="30" customHeight="1" x14ac:dyDescent="0.2">
      <c r="A10" s="5"/>
      <c r="B10" s="7"/>
      <c r="D10" s="24" t="s">
        <v>26</v>
      </c>
      <c r="E10" s="548"/>
      <c r="F10" s="549"/>
      <c r="G10" s="549"/>
      <c r="H10" s="549"/>
      <c r="I10" s="550"/>
      <c r="J10" s="21" t="str">
        <f>IF(E10="","&lt;--- Enter Name of Contract Manager","")</f>
        <v>&lt;--- Enter Name of Contract Manager</v>
      </c>
      <c r="K10" s="10"/>
      <c r="L10" s="7"/>
      <c r="M10" s="10"/>
      <c r="N10" s="10"/>
    </row>
    <row r="11" spans="1:14" s="6" customFormat="1" ht="30" customHeight="1" x14ac:dyDescent="0.2">
      <c r="A11" s="4"/>
      <c r="B11" s="7"/>
      <c r="D11" s="24" t="s">
        <v>24</v>
      </c>
      <c r="E11" s="548"/>
      <c r="F11" s="549"/>
      <c r="G11" s="549"/>
      <c r="H11" s="549"/>
      <c r="I11" s="550"/>
      <c r="J11" s="21" t="str">
        <f>IF(E11="","&lt;--- Enter Name of Person Completing Report","")</f>
        <v>&lt;--- Enter Name of Person Completing Report</v>
      </c>
      <c r="K11" s="10"/>
      <c r="L11" s="7"/>
      <c r="M11" s="10"/>
      <c r="N11" s="10"/>
    </row>
    <row r="12" spans="1:14" s="6" customFormat="1" ht="30" customHeight="1" x14ac:dyDescent="0.2">
      <c r="A12" s="3"/>
      <c r="B12" s="8"/>
      <c r="D12" s="24" t="s">
        <v>27</v>
      </c>
      <c r="E12" s="551"/>
      <c r="F12" s="552"/>
      <c r="G12" s="552"/>
      <c r="H12" s="552"/>
      <c r="I12" s="553"/>
      <c r="J12" s="21" t="str">
        <f>IF(E12="","&lt;--- Enter Date Report Completed","")</f>
        <v>&lt;--- Enter Date Report Completed</v>
      </c>
      <c r="K12" s="9"/>
      <c r="L12" s="9"/>
      <c r="M12" s="9"/>
      <c r="N12" s="9"/>
    </row>
    <row r="13" spans="1:14" ht="14.25" x14ac:dyDescent="0.2">
      <c r="A13" s="12"/>
      <c r="B13" s="13"/>
      <c r="C13" s="13"/>
      <c r="D13" s="13"/>
      <c r="E13" s="13"/>
      <c r="F13" s="13"/>
      <c r="H13" s="13"/>
      <c r="I13" s="13"/>
      <c r="J13" s="13"/>
      <c r="K13" s="13"/>
      <c r="L13" s="13"/>
      <c r="M13" s="13"/>
      <c r="N13" s="13"/>
    </row>
    <row r="14" spans="1:14" ht="14.25" x14ac:dyDescent="0.2">
      <c r="A14" s="12"/>
      <c r="B14" s="13"/>
      <c r="C14" s="13"/>
      <c r="D14" s="13"/>
      <c r="E14" s="13"/>
      <c r="F14" s="13"/>
      <c r="H14" s="13"/>
      <c r="I14" s="13"/>
      <c r="J14" s="13"/>
      <c r="K14" s="13"/>
      <c r="L14" s="13"/>
      <c r="M14" s="13"/>
      <c r="N14" s="13"/>
    </row>
    <row r="15" spans="1:14" ht="14.25" x14ac:dyDescent="0.2">
      <c r="A15" s="12"/>
      <c r="B15" s="13"/>
      <c r="C15" s="13"/>
      <c r="D15" s="13"/>
      <c r="E15" s="13"/>
      <c r="F15" s="13"/>
      <c r="H15" s="13"/>
      <c r="I15" s="13"/>
      <c r="J15" s="13"/>
      <c r="K15" s="13"/>
      <c r="L15" s="13"/>
      <c r="M15" s="13"/>
      <c r="N15" s="13"/>
    </row>
  </sheetData>
  <sheetProtection sheet="1" objects="1" scenarios="1" selectLockedCells="1"/>
  <mergeCells count="7">
    <mergeCell ref="E10:I10"/>
    <mergeCell ref="E11:I11"/>
    <mergeCell ref="E12:I12"/>
    <mergeCell ref="F3:H3"/>
    <mergeCell ref="E7:I7"/>
    <mergeCell ref="E9:I9"/>
    <mergeCell ref="F4:H4"/>
  </mergeCells>
  <phoneticPr fontId="12" type="noConversion"/>
  <conditionalFormatting sqref="F3:H3">
    <cfRule type="expression" dxfId="950" priority="9">
      <formula>$F$3=""</formula>
    </cfRule>
  </conditionalFormatting>
  <conditionalFormatting sqref="E7:I7">
    <cfRule type="expression" dxfId="949" priority="8">
      <formula>$E7=""</formula>
    </cfRule>
  </conditionalFormatting>
  <conditionalFormatting sqref="E9:I9">
    <cfRule type="expression" dxfId="948" priority="5">
      <formula>$E$9=""</formula>
    </cfRule>
  </conditionalFormatting>
  <conditionalFormatting sqref="E10:I10">
    <cfRule type="expression" dxfId="947" priority="4">
      <formula>$E$10=""</formula>
    </cfRule>
  </conditionalFormatting>
  <conditionalFormatting sqref="E11:I11">
    <cfRule type="expression" dxfId="946" priority="3">
      <formula>$E$11=""</formula>
    </cfRule>
  </conditionalFormatting>
  <conditionalFormatting sqref="E12:I12">
    <cfRule type="expression" dxfId="945" priority="2">
      <formula>$E$12=""</formula>
    </cfRule>
  </conditionalFormatting>
  <conditionalFormatting sqref="F4:H4">
    <cfRule type="expression" dxfId="944" priority="1">
      <formula>$F4=""</formula>
    </cfRule>
  </conditionalFormatting>
  <dataValidations count="3">
    <dataValidation type="list" operator="greaterThan" allowBlank="1" showInputMessage="1" showErrorMessage="1" prompt="Enter or Select the last 4 digits of the &quot;SFY&quot; from the drop-down list provided (e.g. SFY2013-2014 would be entered as &quot;2014&quot;)." sqref="F3">
      <formula1>"2012,2013,2014,2015,2016,2017,2018,2019,2020,2021,2022,2023,2024,2025"</formula1>
    </dataValidation>
    <dataValidation type="list" allowBlank="1" showInputMessage="1" showErrorMessage="1" prompt="Select the LME-MCO from the drop-down list." sqref="E7">
      <formula1>LME_MCO</formula1>
    </dataValidation>
    <dataValidation type="list" operator="greaterThan" allowBlank="1" showInputMessage="1" showErrorMessage="1" prompt="Select the &quot;Report Quarter&quot; from the drop-down list provided." sqref="F4">
      <formula1>"1st Quarter,2nd Quarter,3rd Quarter,4th Quarter"</formula1>
    </dataValidation>
  </dataValidations>
  <printOptions horizontalCentered="1"/>
  <pageMargins left="0.3" right="0.3" top="0.5" bottom="0.5" header="0.3" footer="0.3"/>
  <pageSetup scale="74" fitToHeight="0" orientation="landscape" r:id="rId1"/>
  <headerFooter alignWithMargins="0">
    <oddFooter>Page &amp;P of &amp;N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AH45"/>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x14ac:dyDescent="0.2"/>
  <cols>
    <col min="1" max="1" width="22.42578125" style="22" customWidth="1"/>
    <col min="2" max="6" width="18.7109375" style="22" customWidth="1"/>
    <col min="7" max="7" width="16.7109375" style="22" customWidth="1"/>
    <col min="8" max="13" width="18.7109375" style="22" customWidth="1"/>
    <col min="14" max="14" width="16.7109375" style="22" customWidth="1"/>
    <col min="15" max="20" width="18.7109375" style="22" customWidth="1"/>
    <col min="21" max="21" width="16.7109375" style="22" customWidth="1"/>
    <col min="22" max="22" width="18.7109375" style="22" customWidth="1"/>
    <col min="23" max="23" width="8.85546875" style="22" bestFit="1" customWidth="1"/>
    <col min="24" max="16384" width="9.140625" style="22"/>
  </cols>
  <sheetData>
    <row r="1" spans="1:34" ht="15" customHeight="1" x14ac:dyDescent="0.2">
      <c r="A1" s="36" t="s">
        <v>28</v>
      </c>
      <c r="I1" s="30" t="s">
        <v>329</v>
      </c>
      <c r="P1" s="30" t="s">
        <v>329</v>
      </c>
    </row>
    <row r="2" spans="1:34" ht="15" customHeight="1" x14ac:dyDescent="0.2">
      <c r="A2" s="36" t="s">
        <v>196</v>
      </c>
      <c r="I2" s="321" t="s">
        <v>330</v>
      </c>
      <c r="P2" s="321" t="s">
        <v>330</v>
      </c>
    </row>
    <row r="3" spans="1:34" ht="15" customHeight="1" x14ac:dyDescent="0.2">
      <c r="A3" s="30" t="s">
        <v>194</v>
      </c>
      <c r="C3" s="147">
        <f>IF('Set-Up Worksheet'!F3="","Data Not Entered On Set-Up Worksheet",'Set-Up Worksheet'!F3)</f>
        <v>2018</v>
      </c>
      <c r="G3" s="147"/>
      <c r="J3" s="147">
        <f t="shared" ref="J3:J11" si="0">C3</f>
        <v>2018</v>
      </c>
      <c r="N3" s="147"/>
      <c r="Q3" s="147">
        <f t="shared" ref="Q3:Q11" si="1">C3</f>
        <v>2018</v>
      </c>
      <c r="U3" s="147"/>
    </row>
    <row r="4" spans="1:34" ht="15" customHeight="1" x14ac:dyDescent="0.2">
      <c r="A4" s="30" t="s">
        <v>195</v>
      </c>
      <c r="C4" s="147" t="str">
        <f>IF('Set-Up Worksheet'!F4="","Data Not Entered On Set-Up Worksheet",'Set-Up Worksheet'!F4)</f>
        <v>1st Quarter</v>
      </c>
      <c r="G4" s="147"/>
      <c r="J4" s="147" t="str">
        <f t="shared" si="0"/>
        <v>1st Quarter</v>
      </c>
      <c r="N4" s="147"/>
      <c r="Q4" s="147" t="str">
        <f t="shared" si="1"/>
        <v>1st Quarter</v>
      </c>
      <c r="U4" s="147"/>
    </row>
    <row r="5" spans="1:34" ht="15" customHeight="1" x14ac:dyDescent="0.2">
      <c r="A5" s="30"/>
      <c r="C5" s="32"/>
      <c r="G5" s="32"/>
      <c r="J5" s="39"/>
      <c r="N5" s="32"/>
      <c r="Q5" s="39"/>
      <c r="U5" s="32"/>
    </row>
    <row r="6" spans="1:34" ht="15" customHeight="1" x14ac:dyDescent="0.2">
      <c r="A6" s="30" t="s">
        <v>309</v>
      </c>
      <c r="C6" s="32"/>
      <c r="G6" s="32"/>
      <c r="I6" s="30" t="s">
        <v>331</v>
      </c>
      <c r="J6" s="39"/>
      <c r="N6" s="32"/>
      <c r="P6" s="30" t="s">
        <v>331</v>
      </c>
      <c r="Q6" s="39"/>
      <c r="U6" s="32"/>
    </row>
    <row r="7" spans="1:34" ht="15" customHeight="1" x14ac:dyDescent="0.2">
      <c r="A7" s="30" t="s">
        <v>326</v>
      </c>
      <c r="C7" s="32"/>
      <c r="G7" s="32"/>
      <c r="I7" s="30" t="s">
        <v>332</v>
      </c>
      <c r="J7" s="39"/>
      <c r="N7" s="32"/>
      <c r="P7" s="30" t="s">
        <v>332</v>
      </c>
      <c r="Q7" s="39"/>
      <c r="U7" s="32"/>
    </row>
    <row r="8" spans="1:34" ht="15" customHeight="1" x14ac:dyDescent="0.2">
      <c r="A8" s="30"/>
      <c r="C8" s="32"/>
      <c r="G8" s="32"/>
      <c r="J8" s="39"/>
      <c r="N8" s="32"/>
      <c r="Q8" s="39"/>
      <c r="U8" s="32"/>
      <c r="Z8" s="54"/>
      <c r="AA8" s="54"/>
      <c r="AB8" s="55"/>
      <c r="AC8" s="54"/>
      <c r="AD8" s="54"/>
      <c r="AE8" s="54"/>
      <c r="AF8" s="54"/>
      <c r="AG8" s="30"/>
      <c r="AH8" s="35"/>
    </row>
    <row r="9" spans="1:34" ht="15" customHeight="1" x14ac:dyDescent="0.2">
      <c r="A9" s="30" t="s">
        <v>29</v>
      </c>
      <c r="C9" s="39" t="str">
        <f>IF('Set-Up Worksheet'!E7="","Data Not Entered On Set-Up Worksheet",'Set-Up Worksheet'!E7)</f>
        <v>Data Not Entered On Set-Up Worksheet</v>
      </c>
      <c r="G9" s="39"/>
      <c r="J9" s="39" t="str">
        <f t="shared" si="0"/>
        <v>Data Not Entered On Set-Up Worksheet</v>
      </c>
      <c r="N9" s="39"/>
      <c r="Q9" s="39" t="str">
        <f t="shared" si="1"/>
        <v>Data Not Entered On Set-Up Worksheet</v>
      </c>
      <c r="U9" s="39"/>
    </row>
    <row r="10" spans="1:34" ht="15" customHeight="1" x14ac:dyDescent="0.2">
      <c r="A10" s="30" t="s">
        <v>9</v>
      </c>
      <c r="C10" s="32" t="s">
        <v>10</v>
      </c>
      <c r="G10" s="32"/>
      <c r="J10" s="39" t="str">
        <f t="shared" si="0"/>
        <v>Behavioral Health</v>
      </c>
      <c r="N10" s="32"/>
      <c r="Q10" s="39" t="str">
        <f t="shared" si="1"/>
        <v>Behavioral Health</v>
      </c>
      <c r="U10" s="32"/>
    </row>
    <row r="11" spans="1:34" ht="15" customHeight="1" x14ac:dyDescent="0.2">
      <c r="A11" s="30" t="s">
        <v>197</v>
      </c>
      <c r="C11" s="40" t="str">
        <f>IF(C4="Data Not Entered On Set-Up Worksheet","Data Not Entered On Set-Up Worksheet",IF(C4="1st Quarter",'Report Schedule'!D22,IF(C4="2nd Quarter",'Report Schedule'!E22,IF(C4="3rd Quarter",'Report Schedule'!F22,IF(C4="4th Quarter",'Report Schedule'!G22,"")))))</f>
        <v>Apr - Jun 2017</v>
      </c>
      <c r="E11" s="79" t="s">
        <v>40</v>
      </c>
      <c r="G11" s="40"/>
      <c r="J11" s="40" t="str">
        <f t="shared" si="0"/>
        <v>Apr - Jun 2017</v>
      </c>
      <c r="L11" s="79"/>
      <c r="N11" s="40"/>
      <c r="Q11" s="40" t="str">
        <f t="shared" si="1"/>
        <v>Apr - Jun 2017</v>
      </c>
      <c r="S11" s="79"/>
      <c r="U11" s="40"/>
    </row>
    <row r="12" spans="1:34" ht="15" customHeight="1" x14ac:dyDescent="0.2">
      <c r="A12" s="30"/>
      <c r="E12" s="79"/>
      <c r="F12" s="40"/>
      <c r="G12" s="40"/>
      <c r="M12" s="40"/>
      <c r="N12" s="40"/>
      <c r="T12" s="40"/>
      <c r="U12" s="40"/>
    </row>
    <row r="13" spans="1:34" ht="13.5" thickBot="1" x14ac:dyDescent="0.25"/>
    <row r="14" spans="1:34" ht="18" customHeight="1" thickBot="1" x14ac:dyDescent="0.25">
      <c r="A14" s="226" t="s">
        <v>327</v>
      </c>
      <c r="B14" s="382" t="s">
        <v>39</v>
      </c>
      <c r="C14" s="315"/>
      <c r="D14" s="315"/>
      <c r="E14" s="315"/>
      <c r="F14" s="235"/>
      <c r="G14" s="235"/>
      <c r="H14" s="236"/>
      <c r="I14" s="385" t="s">
        <v>241</v>
      </c>
      <c r="J14" s="82"/>
      <c r="K14" s="82"/>
      <c r="L14" s="82"/>
      <c r="M14" s="231"/>
      <c r="N14" s="231"/>
      <c r="O14" s="232"/>
      <c r="P14" s="382" t="s">
        <v>243</v>
      </c>
      <c r="Q14" s="315"/>
      <c r="R14" s="315"/>
      <c r="S14" s="315"/>
      <c r="T14" s="235"/>
      <c r="U14" s="235"/>
      <c r="V14" s="236"/>
    </row>
    <row r="15" spans="1:34" s="35" customFormat="1" ht="13.5" thickBot="1" x14ac:dyDescent="0.25">
      <c r="A15" s="30"/>
      <c r="B15" s="45" t="s">
        <v>320</v>
      </c>
      <c r="C15" s="45"/>
      <c r="D15" s="45"/>
      <c r="E15" s="45" t="s">
        <v>321</v>
      </c>
      <c r="F15" s="57" t="s">
        <v>4</v>
      </c>
      <c r="G15" s="57" t="s">
        <v>322</v>
      </c>
      <c r="H15" s="58" t="s">
        <v>323</v>
      </c>
      <c r="I15" s="45" t="s">
        <v>320</v>
      </c>
      <c r="J15" s="45"/>
      <c r="K15" s="45"/>
      <c r="L15" s="45" t="s">
        <v>321</v>
      </c>
      <c r="M15" s="57" t="s">
        <v>4</v>
      </c>
      <c r="N15" s="57" t="s">
        <v>322</v>
      </c>
      <c r="O15" s="58" t="s">
        <v>323</v>
      </c>
      <c r="P15" s="45" t="s">
        <v>320</v>
      </c>
      <c r="Q15" s="45"/>
      <c r="R15" s="45"/>
      <c r="S15" s="45" t="s">
        <v>321</v>
      </c>
      <c r="T15" s="57" t="s">
        <v>4</v>
      </c>
      <c r="U15" s="57" t="s">
        <v>322</v>
      </c>
      <c r="V15" s="58" t="s">
        <v>323</v>
      </c>
      <c r="W15" s="33"/>
      <c r="X15" s="30"/>
      <c r="Y15" s="30"/>
      <c r="Z15" s="30"/>
      <c r="AA15" s="30"/>
      <c r="AB15" s="30"/>
    </row>
    <row r="16" spans="1:34" ht="63.75" x14ac:dyDescent="0.2">
      <c r="A16" s="75" t="s">
        <v>43</v>
      </c>
      <c r="B16" s="242" t="s">
        <v>316</v>
      </c>
      <c r="C16" s="240" t="s">
        <v>310</v>
      </c>
      <c r="D16" s="240" t="s">
        <v>312</v>
      </c>
      <c r="E16" s="316" t="s">
        <v>317</v>
      </c>
      <c r="F16" s="240" t="s">
        <v>311</v>
      </c>
      <c r="G16" s="314" t="s">
        <v>314</v>
      </c>
      <c r="H16" s="241" t="s">
        <v>313</v>
      </c>
      <c r="I16" s="221" t="s">
        <v>316</v>
      </c>
      <c r="J16" s="67" t="s">
        <v>310</v>
      </c>
      <c r="K16" s="67" t="s">
        <v>312</v>
      </c>
      <c r="L16" s="83" t="s">
        <v>317</v>
      </c>
      <c r="M16" s="67" t="s">
        <v>311</v>
      </c>
      <c r="N16" s="320" t="s">
        <v>314</v>
      </c>
      <c r="O16" s="68" t="s">
        <v>313</v>
      </c>
      <c r="P16" s="242" t="s">
        <v>316</v>
      </c>
      <c r="Q16" s="240" t="s">
        <v>310</v>
      </c>
      <c r="R16" s="240" t="s">
        <v>312</v>
      </c>
      <c r="S16" s="316" t="s">
        <v>317</v>
      </c>
      <c r="T16" s="240" t="s">
        <v>311</v>
      </c>
      <c r="U16" s="314" t="s">
        <v>314</v>
      </c>
      <c r="V16" s="241" t="s">
        <v>313</v>
      </c>
    </row>
    <row r="17" spans="1:22" ht="18" customHeight="1" x14ac:dyDescent="0.2">
      <c r="A17" s="76" t="str">
        <f>IF($C$9="Data Not Entered On Set-Up Worksheet","",IF(OR(VLOOKUP($C$9,County_Lookup,2,FALSE)="",VLOOKUP($C$9,County_Lookup,2,FALSE)=0),"",VLOOKUP($C$9,County_Lookup,2,FALSE)))</f>
        <v/>
      </c>
      <c r="B17" s="222"/>
      <c r="C17" s="224"/>
      <c r="D17" s="224"/>
      <c r="E17" s="222"/>
      <c r="F17" s="61"/>
      <c r="G17" s="318" t="str">
        <f t="shared" ref="G17:G43" si="2">IF($A17="","",IF($F17=0,0,B17/$F17))</f>
        <v/>
      </c>
      <c r="H17" s="70" t="str">
        <f>IF($A17="","",IF($F17=0,0,E17/$F17))</f>
        <v/>
      </c>
      <c r="I17" s="222"/>
      <c r="J17" s="224"/>
      <c r="K17" s="224"/>
      <c r="L17" s="222"/>
      <c r="M17" s="61"/>
      <c r="N17" s="318" t="str">
        <f t="shared" ref="N17:N43" si="3">IF($A17="","",IF($M17=0,0,I17/$M17))</f>
        <v/>
      </c>
      <c r="O17" s="70" t="str">
        <f t="shared" ref="O17:O43" si="4">IF($A17="","",IF($M17=0,0,L17/$M17))</f>
        <v/>
      </c>
      <c r="P17" s="222"/>
      <c r="Q17" s="224"/>
      <c r="R17" s="224"/>
      <c r="S17" s="222"/>
      <c r="T17" s="61"/>
      <c r="U17" s="318" t="str">
        <f t="shared" ref="U17:U43" si="5">IF($A17="","",IF($T17=0,0,P17/$T17))</f>
        <v/>
      </c>
      <c r="V17" s="70" t="str">
        <f t="shared" ref="V17:V43" si="6">IF($A17="","",IF($T17=0,0,S17/$T17))</f>
        <v/>
      </c>
    </row>
    <row r="18" spans="1:22" ht="18" customHeight="1" x14ac:dyDescent="0.2">
      <c r="A18" s="77" t="str">
        <f>IF($C$9="Data Not Entered On Set-Up Worksheet","",IF(OR(VLOOKUP($C$9,County_Lookup,3,FALSE)="",VLOOKUP($C$9,County_Lookup,3,FALSE)=0),"",VLOOKUP($C$9,County_Lookup,3,FALSE)))</f>
        <v/>
      </c>
      <c r="B18" s="222"/>
      <c r="C18" s="224"/>
      <c r="D18" s="224"/>
      <c r="E18" s="222"/>
      <c r="F18" s="61"/>
      <c r="G18" s="318" t="str">
        <f t="shared" si="2"/>
        <v/>
      </c>
      <c r="H18" s="70" t="str">
        <f t="shared" ref="H18:H42" si="7">IF($A18="","",IF($F18=0,0,E18/$F18))</f>
        <v/>
      </c>
      <c r="I18" s="222"/>
      <c r="J18" s="224"/>
      <c r="K18" s="224"/>
      <c r="L18" s="222"/>
      <c r="M18" s="61"/>
      <c r="N18" s="318" t="str">
        <f t="shared" si="3"/>
        <v/>
      </c>
      <c r="O18" s="70" t="str">
        <f t="shared" si="4"/>
        <v/>
      </c>
      <c r="P18" s="222"/>
      <c r="Q18" s="224"/>
      <c r="R18" s="224"/>
      <c r="S18" s="222"/>
      <c r="T18" s="61"/>
      <c r="U18" s="318" t="str">
        <f t="shared" si="5"/>
        <v/>
      </c>
      <c r="V18" s="70" t="str">
        <f t="shared" si="6"/>
        <v/>
      </c>
    </row>
    <row r="19" spans="1:22" ht="18" customHeight="1" x14ac:dyDescent="0.2">
      <c r="A19" s="77" t="str">
        <f>IF($C$9="Data Not Entered On Set-Up Worksheet","",IF(OR(VLOOKUP($C$9,County_Lookup,4,FALSE)="",VLOOKUP($C$9,County_Lookup,4,FALSE)=0),"",VLOOKUP($C$9,County_Lookup,4,FALSE)))</f>
        <v/>
      </c>
      <c r="B19" s="222"/>
      <c r="C19" s="224"/>
      <c r="D19" s="224"/>
      <c r="E19" s="222"/>
      <c r="F19" s="61"/>
      <c r="G19" s="318" t="str">
        <f t="shared" si="2"/>
        <v/>
      </c>
      <c r="H19" s="70" t="str">
        <f t="shared" si="7"/>
        <v/>
      </c>
      <c r="I19" s="222"/>
      <c r="J19" s="224"/>
      <c r="K19" s="224"/>
      <c r="L19" s="222"/>
      <c r="M19" s="61"/>
      <c r="N19" s="318" t="str">
        <f t="shared" si="3"/>
        <v/>
      </c>
      <c r="O19" s="70" t="str">
        <f t="shared" si="4"/>
        <v/>
      </c>
      <c r="P19" s="222"/>
      <c r="Q19" s="224"/>
      <c r="R19" s="224"/>
      <c r="S19" s="222"/>
      <c r="T19" s="61"/>
      <c r="U19" s="318" t="str">
        <f t="shared" si="5"/>
        <v/>
      </c>
      <c r="V19" s="70" t="str">
        <f t="shared" si="6"/>
        <v/>
      </c>
    </row>
    <row r="20" spans="1:22" ht="18" customHeight="1" x14ac:dyDescent="0.2">
      <c r="A20" s="77" t="str">
        <f>IF($C$9="Data Not Entered On Set-Up Worksheet","",IF(OR(VLOOKUP($C$9,County_Lookup,5,FALSE)="",VLOOKUP($C$9,County_Lookup,5,FALSE)=0),"",VLOOKUP($C$9,County_Lookup,5,FALSE)))</f>
        <v/>
      </c>
      <c r="B20" s="222"/>
      <c r="C20" s="224"/>
      <c r="D20" s="224"/>
      <c r="E20" s="222"/>
      <c r="F20" s="61"/>
      <c r="G20" s="318" t="str">
        <f t="shared" si="2"/>
        <v/>
      </c>
      <c r="H20" s="70" t="str">
        <f t="shared" si="7"/>
        <v/>
      </c>
      <c r="I20" s="222"/>
      <c r="J20" s="224"/>
      <c r="K20" s="224"/>
      <c r="L20" s="222"/>
      <c r="M20" s="61"/>
      <c r="N20" s="318" t="str">
        <f t="shared" si="3"/>
        <v/>
      </c>
      <c r="O20" s="70" t="str">
        <f t="shared" si="4"/>
        <v/>
      </c>
      <c r="P20" s="222"/>
      <c r="Q20" s="224"/>
      <c r="R20" s="224"/>
      <c r="S20" s="222"/>
      <c r="T20" s="61"/>
      <c r="U20" s="318" t="str">
        <f t="shared" si="5"/>
        <v/>
      </c>
      <c r="V20" s="70" t="str">
        <f t="shared" si="6"/>
        <v/>
      </c>
    </row>
    <row r="21" spans="1:22" ht="18" customHeight="1" x14ac:dyDescent="0.2">
      <c r="A21" s="77" t="str">
        <f>IF($C$9="Data Not Entered On Set-Up Worksheet","",IF(OR(VLOOKUP($C$9,County_Lookup,6,FALSE)="",VLOOKUP($C$9,County_Lookup,6,FALSE)=0),"",VLOOKUP($C$9,County_Lookup,6,FALSE)))</f>
        <v/>
      </c>
      <c r="B21" s="222"/>
      <c r="C21" s="224"/>
      <c r="D21" s="224"/>
      <c r="E21" s="222"/>
      <c r="F21" s="61"/>
      <c r="G21" s="318" t="str">
        <f t="shared" si="2"/>
        <v/>
      </c>
      <c r="H21" s="70" t="str">
        <f t="shared" si="7"/>
        <v/>
      </c>
      <c r="I21" s="222"/>
      <c r="J21" s="224"/>
      <c r="K21" s="224"/>
      <c r="L21" s="222"/>
      <c r="M21" s="61"/>
      <c r="N21" s="318" t="str">
        <f t="shared" si="3"/>
        <v/>
      </c>
      <c r="O21" s="70" t="str">
        <f t="shared" si="4"/>
        <v/>
      </c>
      <c r="P21" s="222"/>
      <c r="Q21" s="224"/>
      <c r="R21" s="224"/>
      <c r="S21" s="222"/>
      <c r="T21" s="61"/>
      <c r="U21" s="318" t="str">
        <f t="shared" si="5"/>
        <v/>
      </c>
      <c r="V21" s="70" t="str">
        <f t="shared" si="6"/>
        <v/>
      </c>
    </row>
    <row r="22" spans="1:22" ht="18" customHeight="1" x14ac:dyDescent="0.2">
      <c r="A22" s="77" t="str">
        <f>IF($C$9="Data Not Entered On Set-Up Worksheet","",IF(OR(VLOOKUP($C$9,County_Lookup,7,FALSE)="",VLOOKUP($C$9,County_Lookup,7,FALSE)=0),"",VLOOKUP($C$9,County_Lookup,7,FALSE)))</f>
        <v/>
      </c>
      <c r="B22" s="222"/>
      <c r="C22" s="224"/>
      <c r="D22" s="224"/>
      <c r="E22" s="222"/>
      <c r="F22" s="61"/>
      <c r="G22" s="318" t="str">
        <f t="shared" si="2"/>
        <v/>
      </c>
      <c r="H22" s="70" t="str">
        <f t="shared" si="7"/>
        <v/>
      </c>
      <c r="I22" s="222"/>
      <c r="J22" s="224"/>
      <c r="K22" s="224"/>
      <c r="L22" s="222"/>
      <c r="M22" s="61"/>
      <c r="N22" s="318" t="str">
        <f t="shared" si="3"/>
        <v/>
      </c>
      <c r="O22" s="70" t="str">
        <f t="shared" si="4"/>
        <v/>
      </c>
      <c r="P22" s="222"/>
      <c r="Q22" s="224"/>
      <c r="R22" s="224"/>
      <c r="S22" s="222"/>
      <c r="T22" s="61"/>
      <c r="U22" s="318" t="str">
        <f t="shared" si="5"/>
        <v/>
      </c>
      <c r="V22" s="70" t="str">
        <f t="shared" si="6"/>
        <v/>
      </c>
    </row>
    <row r="23" spans="1:22" ht="18" customHeight="1" x14ac:dyDescent="0.2">
      <c r="A23" s="76" t="str">
        <f>IF($C$9="Data Not Entered On Set-Up Worksheet","",IF(OR(VLOOKUP($C$9,County_Lookup,8,FALSE)="",VLOOKUP($C$9,County_Lookup,8,FALSE)=0),"",VLOOKUP($C$9,County_Lookup,8,FALSE)))</f>
        <v/>
      </c>
      <c r="B23" s="222"/>
      <c r="C23" s="224"/>
      <c r="D23" s="224"/>
      <c r="E23" s="222"/>
      <c r="F23" s="61"/>
      <c r="G23" s="318" t="str">
        <f t="shared" si="2"/>
        <v/>
      </c>
      <c r="H23" s="70" t="str">
        <f t="shared" si="7"/>
        <v/>
      </c>
      <c r="I23" s="222"/>
      <c r="J23" s="224"/>
      <c r="K23" s="224"/>
      <c r="L23" s="222"/>
      <c r="M23" s="61"/>
      <c r="N23" s="318" t="str">
        <f t="shared" si="3"/>
        <v/>
      </c>
      <c r="O23" s="70" t="str">
        <f t="shared" si="4"/>
        <v/>
      </c>
      <c r="P23" s="222"/>
      <c r="Q23" s="224"/>
      <c r="R23" s="224"/>
      <c r="S23" s="222"/>
      <c r="T23" s="61"/>
      <c r="U23" s="318" t="str">
        <f t="shared" si="5"/>
        <v/>
      </c>
      <c r="V23" s="70" t="str">
        <f t="shared" si="6"/>
        <v/>
      </c>
    </row>
    <row r="24" spans="1:22" ht="18" customHeight="1" x14ac:dyDescent="0.2">
      <c r="A24" s="77" t="str">
        <f>IF($C$9="Data Not Entered On Set-Up Worksheet","",IF(OR(VLOOKUP($C$9,County_Lookup,9,FALSE)="",VLOOKUP($C$9,County_Lookup,9,FALSE)=0),"",VLOOKUP($C$9,County_Lookup,9,FALSE)))</f>
        <v/>
      </c>
      <c r="B24" s="222"/>
      <c r="C24" s="224"/>
      <c r="D24" s="224"/>
      <c r="E24" s="222"/>
      <c r="F24" s="61"/>
      <c r="G24" s="318" t="str">
        <f t="shared" si="2"/>
        <v/>
      </c>
      <c r="H24" s="70" t="str">
        <f t="shared" si="7"/>
        <v/>
      </c>
      <c r="I24" s="222"/>
      <c r="J24" s="224"/>
      <c r="K24" s="224"/>
      <c r="L24" s="222"/>
      <c r="M24" s="61"/>
      <c r="N24" s="318" t="str">
        <f t="shared" si="3"/>
        <v/>
      </c>
      <c r="O24" s="70" t="str">
        <f t="shared" si="4"/>
        <v/>
      </c>
      <c r="P24" s="222"/>
      <c r="Q24" s="224"/>
      <c r="R24" s="224"/>
      <c r="S24" s="222"/>
      <c r="T24" s="61"/>
      <c r="U24" s="318" t="str">
        <f t="shared" si="5"/>
        <v/>
      </c>
      <c r="V24" s="70" t="str">
        <f t="shared" si="6"/>
        <v/>
      </c>
    </row>
    <row r="25" spans="1:22" ht="18" customHeight="1" x14ac:dyDescent="0.2">
      <c r="A25" s="77" t="str">
        <f>IF($C$9="Data Not Entered On Set-Up Worksheet","",IF(OR(VLOOKUP($C$9,County_Lookup,10,FALSE)="",VLOOKUP($C$9,County_Lookup,10,FALSE)=0),"",VLOOKUP($C$9,County_Lookup,10,FALSE)))</f>
        <v/>
      </c>
      <c r="B25" s="222"/>
      <c r="C25" s="224"/>
      <c r="D25" s="224"/>
      <c r="E25" s="222"/>
      <c r="F25" s="61"/>
      <c r="G25" s="318" t="str">
        <f t="shared" si="2"/>
        <v/>
      </c>
      <c r="H25" s="70" t="str">
        <f t="shared" si="7"/>
        <v/>
      </c>
      <c r="I25" s="222"/>
      <c r="J25" s="224"/>
      <c r="K25" s="224"/>
      <c r="L25" s="222"/>
      <c r="M25" s="61"/>
      <c r="N25" s="318" t="str">
        <f t="shared" si="3"/>
        <v/>
      </c>
      <c r="O25" s="70" t="str">
        <f t="shared" si="4"/>
        <v/>
      </c>
      <c r="P25" s="222"/>
      <c r="Q25" s="224"/>
      <c r="R25" s="224"/>
      <c r="S25" s="222"/>
      <c r="T25" s="61"/>
      <c r="U25" s="318" t="str">
        <f t="shared" si="5"/>
        <v/>
      </c>
      <c r="V25" s="70" t="str">
        <f t="shared" si="6"/>
        <v/>
      </c>
    </row>
    <row r="26" spans="1:22" ht="18" customHeight="1" x14ac:dyDescent="0.2">
      <c r="A26" s="77" t="str">
        <f>IF($C$9="Data Not Entered On Set-Up Worksheet","",IF(OR(VLOOKUP($C$9,County_Lookup,11,FALSE)="",VLOOKUP($C$9,County_Lookup,11,FALSE)=0),"",VLOOKUP($C$9,County_Lookup,11,FALSE)))</f>
        <v/>
      </c>
      <c r="B26" s="222"/>
      <c r="C26" s="224"/>
      <c r="D26" s="224"/>
      <c r="E26" s="222"/>
      <c r="F26" s="61"/>
      <c r="G26" s="318" t="str">
        <f t="shared" si="2"/>
        <v/>
      </c>
      <c r="H26" s="70" t="str">
        <f t="shared" si="7"/>
        <v/>
      </c>
      <c r="I26" s="222"/>
      <c r="J26" s="224"/>
      <c r="K26" s="224"/>
      <c r="L26" s="222"/>
      <c r="M26" s="61"/>
      <c r="N26" s="318" t="str">
        <f t="shared" si="3"/>
        <v/>
      </c>
      <c r="O26" s="70" t="str">
        <f t="shared" si="4"/>
        <v/>
      </c>
      <c r="P26" s="222"/>
      <c r="Q26" s="224"/>
      <c r="R26" s="224"/>
      <c r="S26" s="222"/>
      <c r="T26" s="61"/>
      <c r="U26" s="318" t="str">
        <f t="shared" si="5"/>
        <v/>
      </c>
      <c r="V26" s="70" t="str">
        <f t="shared" si="6"/>
        <v/>
      </c>
    </row>
    <row r="27" spans="1:22" ht="18" customHeight="1" x14ac:dyDescent="0.2">
      <c r="A27" s="77" t="str">
        <f>IF($C$9="Data Not Entered On Set-Up Worksheet","",IF(OR(VLOOKUP($C$9,County_Lookup,12,FALSE)="",VLOOKUP($C$9,County_Lookup,12,FALSE)=0),"",VLOOKUP($C$9,County_Lookup,12,FALSE)))</f>
        <v/>
      </c>
      <c r="B27" s="222"/>
      <c r="C27" s="224"/>
      <c r="D27" s="224"/>
      <c r="E27" s="222"/>
      <c r="F27" s="61"/>
      <c r="G27" s="318" t="str">
        <f t="shared" si="2"/>
        <v/>
      </c>
      <c r="H27" s="70" t="str">
        <f t="shared" si="7"/>
        <v/>
      </c>
      <c r="I27" s="222"/>
      <c r="J27" s="224"/>
      <c r="K27" s="224"/>
      <c r="L27" s="222"/>
      <c r="M27" s="61"/>
      <c r="N27" s="318" t="str">
        <f t="shared" si="3"/>
        <v/>
      </c>
      <c r="O27" s="70" t="str">
        <f t="shared" si="4"/>
        <v/>
      </c>
      <c r="P27" s="222"/>
      <c r="Q27" s="224"/>
      <c r="R27" s="224"/>
      <c r="S27" s="222"/>
      <c r="T27" s="61"/>
      <c r="U27" s="318" t="str">
        <f t="shared" si="5"/>
        <v/>
      </c>
      <c r="V27" s="70" t="str">
        <f t="shared" si="6"/>
        <v/>
      </c>
    </row>
    <row r="28" spans="1:22" ht="18" customHeight="1" x14ac:dyDescent="0.2">
      <c r="A28" s="77" t="str">
        <f>IF($C$9="Data Not Entered On Set-Up Worksheet","",IF(OR(VLOOKUP($C$9,County_Lookup,13,FALSE)="",VLOOKUP($C$9,County_Lookup,13,FALSE)=0),"",VLOOKUP($C$9,County_Lookup,13,FALSE)))</f>
        <v/>
      </c>
      <c r="B28" s="222"/>
      <c r="C28" s="224"/>
      <c r="D28" s="224"/>
      <c r="E28" s="222"/>
      <c r="F28" s="61"/>
      <c r="G28" s="318" t="str">
        <f t="shared" si="2"/>
        <v/>
      </c>
      <c r="H28" s="70" t="str">
        <f t="shared" si="7"/>
        <v/>
      </c>
      <c r="I28" s="222"/>
      <c r="J28" s="224"/>
      <c r="K28" s="224"/>
      <c r="L28" s="222"/>
      <c r="M28" s="61"/>
      <c r="N28" s="318" t="str">
        <f t="shared" si="3"/>
        <v/>
      </c>
      <c r="O28" s="70" t="str">
        <f t="shared" si="4"/>
        <v/>
      </c>
      <c r="P28" s="222"/>
      <c r="Q28" s="224"/>
      <c r="R28" s="224"/>
      <c r="S28" s="222"/>
      <c r="T28" s="61"/>
      <c r="U28" s="318" t="str">
        <f t="shared" si="5"/>
        <v/>
      </c>
      <c r="V28" s="70" t="str">
        <f t="shared" si="6"/>
        <v/>
      </c>
    </row>
    <row r="29" spans="1:22" ht="18" customHeight="1" x14ac:dyDescent="0.2">
      <c r="A29" s="77" t="str">
        <f>IF($C$9="Data Not Entered On Set-Up Worksheet","",IF(OR(VLOOKUP($C$9,County_Lookup,14,FALSE)="",VLOOKUP($C$9,County_Lookup,14,FALSE)=0),"",VLOOKUP($C$9,County_Lookup,14,FALSE)))</f>
        <v/>
      </c>
      <c r="B29" s="222"/>
      <c r="C29" s="224"/>
      <c r="D29" s="224"/>
      <c r="E29" s="222"/>
      <c r="F29" s="61"/>
      <c r="G29" s="318" t="str">
        <f t="shared" si="2"/>
        <v/>
      </c>
      <c r="H29" s="70" t="str">
        <f t="shared" si="7"/>
        <v/>
      </c>
      <c r="I29" s="222"/>
      <c r="J29" s="224"/>
      <c r="K29" s="224"/>
      <c r="L29" s="222"/>
      <c r="M29" s="61"/>
      <c r="N29" s="318" t="str">
        <f t="shared" si="3"/>
        <v/>
      </c>
      <c r="O29" s="70" t="str">
        <f t="shared" si="4"/>
        <v/>
      </c>
      <c r="P29" s="222"/>
      <c r="Q29" s="224"/>
      <c r="R29" s="224"/>
      <c r="S29" s="222"/>
      <c r="T29" s="61"/>
      <c r="U29" s="318" t="str">
        <f t="shared" si="5"/>
        <v/>
      </c>
      <c r="V29" s="70" t="str">
        <f t="shared" si="6"/>
        <v/>
      </c>
    </row>
    <row r="30" spans="1:22" ht="18" customHeight="1" x14ac:dyDescent="0.2">
      <c r="A30" s="76" t="str">
        <f>IF($C$9="Data Not Entered On Set-Up Worksheet","",IF(OR(VLOOKUP($C$9,County_Lookup,15,FALSE)="",VLOOKUP($C$9,County_Lookup,15,FALSE)=0),"",VLOOKUP($C$9,County_Lookup,15,FALSE)))</f>
        <v/>
      </c>
      <c r="B30" s="222"/>
      <c r="C30" s="224"/>
      <c r="D30" s="224"/>
      <c r="E30" s="222"/>
      <c r="F30" s="61"/>
      <c r="G30" s="318" t="str">
        <f t="shared" si="2"/>
        <v/>
      </c>
      <c r="H30" s="70" t="str">
        <f t="shared" si="7"/>
        <v/>
      </c>
      <c r="I30" s="222"/>
      <c r="J30" s="224"/>
      <c r="K30" s="224"/>
      <c r="L30" s="222"/>
      <c r="M30" s="61"/>
      <c r="N30" s="318" t="str">
        <f t="shared" si="3"/>
        <v/>
      </c>
      <c r="O30" s="70" t="str">
        <f t="shared" si="4"/>
        <v/>
      </c>
      <c r="P30" s="222"/>
      <c r="Q30" s="224"/>
      <c r="R30" s="224"/>
      <c r="S30" s="222"/>
      <c r="T30" s="61"/>
      <c r="U30" s="318" t="str">
        <f t="shared" si="5"/>
        <v/>
      </c>
      <c r="V30" s="70" t="str">
        <f t="shared" si="6"/>
        <v/>
      </c>
    </row>
    <row r="31" spans="1:22" ht="18" customHeight="1" x14ac:dyDescent="0.2">
      <c r="A31" s="77" t="str">
        <f>IF($C$9="Data Not Entered On Set-Up Worksheet","",IF(OR(VLOOKUP($C$9,County_Lookup,16,FALSE)="",VLOOKUP($C$9,County_Lookup,16,FALSE)=0),"",VLOOKUP($C$9,County_Lookup,16,FALSE)))</f>
        <v/>
      </c>
      <c r="B31" s="222"/>
      <c r="C31" s="224"/>
      <c r="D31" s="224"/>
      <c r="E31" s="222"/>
      <c r="F31" s="61"/>
      <c r="G31" s="318" t="str">
        <f t="shared" si="2"/>
        <v/>
      </c>
      <c r="H31" s="70" t="str">
        <f t="shared" si="7"/>
        <v/>
      </c>
      <c r="I31" s="222"/>
      <c r="J31" s="224"/>
      <c r="K31" s="224"/>
      <c r="L31" s="222"/>
      <c r="M31" s="61"/>
      <c r="N31" s="318" t="str">
        <f t="shared" si="3"/>
        <v/>
      </c>
      <c r="O31" s="70" t="str">
        <f t="shared" si="4"/>
        <v/>
      </c>
      <c r="P31" s="222"/>
      <c r="Q31" s="224"/>
      <c r="R31" s="224"/>
      <c r="S31" s="222"/>
      <c r="T31" s="61"/>
      <c r="U31" s="318" t="str">
        <f t="shared" si="5"/>
        <v/>
      </c>
      <c r="V31" s="70" t="str">
        <f t="shared" si="6"/>
        <v/>
      </c>
    </row>
    <row r="32" spans="1:22" ht="18" customHeight="1" x14ac:dyDescent="0.2">
      <c r="A32" s="77" t="str">
        <f>IF($C$9="Data Not Entered On Set-Up Worksheet","",IF(OR(VLOOKUP($C$9,County_Lookup,17,FALSE)="",VLOOKUP($C$9,County_Lookup,17,FALSE)=0),"",VLOOKUP($C$9,County_Lookup,17,FALSE)))</f>
        <v/>
      </c>
      <c r="B32" s="222"/>
      <c r="C32" s="224"/>
      <c r="D32" s="224"/>
      <c r="E32" s="222"/>
      <c r="F32" s="61"/>
      <c r="G32" s="318" t="str">
        <f t="shared" si="2"/>
        <v/>
      </c>
      <c r="H32" s="70" t="str">
        <f t="shared" si="7"/>
        <v/>
      </c>
      <c r="I32" s="222"/>
      <c r="J32" s="224"/>
      <c r="K32" s="224"/>
      <c r="L32" s="222"/>
      <c r="M32" s="61"/>
      <c r="N32" s="318" t="str">
        <f t="shared" si="3"/>
        <v/>
      </c>
      <c r="O32" s="70" t="str">
        <f t="shared" si="4"/>
        <v/>
      </c>
      <c r="P32" s="222"/>
      <c r="Q32" s="224"/>
      <c r="R32" s="224"/>
      <c r="S32" s="222"/>
      <c r="T32" s="61"/>
      <c r="U32" s="318" t="str">
        <f t="shared" si="5"/>
        <v/>
      </c>
      <c r="V32" s="70" t="str">
        <f t="shared" si="6"/>
        <v/>
      </c>
    </row>
    <row r="33" spans="1:22" ht="18" customHeight="1" x14ac:dyDescent="0.2">
      <c r="A33" s="77" t="str">
        <f>IF($C$9="Data Not Entered On Set-Up Worksheet","",IF(OR(VLOOKUP($C$9,County_Lookup,18,FALSE)="",VLOOKUP($C$9,County_Lookup,18,FALSE)=0),"",VLOOKUP($C$9,County_Lookup,18,FALSE)))</f>
        <v/>
      </c>
      <c r="B33" s="222"/>
      <c r="C33" s="224"/>
      <c r="D33" s="224"/>
      <c r="E33" s="222"/>
      <c r="F33" s="61"/>
      <c r="G33" s="318" t="str">
        <f t="shared" si="2"/>
        <v/>
      </c>
      <c r="H33" s="70" t="str">
        <f t="shared" si="7"/>
        <v/>
      </c>
      <c r="I33" s="222"/>
      <c r="J33" s="224"/>
      <c r="K33" s="224"/>
      <c r="L33" s="222"/>
      <c r="M33" s="61"/>
      <c r="N33" s="318" t="str">
        <f t="shared" si="3"/>
        <v/>
      </c>
      <c r="O33" s="70" t="str">
        <f t="shared" si="4"/>
        <v/>
      </c>
      <c r="P33" s="222"/>
      <c r="Q33" s="224"/>
      <c r="R33" s="224"/>
      <c r="S33" s="222"/>
      <c r="T33" s="61"/>
      <c r="U33" s="318" t="str">
        <f t="shared" si="5"/>
        <v/>
      </c>
      <c r="V33" s="70" t="str">
        <f t="shared" si="6"/>
        <v/>
      </c>
    </row>
    <row r="34" spans="1:22" ht="18" customHeight="1" x14ac:dyDescent="0.2">
      <c r="A34" s="77" t="str">
        <f>IF($C$9="Data Not Entered On Set-Up Worksheet","",IF(OR(VLOOKUP($C$9,County_Lookup,19,FALSE)="",VLOOKUP($C$9,County_Lookup,19,FALSE)=0),"",VLOOKUP($C$9,County_Lookup,19,FALSE)))</f>
        <v/>
      </c>
      <c r="B34" s="222"/>
      <c r="C34" s="224"/>
      <c r="D34" s="224"/>
      <c r="E34" s="222"/>
      <c r="F34" s="61"/>
      <c r="G34" s="318" t="str">
        <f t="shared" si="2"/>
        <v/>
      </c>
      <c r="H34" s="70" t="str">
        <f t="shared" si="7"/>
        <v/>
      </c>
      <c r="I34" s="222"/>
      <c r="J34" s="224"/>
      <c r="K34" s="224"/>
      <c r="L34" s="222"/>
      <c r="M34" s="61"/>
      <c r="N34" s="318" t="str">
        <f t="shared" si="3"/>
        <v/>
      </c>
      <c r="O34" s="70" t="str">
        <f t="shared" si="4"/>
        <v/>
      </c>
      <c r="P34" s="222"/>
      <c r="Q34" s="224"/>
      <c r="R34" s="224"/>
      <c r="S34" s="222"/>
      <c r="T34" s="61"/>
      <c r="U34" s="318" t="str">
        <f t="shared" si="5"/>
        <v/>
      </c>
      <c r="V34" s="70" t="str">
        <f t="shared" si="6"/>
        <v/>
      </c>
    </row>
    <row r="35" spans="1:22" ht="18" customHeight="1" x14ac:dyDescent="0.2">
      <c r="A35" s="77" t="str">
        <f>IF($C$9="Data Not Entered On Set-Up Worksheet","",IF(OR(VLOOKUP($C$9,County_Lookup,20,FALSE)="",VLOOKUP($C$9,County_Lookup,20,FALSE)=0),"",VLOOKUP($C$9,County_Lookup,20,FALSE)))</f>
        <v/>
      </c>
      <c r="B35" s="222"/>
      <c r="C35" s="224"/>
      <c r="D35" s="224"/>
      <c r="E35" s="222"/>
      <c r="F35" s="61"/>
      <c r="G35" s="318" t="str">
        <f t="shared" si="2"/>
        <v/>
      </c>
      <c r="H35" s="70" t="str">
        <f t="shared" si="7"/>
        <v/>
      </c>
      <c r="I35" s="222"/>
      <c r="J35" s="224"/>
      <c r="K35" s="224"/>
      <c r="L35" s="222"/>
      <c r="M35" s="61"/>
      <c r="N35" s="318" t="str">
        <f t="shared" si="3"/>
        <v/>
      </c>
      <c r="O35" s="70" t="str">
        <f t="shared" si="4"/>
        <v/>
      </c>
      <c r="P35" s="222"/>
      <c r="Q35" s="224"/>
      <c r="R35" s="224"/>
      <c r="S35" s="222"/>
      <c r="T35" s="61"/>
      <c r="U35" s="318" t="str">
        <f t="shared" si="5"/>
        <v/>
      </c>
      <c r="V35" s="70" t="str">
        <f t="shared" si="6"/>
        <v/>
      </c>
    </row>
    <row r="36" spans="1:22" ht="18" customHeight="1" x14ac:dyDescent="0.2">
      <c r="A36" s="77" t="str">
        <f>IF($C$9="Data Not Entered On Set-Up Worksheet","",IF(OR(VLOOKUP($C$9,County_Lookup,21,FALSE)="",VLOOKUP($C$9,County_Lookup,21,FALSE)=0),"",VLOOKUP($C$9,County_Lookup,21,FALSE)))</f>
        <v/>
      </c>
      <c r="B36" s="222"/>
      <c r="C36" s="224"/>
      <c r="D36" s="224"/>
      <c r="E36" s="222"/>
      <c r="F36" s="61"/>
      <c r="G36" s="318" t="str">
        <f t="shared" si="2"/>
        <v/>
      </c>
      <c r="H36" s="70" t="str">
        <f t="shared" si="7"/>
        <v/>
      </c>
      <c r="I36" s="222"/>
      <c r="J36" s="224"/>
      <c r="K36" s="224"/>
      <c r="L36" s="222"/>
      <c r="M36" s="61"/>
      <c r="N36" s="318" t="str">
        <f t="shared" si="3"/>
        <v/>
      </c>
      <c r="O36" s="70" t="str">
        <f t="shared" si="4"/>
        <v/>
      </c>
      <c r="P36" s="222"/>
      <c r="Q36" s="224"/>
      <c r="R36" s="224"/>
      <c r="S36" s="222"/>
      <c r="T36" s="61"/>
      <c r="U36" s="318" t="str">
        <f t="shared" si="5"/>
        <v/>
      </c>
      <c r="V36" s="70" t="str">
        <f t="shared" si="6"/>
        <v/>
      </c>
    </row>
    <row r="37" spans="1:22" ht="18" customHeight="1" x14ac:dyDescent="0.2">
      <c r="A37" s="76" t="str">
        <f>IF($C$9="Data Not Entered On Set-Up Worksheet","",IF(OR(VLOOKUP($C$9,County_Lookup,22,FALSE)="",VLOOKUP($C$9,County_Lookup,22,FALSE)=0),"",VLOOKUP($C$9,County_Lookup,22,FALSE)))</f>
        <v/>
      </c>
      <c r="B37" s="222"/>
      <c r="C37" s="224"/>
      <c r="D37" s="224"/>
      <c r="E37" s="222"/>
      <c r="F37" s="61"/>
      <c r="G37" s="318" t="str">
        <f t="shared" si="2"/>
        <v/>
      </c>
      <c r="H37" s="70" t="str">
        <f t="shared" si="7"/>
        <v/>
      </c>
      <c r="I37" s="222"/>
      <c r="J37" s="224"/>
      <c r="K37" s="224"/>
      <c r="L37" s="222"/>
      <c r="M37" s="61"/>
      <c r="N37" s="318" t="str">
        <f t="shared" si="3"/>
        <v/>
      </c>
      <c r="O37" s="70" t="str">
        <f t="shared" si="4"/>
        <v/>
      </c>
      <c r="P37" s="222"/>
      <c r="Q37" s="224"/>
      <c r="R37" s="224"/>
      <c r="S37" s="222"/>
      <c r="T37" s="61"/>
      <c r="U37" s="318" t="str">
        <f t="shared" si="5"/>
        <v/>
      </c>
      <c r="V37" s="70" t="str">
        <f t="shared" si="6"/>
        <v/>
      </c>
    </row>
    <row r="38" spans="1:22" ht="18" customHeight="1" x14ac:dyDescent="0.2">
      <c r="A38" s="77" t="str">
        <f>IF($C$9="Data Not Entered On Set-Up Worksheet","",IF(OR(VLOOKUP($C$9,County_Lookup,23,FALSE)="",VLOOKUP($C$9,County_Lookup,23,FALSE)=0),"",VLOOKUP($C$9,County_Lookup,23,FALSE)))</f>
        <v/>
      </c>
      <c r="B38" s="222"/>
      <c r="C38" s="224"/>
      <c r="D38" s="224"/>
      <c r="E38" s="222"/>
      <c r="F38" s="61"/>
      <c r="G38" s="318" t="str">
        <f t="shared" si="2"/>
        <v/>
      </c>
      <c r="H38" s="70" t="str">
        <f t="shared" si="7"/>
        <v/>
      </c>
      <c r="I38" s="222"/>
      <c r="J38" s="224"/>
      <c r="K38" s="224"/>
      <c r="L38" s="222"/>
      <c r="M38" s="61"/>
      <c r="N38" s="318" t="str">
        <f t="shared" si="3"/>
        <v/>
      </c>
      <c r="O38" s="70" t="str">
        <f t="shared" si="4"/>
        <v/>
      </c>
      <c r="P38" s="222"/>
      <c r="Q38" s="224"/>
      <c r="R38" s="224"/>
      <c r="S38" s="222"/>
      <c r="T38" s="61"/>
      <c r="U38" s="318" t="str">
        <f t="shared" si="5"/>
        <v/>
      </c>
      <c r="V38" s="70" t="str">
        <f t="shared" si="6"/>
        <v/>
      </c>
    </row>
    <row r="39" spans="1:22" ht="18" customHeight="1" x14ac:dyDescent="0.2">
      <c r="A39" s="77" t="str">
        <f>IF($C$9="Data Not Entered On Set-Up Worksheet","",IF(OR(VLOOKUP($C$9,County_Lookup,24,FALSE)="",VLOOKUP($C$9,County_Lookup,24,FALSE)=0),"",VLOOKUP($C$9,County_Lookup,24,FALSE)))</f>
        <v/>
      </c>
      <c r="B39" s="222"/>
      <c r="C39" s="224"/>
      <c r="D39" s="224"/>
      <c r="E39" s="222"/>
      <c r="F39" s="61"/>
      <c r="G39" s="318" t="str">
        <f t="shared" ref="G39:G41" si="8">IF($A39="","",IF($F39=0,0,B39/$F39))</f>
        <v/>
      </c>
      <c r="H39" s="70" t="str">
        <f t="shared" ref="H39:H41" si="9">IF($A39="","",IF($F39=0,0,E39/$F39))</f>
        <v/>
      </c>
      <c r="I39" s="222"/>
      <c r="J39" s="224"/>
      <c r="K39" s="224"/>
      <c r="L39" s="222"/>
      <c r="M39" s="61"/>
      <c r="N39" s="318" t="str">
        <f t="shared" ref="N39:N41" si="10">IF($A39="","",IF($M39=0,0,I39/$M39))</f>
        <v/>
      </c>
      <c r="O39" s="70" t="str">
        <f t="shared" ref="O39:O41" si="11">IF($A39="","",IF($M39=0,0,L39/$M39))</f>
        <v/>
      </c>
      <c r="P39" s="222"/>
      <c r="Q39" s="224"/>
      <c r="R39" s="224"/>
      <c r="S39" s="222"/>
      <c r="T39" s="61"/>
      <c r="U39" s="318" t="str">
        <f t="shared" ref="U39:U41" si="12">IF($A39="","",IF($T39=0,0,P39/$T39))</f>
        <v/>
      </c>
      <c r="V39" s="70" t="str">
        <f t="shared" ref="V39:V41" si="13">IF($A39="","",IF($T39=0,0,S39/$T39))</f>
        <v/>
      </c>
    </row>
    <row r="40" spans="1:22" ht="18" customHeight="1" x14ac:dyDescent="0.2">
      <c r="A40" s="77" t="str">
        <f>IF($C$9="Data Not Entered On Set-Up Worksheet","",IF(OR(VLOOKUP($C$9,County_Lookup,25,FALSE)="",VLOOKUP($C$9,County_Lookup,25,FALSE)=0),"",VLOOKUP($C$9,County_Lookup,25,FALSE)))</f>
        <v/>
      </c>
      <c r="B40" s="222"/>
      <c r="C40" s="224"/>
      <c r="D40" s="224"/>
      <c r="E40" s="222"/>
      <c r="F40" s="61"/>
      <c r="G40" s="318" t="str">
        <f t="shared" si="8"/>
        <v/>
      </c>
      <c r="H40" s="70" t="str">
        <f t="shared" si="9"/>
        <v/>
      </c>
      <c r="I40" s="222"/>
      <c r="J40" s="224"/>
      <c r="K40" s="224"/>
      <c r="L40" s="222"/>
      <c r="M40" s="61"/>
      <c r="N40" s="318" t="str">
        <f t="shared" si="10"/>
        <v/>
      </c>
      <c r="O40" s="70" t="str">
        <f t="shared" si="11"/>
        <v/>
      </c>
      <c r="P40" s="222"/>
      <c r="Q40" s="224"/>
      <c r="R40" s="224"/>
      <c r="S40" s="222"/>
      <c r="T40" s="61"/>
      <c r="U40" s="318" t="str">
        <f t="shared" si="12"/>
        <v/>
      </c>
      <c r="V40" s="70" t="str">
        <f t="shared" si="13"/>
        <v/>
      </c>
    </row>
    <row r="41" spans="1:22" ht="18" customHeight="1" x14ac:dyDescent="0.2">
      <c r="A41" s="77" t="str">
        <f>IF($C$9="Data Not Entered On Set-Up Worksheet","",IF(OR(VLOOKUP($C$9,County_Lookup,26,FALSE)="",VLOOKUP($C$9,County_Lookup,26,FALSE)=0),"",VLOOKUP($C$9,County_Lookup,26,FALSE)))</f>
        <v/>
      </c>
      <c r="B41" s="222"/>
      <c r="C41" s="224"/>
      <c r="D41" s="224"/>
      <c r="E41" s="222"/>
      <c r="F41" s="61"/>
      <c r="G41" s="318" t="str">
        <f t="shared" si="8"/>
        <v/>
      </c>
      <c r="H41" s="70" t="str">
        <f t="shared" si="9"/>
        <v/>
      </c>
      <c r="I41" s="222"/>
      <c r="J41" s="224"/>
      <c r="K41" s="224"/>
      <c r="L41" s="222"/>
      <c r="M41" s="61"/>
      <c r="N41" s="318" t="str">
        <f t="shared" si="10"/>
        <v/>
      </c>
      <c r="O41" s="70" t="str">
        <f t="shared" si="11"/>
        <v/>
      </c>
      <c r="P41" s="222"/>
      <c r="Q41" s="224"/>
      <c r="R41" s="224"/>
      <c r="S41" s="222"/>
      <c r="T41" s="61"/>
      <c r="U41" s="318" t="str">
        <f t="shared" si="12"/>
        <v/>
      </c>
      <c r="V41" s="70" t="str">
        <f t="shared" si="13"/>
        <v/>
      </c>
    </row>
    <row r="42" spans="1:22" ht="18" customHeight="1" x14ac:dyDescent="0.2">
      <c r="A42" s="77" t="str">
        <f>IF($C$9="Data Not Entered On Set-Up Worksheet","",IF(OR(VLOOKUP($C$9,County_Lookup,27,FALSE)="",VLOOKUP($C$9,County_Lookup,27,FALSE)=0),"",VLOOKUP($C$9,County_Lookup,27,FALSE)))</f>
        <v/>
      </c>
      <c r="B42" s="222"/>
      <c r="C42" s="224"/>
      <c r="D42" s="224"/>
      <c r="E42" s="222"/>
      <c r="F42" s="61"/>
      <c r="G42" s="318" t="str">
        <f t="shared" si="2"/>
        <v/>
      </c>
      <c r="H42" s="70" t="str">
        <f t="shared" si="7"/>
        <v/>
      </c>
      <c r="I42" s="222"/>
      <c r="J42" s="224"/>
      <c r="K42" s="224"/>
      <c r="L42" s="222"/>
      <c r="M42" s="61"/>
      <c r="N42" s="318" t="str">
        <f t="shared" si="3"/>
        <v/>
      </c>
      <c r="O42" s="70" t="str">
        <f t="shared" si="4"/>
        <v/>
      </c>
      <c r="P42" s="222"/>
      <c r="Q42" s="224"/>
      <c r="R42" s="224"/>
      <c r="S42" s="222"/>
      <c r="T42" s="61"/>
      <c r="U42" s="318" t="str">
        <f t="shared" si="5"/>
        <v/>
      </c>
      <c r="V42" s="70" t="str">
        <f t="shared" si="6"/>
        <v/>
      </c>
    </row>
    <row r="43" spans="1:22" ht="18" customHeight="1" thickBot="1" x14ac:dyDescent="0.25">
      <c r="A43" s="78" t="s">
        <v>0</v>
      </c>
      <c r="B43" s="223">
        <f t="shared" ref="B43:D43" si="14">SUM(B17:B42)</f>
        <v>0</v>
      </c>
      <c r="C43" s="72">
        <f t="shared" si="14"/>
        <v>0</v>
      </c>
      <c r="D43" s="72">
        <f t="shared" si="14"/>
        <v>0</v>
      </c>
      <c r="E43" s="317">
        <f>SUM(E17:E42)</f>
        <v>0</v>
      </c>
      <c r="F43" s="72">
        <f>SUM(F17:F42)</f>
        <v>0</v>
      </c>
      <c r="G43" s="319">
        <f t="shared" si="2"/>
        <v>0</v>
      </c>
      <c r="H43" s="73">
        <f>IF($A43="","",IF($F43=0,0,E43/$F43))</f>
        <v>0</v>
      </c>
      <c r="I43" s="223">
        <f t="shared" ref="I43" si="15">SUM(I17:I42)</f>
        <v>0</v>
      </c>
      <c r="J43" s="72">
        <f t="shared" ref="J43" si="16">SUM(J17:J42)</f>
        <v>0</v>
      </c>
      <c r="K43" s="72">
        <f t="shared" ref="K43" si="17">SUM(K17:K42)</f>
        <v>0</v>
      </c>
      <c r="L43" s="317">
        <f>SUM(L17:L42)</f>
        <v>0</v>
      </c>
      <c r="M43" s="72">
        <f>SUM(M17:M42)</f>
        <v>0</v>
      </c>
      <c r="N43" s="319">
        <f t="shared" si="3"/>
        <v>0</v>
      </c>
      <c r="O43" s="73">
        <f t="shared" si="4"/>
        <v>0</v>
      </c>
      <c r="P43" s="223">
        <f t="shared" ref="P43" si="18">SUM(P17:P42)</f>
        <v>0</v>
      </c>
      <c r="Q43" s="72">
        <f t="shared" ref="Q43" si="19">SUM(Q17:Q42)</f>
        <v>0</v>
      </c>
      <c r="R43" s="72">
        <f t="shared" ref="R43" si="20">SUM(R17:R42)</f>
        <v>0</v>
      </c>
      <c r="S43" s="317">
        <f>SUM(S17:S42)</f>
        <v>0</v>
      </c>
      <c r="T43" s="72">
        <f>SUM(T17:T42)</f>
        <v>0</v>
      </c>
      <c r="U43" s="319">
        <f t="shared" si="5"/>
        <v>0</v>
      </c>
      <c r="V43" s="73">
        <f t="shared" si="6"/>
        <v>0</v>
      </c>
    </row>
    <row r="45" spans="1:22" x14ac:dyDescent="0.2">
      <c r="B45" s="60" t="s">
        <v>465</v>
      </c>
      <c r="C45" s="60"/>
      <c r="D45" s="60"/>
      <c r="E45" s="60"/>
      <c r="F45" s="60"/>
      <c r="G45" s="60"/>
      <c r="H45" s="60"/>
      <c r="I45" s="60" t="s">
        <v>466</v>
      </c>
      <c r="J45" s="60"/>
      <c r="K45" s="60"/>
      <c r="L45" s="60"/>
      <c r="M45" s="60"/>
      <c r="N45" s="60"/>
      <c r="O45" s="60"/>
      <c r="P45" s="60" t="s">
        <v>467</v>
      </c>
    </row>
  </sheetData>
  <sheetProtection sheet="1" objects="1" scenarios="1"/>
  <conditionalFormatting sqref="G3:G4 C3:C4 G9 C9 G11 C11 E11">
    <cfRule type="expression" dxfId="685" priority="79">
      <formula>C3="Data Not Entered On Set-Up Worksheet"</formula>
    </cfRule>
  </conditionalFormatting>
  <conditionalFormatting sqref="F12:G12">
    <cfRule type="expression" dxfId="684" priority="77">
      <formula>F12="Data Not Entered On Set-Up Worksheet"</formula>
    </cfRule>
  </conditionalFormatting>
  <conditionalFormatting sqref="N3:N4 J3:J4 N9 J9 N11 J11 L11">
    <cfRule type="expression" dxfId="683" priority="19">
      <formula>J3="Data Not Entered On Set-Up Worksheet"</formula>
    </cfRule>
  </conditionalFormatting>
  <conditionalFormatting sqref="M12:N12">
    <cfRule type="expression" dxfId="682" priority="18">
      <formula>M12="Data Not Entered On Set-Up Worksheet"</formula>
    </cfRule>
  </conditionalFormatting>
  <conditionalFormatting sqref="I17:M39 I42:M42">
    <cfRule type="expression" dxfId="681" priority="17">
      <formula>AND($A17&lt;&gt;"",I17="")</formula>
    </cfRule>
  </conditionalFormatting>
  <conditionalFormatting sqref="U3:U4 Q3:Q4 U9 Q9 U11 Q11 S11">
    <cfRule type="expression" dxfId="680" priority="16">
      <formula>Q3="Data Not Entered On Set-Up Worksheet"</formula>
    </cfRule>
  </conditionalFormatting>
  <conditionalFormatting sqref="T12:U12">
    <cfRule type="expression" dxfId="679" priority="15">
      <formula>T12="Data Not Entered On Set-Up Worksheet"</formula>
    </cfRule>
  </conditionalFormatting>
  <conditionalFormatting sqref="P17:T39 P42:T42">
    <cfRule type="expression" dxfId="678" priority="14">
      <formula>AND($A17&lt;&gt;"",P17="")</formula>
    </cfRule>
  </conditionalFormatting>
  <conditionalFormatting sqref="E12">
    <cfRule type="expression" dxfId="677" priority="13">
      <formula>E12="Data Not Entered On Set-Up Worksheet"</formula>
    </cfRule>
  </conditionalFormatting>
  <conditionalFormatting sqref="P39:T39">
    <cfRule type="expression" dxfId="676" priority="10">
      <formula>AND($A39&lt;&gt;"",P39="")</formula>
    </cfRule>
  </conditionalFormatting>
  <conditionalFormatting sqref="B17:F39 B42:F42">
    <cfRule type="expression" dxfId="675" priority="9">
      <formula>$A17="Other"</formula>
    </cfRule>
    <cfRule type="expression" dxfId="674" priority="20">
      <formula>AND($A17&lt;&gt;"",B17="")</formula>
    </cfRule>
  </conditionalFormatting>
  <conditionalFormatting sqref="I40:M40">
    <cfRule type="expression" dxfId="673" priority="7">
      <formula>AND($A40&lt;&gt;"",I40="")</formula>
    </cfRule>
  </conditionalFormatting>
  <conditionalFormatting sqref="P40:T40">
    <cfRule type="expression" dxfId="672" priority="6">
      <formula>AND($A40&lt;&gt;"",P40="")</formula>
    </cfRule>
  </conditionalFormatting>
  <conditionalFormatting sqref="B40:F40">
    <cfRule type="expression" dxfId="671" priority="5">
      <formula>$A40="Other"</formula>
    </cfRule>
    <cfRule type="expression" dxfId="670" priority="8">
      <formula>AND($A40&lt;&gt;"",B40="")</formula>
    </cfRule>
  </conditionalFormatting>
  <conditionalFormatting sqref="I41:M41">
    <cfRule type="expression" dxfId="669" priority="3">
      <formula>AND($A41&lt;&gt;"",I41="")</formula>
    </cfRule>
  </conditionalFormatting>
  <conditionalFormatting sqref="P41:T41">
    <cfRule type="expression" dxfId="668" priority="2">
      <formula>AND($A41&lt;&gt;"",P41="")</formula>
    </cfRule>
  </conditionalFormatting>
  <conditionalFormatting sqref="B41:F41">
    <cfRule type="expression" dxfId="667" priority="1">
      <formula>$A41="Other"</formula>
    </cfRule>
    <cfRule type="expression" dxfId="666" priority="4">
      <formula>AND($A41&lt;&gt;"",B41="")</formula>
    </cfRule>
  </conditionalFormatting>
  <pageMargins left="0.5" right="0.5" top="0.5" bottom="0.5" header="0.3" footer="0.3"/>
  <pageSetup scale="30"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W23"/>
  <sheetViews>
    <sheetView showGridLines="0" zoomScaleNormal="100" zoomScaleSheetLayoutView="10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x14ac:dyDescent="0.2"/>
  <cols>
    <col min="1" max="1" width="22.140625" style="22" customWidth="1"/>
    <col min="2" max="4" width="16.7109375" style="22" customWidth="1"/>
    <col min="5" max="5" width="18.7109375" style="22" customWidth="1"/>
    <col min="6" max="6" width="19.7109375" style="22" customWidth="1"/>
    <col min="7" max="7" width="16.7109375" style="22" customWidth="1"/>
    <col min="8" max="8" width="18.7109375" style="22" customWidth="1"/>
    <col min="9" max="11" width="16.7109375" style="22" customWidth="1"/>
    <col min="12" max="12" width="18.7109375" style="22" customWidth="1"/>
    <col min="13" max="13" width="19.7109375" style="22" customWidth="1"/>
    <col min="14" max="14" width="16.7109375" style="22" customWidth="1"/>
    <col min="15" max="15" width="18.7109375" style="22" customWidth="1"/>
    <col min="16" max="18" width="16.7109375" style="22" customWidth="1"/>
    <col min="19" max="19" width="18.7109375" style="22" customWidth="1"/>
    <col min="20" max="20" width="19.7109375" style="22" customWidth="1"/>
    <col min="21" max="21" width="16.7109375" style="22" customWidth="1"/>
    <col min="22" max="22" width="18.7109375" style="22" customWidth="1"/>
    <col min="23" max="23" width="9.42578125" style="22" customWidth="1"/>
    <col min="24" max="16384" width="9.140625" style="22"/>
  </cols>
  <sheetData>
    <row r="1" spans="1:23" ht="15" customHeight="1" x14ac:dyDescent="0.2">
      <c r="A1" s="36" t="s">
        <v>28</v>
      </c>
      <c r="I1" s="36" t="s">
        <v>329</v>
      </c>
      <c r="P1" s="36" t="s">
        <v>329</v>
      </c>
    </row>
    <row r="2" spans="1:23" ht="15" customHeight="1" x14ac:dyDescent="0.2">
      <c r="A2" s="36" t="s">
        <v>196</v>
      </c>
      <c r="I2" s="358" t="s">
        <v>330</v>
      </c>
      <c r="P2" s="358" t="s">
        <v>330</v>
      </c>
    </row>
    <row r="3" spans="1:23" ht="15" customHeight="1" x14ac:dyDescent="0.2">
      <c r="A3" s="30" t="s">
        <v>194</v>
      </c>
      <c r="C3" s="147">
        <f>IF('Set-Up Worksheet'!F3="","Data Not Entered On Set-Up Worksheet",'Set-Up Worksheet'!F3)</f>
        <v>2018</v>
      </c>
      <c r="D3" s="147"/>
      <c r="E3" s="38"/>
      <c r="F3" s="38"/>
      <c r="J3" s="147">
        <f t="shared" ref="J3:J4" si="0">C3</f>
        <v>2018</v>
      </c>
      <c r="K3" s="147"/>
      <c r="L3" s="38"/>
      <c r="M3" s="38"/>
      <c r="Q3" s="147">
        <f t="shared" ref="Q3:Q4" si="1">C3</f>
        <v>2018</v>
      </c>
      <c r="R3" s="147"/>
      <c r="S3" s="38"/>
      <c r="T3" s="38"/>
    </row>
    <row r="4" spans="1:23" ht="15" customHeight="1" x14ac:dyDescent="0.2">
      <c r="A4" s="30" t="s">
        <v>195</v>
      </c>
      <c r="C4" s="147" t="str">
        <f>IF('Set-Up Worksheet'!F4="","Data Not Entered On Set-Up Worksheet",'Set-Up Worksheet'!F4)</f>
        <v>1st Quarter</v>
      </c>
      <c r="D4" s="147"/>
      <c r="E4" s="38"/>
      <c r="F4" s="32"/>
      <c r="J4" s="147" t="str">
        <f t="shared" si="0"/>
        <v>1st Quarter</v>
      </c>
      <c r="K4" s="147"/>
      <c r="L4" s="38"/>
      <c r="M4" s="32"/>
      <c r="Q4" s="147" t="str">
        <f t="shared" si="1"/>
        <v>1st Quarter</v>
      </c>
      <c r="R4" s="147"/>
      <c r="S4" s="38"/>
      <c r="T4" s="32"/>
    </row>
    <row r="5" spans="1:23" ht="15" customHeight="1" x14ac:dyDescent="0.2">
      <c r="A5" s="30"/>
      <c r="C5" s="32"/>
      <c r="D5" s="32"/>
      <c r="E5" s="32"/>
      <c r="F5" s="32"/>
      <c r="J5" s="32"/>
      <c r="K5" s="32"/>
      <c r="L5" s="32"/>
      <c r="M5" s="32"/>
      <c r="Q5" s="32"/>
      <c r="R5" s="32"/>
      <c r="S5" s="32"/>
      <c r="T5" s="32"/>
    </row>
    <row r="6" spans="1:23" ht="15" customHeight="1" x14ac:dyDescent="0.2">
      <c r="A6" s="30" t="s">
        <v>309</v>
      </c>
      <c r="C6" s="32"/>
      <c r="D6" s="32"/>
      <c r="E6" s="32"/>
      <c r="F6" s="32"/>
      <c r="I6" s="30" t="s">
        <v>331</v>
      </c>
      <c r="J6" s="32"/>
      <c r="K6" s="32"/>
      <c r="L6" s="32"/>
      <c r="M6" s="32"/>
      <c r="P6" s="30" t="s">
        <v>331</v>
      </c>
      <c r="Q6" s="32"/>
      <c r="R6" s="32"/>
      <c r="S6" s="32"/>
      <c r="T6" s="32"/>
    </row>
    <row r="7" spans="1:23" ht="15" customHeight="1" x14ac:dyDescent="0.2">
      <c r="A7" s="30" t="s">
        <v>335</v>
      </c>
      <c r="C7" s="32"/>
      <c r="D7" s="32"/>
      <c r="E7" s="32"/>
      <c r="F7" s="32"/>
      <c r="I7" s="30" t="s">
        <v>418</v>
      </c>
      <c r="J7" s="32"/>
      <c r="K7" s="32"/>
      <c r="L7" s="32"/>
      <c r="M7" s="32"/>
      <c r="P7" s="30" t="s">
        <v>418</v>
      </c>
      <c r="Q7" s="32"/>
      <c r="R7" s="32"/>
      <c r="S7" s="32"/>
      <c r="T7" s="32"/>
    </row>
    <row r="8" spans="1:23" ht="15" customHeight="1" x14ac:dyDescent="0.2">
      <c r="A8" s="30"/>
      <c r="C8" s="32"/>
      <c r="D8" s="32"/>
      <c r="E8" s="32"/>
      <c r="F8" s="32"/>
      <c r="J8" s="32"/>
      <c r="K8" s="32"/>
      <c r="L8" s="32"/>
      <c r="M8" s="32"/>
      <c r="Q8" s="32"/>
      <c r="R8" s="32"/>
      <c r="S8" s="32"/>
      <c r="T8" s="32"/>
    </row>
    <row r="9" spans="1:23" ht="15" customHeight="1" x14ac:dyDescent="0.2">
      <c r="A9" s="30" t="s">
        <v>29</v>
      </c>
      <c r="C9" s="39" t="str">
        <f>IF('Set-Up Worksheet'!E7="","Data Not Entered On Set-Up Worksheet",'Set-Up Worksheet'!E7)</f>
        <v>Data Not Entered On Set-Up Worksheet</v>
      </c>
      <c r="D9" s="39"/>
      <c r="E9" s="39"/>
      <c r="F9" s="80"/>
      <c r="J9" s="39" t="str">
        <f t="shared" ref="J9:J11" si="2">C9</f>
        <v>Data Not Entered On Set-Up Worksheet</v>
      </c>
      <c r="K9" s="39"/>
      <c r="L9" s="39"/>
      <c r="M9" s="80"/>
      <c r="Q9" s="39" t="str">
        <f t="shared" ref="Q9:Q11" si="3">C9</f>
        <v>Data Not Entered On Set-Up Worksheet</v>
      </c>
      <c r="R9" s="39"/>
      <c r="S9" s="39"/>
      <c r="T9" s="80"/>
    </row>
    <row r="10" spans="1:23" ht="15" customHeight="1" x14ac:dyDescent="0.2">
      <c r="A10" s="30" t="s">
        <v>9</v>
      </c>
      <c r="C10" s="32" t="s">
        <v>10</v>
      </c>
      <c r="D10" s="32"/>
      <c r="E10" s="32"/>
      <c r="F10" s="32"/>
      <c r="J10" s="39" t="str">
        <f t="shared" si="2"/>
        <v>Behavioral Health</v>
      </c>
      <c r="K10" s="32"/>
      <c r="L10" s="32"/>
      <c r="M10" s="32"/>
      <c r="Q10" s="39" t="str">
        <f t="shared" si="3"/>
        <v>Behavioral Health</v>
      </c>
      <c r="R10" s="32"/>
      <c r="S10" s="32"/>
      <c r="T10" s="32"/>
    </row>
    <row r="11" spans="1:23" ht="15" customHeight="1" x14ac:dyDescent="0.2">
      <c r="A11" s="30" t="s">
        <v>197</v>
      </c>
      <c r="C11" s="40" t="str">
        <f>IF(C4="Data Not Entered On Set-Up Worksheet","Data Not Entered On Set-Up Worksheet",IF(C4="1st Quarter",'Report Schedule'!D22,IF(C4="2nd Quarter",'Report Schedule'!E22,IF(C4="3rd Quarter",'Report Schedule'!F22,IF(C4="4th Quarter",'Report Schedule'!G22,"")))))</f>
        <v>Apr - Jun 2017</v>
      </c>
      <c r="D11" s="40"/>
      <c r="E11" s="313" t="str">
        <f>IF(COUNTA(B17:F19)&lt;&gt;15,"Enter data in yellow shaded cells","")</f>
        <v>Enter data in yellow shaded cells</v>
      </c>
      <c r="F11" s="40"/>
      <c r="J11" s="40" t="str">
        <f t="shared" si="2"/>
        <v>Apr - Jun 2017</v>
      </c>
      <c r="K11" s="40"/>
      <c r="L11" s="313" t="str">
        <f>IF(COUNTA(I17:M19)&lt;&gt;15,"Enter data in yellow shaded cells","")</f>
        <v>Enter data in yellow shaded cells</v>
      </c>
      <c r="M11" s="40"/>
      <c r="Q11" s="40" t="str">
        <f t="shared" si="3"/>
        <v>Apr - Jun 2017</v>
      </c>
      <c r="R11" s="40"/>
      <c r="S11" s="313" t="str">
        <f>IF(COUNTA(P17:T19)&lt;&gt;15,"Enter data in yellow shaded cells","")</f>
        <v>Enter data in yellow shaded cells</v>
      </c>
      <c r="T11" s="40"/>
    </row>
    <row r="12" spans="1:23" ht="15" customHeight="1" x14ac:dyDescent="0.2">
      <c r="A12" s="30"/>
      <c r="C12" s="40"/>
      <c r="D12" s="40"/>
      <c r="E12" s="40"/>
      <c r="F12" s="40"/>
      <c r="J12" s="40"/>
      <c r="K12" s="40"/>
      <c r="L12" s="40"/>
      <c r="M12" s="40"/>
      <c r="Q12" s="40"/>
      <c r="R12" s="40"/>
      <c r="S12" s="40"/>
      <c r="T12" s="40"/>
    </row>
    <row r="13" spans="1:23" ht="15" customHeight="1" thickBot="1" x14ac:dyDescent="0.25">
      <c r="A13" s="30"/>
      <c r="C13" s="40"/>
      <c r="D13" s="40"/>
      <c r="E13" s="40"/>
      <c r="F13" s="40"/>
      <c r="J13" s="40"/>
      <c r="K13" s="40"/>
      <c r="L13" s="40"/>
      <c r="M13" s="40"/>
      <c r="Q13" s="40"/>
      <c r="R13" s="40"/>
      <c r="S13" s="40"/>
      <c r="T13" s="40"/>
    </row>
    <row r="14" spans="1:23" ht="18" customHeight="1" thickBot="1" x14ac:dyDescent="0.25">
      <c r="A14" s="368" t="s">
        <v>327</v>
      </c>
      <c r="B14" s="382" t="s">
        <v>39</v>
      </c>
      <c r="C14" s="366"/>
      <c r="D14" s="366"/>
      <c r="E14" s="366"/>
      <c r="F14" s="366"/>
      <c r="G14" s="366"/>
      <c r="H14" s="367"/>
      <c r="I14" s="383" t="s">
        <v>241</v>
      </c>
      <c r="J14" s="375"/>
      <c r="K14" s="375"/>
      <c r="L14" s="375"/>
      <c r="M14" s="375"/>
      <c r="N14" s="375"/>
      <c r="O14" s="376"/>
      <c r="P14" s="384" t="s">
        <v>243</v>
      </c>
      <c r="Q14" s="366"/>
      <c r="R14" s="366"/>
      <c r="S14" s="366"/>
      <c r="T14" s="366"/>
      <c r="U14" s="366"/>
      <c r="V14" s="367"/>
    </row>
    <row r="15" spans="1:23" ht="13.5" thickBot="1" x14ac:dyDescent="0.25">
      <c r="B15" s="45" t="s">
        <v>320</v>
      </c>
      <c r="C15" s="45"/>
      <c r="D15" s="45"/>
      <c r="E15" s="45" t="s">
        <v>321</v>
      </c>
      <c r="F15" s="45" t="s">
        <v>4</v>
      </c>
      <c r="G15" s="225" t="s">
        <v>322</v>
      </c>
      <c r="H15" s="225" t="s">
        <v>323</v>
      </c>
      <c r="I15" s="45" t="s">
        <v>320</v>
      </c>
      <c r="J15" s="45"/>
      <c r="K15" s="45"/>
      <c r="L15" s="45" t="s">
        <v>321</v>
      </c>
      <c r="M15" s="45" t="s">
        <v>4</v>
      </c>
      <c r="N15" s="225" t="s">
        <v>322</v>
      </c>
      <c r="O15" s="225" t="s">
        <v>323</v>
      </c>
      <c r="P15" s="45" t="s">
        <v>320</v>
      </c>
      <c r="Q15" s="45"/>
      <c r="R15" s="45"/>
      <c r="S15" s="45" t="s">
        <v>321</v>
      </c>
      <c r="T15" s="45" t="s">
        <v>4</v>
      </c>
      <c r="U15" s="225" t="s">
        <v>322</v>
      </c>
      <c r="V15" s="225" t="s">
        <v>323</v>
      </c>
      <c r="W15" s="37"/>
    </row>
    <row r="16" spans="1:23" ht="69.95" customHeight="1" x14ac:dyDescent="0.2">
      <c r="A16" s="371" t="s">
        <v>38</v>
      </c>
      <c r="B16" s="369" t="s">
        <v>316</v>
      </c>
      <c r="C16" s="351" t="s">
        <v>310</v>
      </c>
      <c r="D16" s="351" t="s">
        <v>312</v>
      </c>
      <c r="E16" s="351" t="s">
        <v>317</v>
      </c>
      <c r="F16" s="351" t="s">
        <v>311</v>
      </c>
      <c r="G16" s="362" t="s">
        <v>314</v>
      </c>
      <c r="H16" s="352" t="s">
        <v>313</v>
      </c>
      <c r="I16" s="377" t="s">
        <v>316</v>
      </c>
      <c r="J16" s="345" t="s">
        <v>310</v>
      </c>
      <c r="K16" s="345" t="s">
        <v>312</v>
      </c>
      <c r="L16" s="345" t="s">
        <v>317</v>
      </c>
      <c r="M16" s="345" t="s">
        <v>311</v>
      </c>
      <c r="N16" s="378" t="s">
        <v>314</v>
      </c>
      <c r="O16" s="346" t="s">
        <v>313</v>
      </c>
      <c r="P16" s="381" t="s">
        <v>316</v>
      </c>
      <c r="Q16" s="351" t="s">
        <v>310</v>
      </c>
      <c r="R16" s="351" t="s">
        <v>312</v>
      </c>
      <c r="S16" s="351" t="s">
        <v>317</v>
      </c>
      <c r="T16" s="351" t="s">
        <v>311</v>
      </c>
      <c r="U16" s="362" t="s">
        <v>314</v>
      </c>
      <c r="V16" s="352" t="s">
        <v>313</v>
      </c>
    </row>
    <row r="17" spans="1:23" ht="36" customHeight="1" x14ac:dyDescent="0.2">
      <c r="A17" s="408" t="s">
        <v>427</v>
      </c>
      <c r="B17" s="360"/>
      <c r="C17" s="42"/>
      <c r="D17" s="42"/>
      <c r="E17" s="42"/>
      <c r="F17" s="42"/>
      <c r="G17" s="43">
        <f t="shared" ref="G17:G21" si="4">IF($F17=0,0,B17/$F17)</f>
        <v>0</v>
      </c>
      <c r="H17" s="347">
        <f t="shared" ref="H17:H21" si="5">IF($F17=0,0,E17/$F17)</f>
        <v>0</v>
      </c>
      <c r="I17" s="52"/>
      <c r="J17" s="42"/>
      <c r="K17" s="42"/>
      <c r="L17" s="42"/>
      <c r="M17" s="42"/>
      <c r="N17" s="43">
        <f>IF($M17=0,0,I17/$M17)</f>
        <v>0</v>
      </c>
      <c r="O17" s="347">
        <f>IF($M17=0,0,L17/$M17)</f>
        <v>0</v>
      </c>
      <c r="P17" s="52"/>
      <c r="Q17" s="42"/>
      <c r="R17" s="42"/>
      <c r="S17" s="42"/>
      <c r="T17" s="42"/>
      <c r="U17" s="43">
        <f>IF($T17=0,0,P17/$T17)</f>
        <v>0</v>
      </c>
      <c r="V17" s="347">
        <f>IF($T17=0,0,S17/$T17)</f>
        <v>0</v>
      </c>
    </row>
    <row r="18" spans="1:23" ht="36" customHeight="1" x14ac:dyDescent="0.2">
      <c r="A18" s="407" t="s">
        <v>7</v>
      </c>
      <c r="B18" s="360"/>
      <c r="C18" s="42"/>
      <c r="D18" s="42"/>
      <c r="E18" s="42"/>
      <c r="F18" s="42"/>
      <c r="G18" s="43">
        <f t="shared" si="4"/>
        <v>0</v>
      </c>
      <c r="H18" s="347">
        <f t="shared" si="5"/>
        <v>0</v>
      </c>
      <c r="I18" s="52"/>
      <c r="J18" s="42"/>
      <c r="K18" s="42"/>
      <c r="L18" s="42"/>
      <c r="M18" s="42"/>
      <c r="N18" s="43">
        <f>IF($M18=0,0,I18/$M18)</f>
        <v>0</v>
      </c>
      <c r="O18" s="347">
        <f>IF($M18=0,0,L18/$M18)</f>
        <v>0</v>
      </c>
      <c r="P18" s="52"/>
      <c r="Q18" s="42"/>
      <c r="R18" s="42"/>
      <c r="S18" s="42"/>
      <c r="T18" s="42"/>
      <c r="U18" s="43">
        <f>IF($T18=0,0,P18/$T18)</f>
        <v>0</v>
      </c>
      <c r="V18" s="347">
        <f>IF($T18=0,0,S18/$T18)</f>
        <v>0</v>
      </c>
      <c r="W18" s="41"/>
    </row>
    <row r="19" spans="1:23" ht="36" customHeight="1" x14ac:dyDescent="0.2">
      <c r="A19" s="408" t="s">
        <v>315</v>
      </c>
      <c r="B19" s="360"/>
      <c r="C19" s="42"/>
      <c r="D19" s="42"/>
      <c r="E19" s="42"/>
      <c r="F19" s="42"/>
      <c r="G19" s="43">
        <f t="shared" si="4"/>
        <v>0</v>
      </c>
      <c r="H19" s="347">
        <f t="shared" si="5"/>
        <v>0</v>
      </c>
      <c r="I19" s="52"/>
      <c r="J19" s="42"/>
      <c r="K19" s="42"/>
      <c r="L19" s="42"/>
      <c r="M19" s="42"/>
      <c r="N19" s="43">
        <f>IF($M19=0,0,I19/$M19)</f>
        <v>0</v>
      </c>
      <c r="O19" s="347">
        <f>IF($M19=0,0,L19/$M19)</f>
        <v>0</v>
      </c>
      <c r="P19" s="52"/>
      <c r="Q19" s="42"/>
      <c r="R19" s="42"/>
      <c r="S19" s="42"/>
      <c r="T19" s="42"/>
      <c r="U19" s="43">
        <f>IF($T19=0,0,P19/$T19)</f>
        <v>0</v>
      </c>
      <c r="V19" s="347">
        <f>IF($T19=0,0,S19/$T19)</f>
        <v>0</v>
      </c>
    </row>
    <row r="20" spans="1:23" ht="36" customHeight="1" x14ac:dyDescent="0.2">
      <c r="A20" s="408" t="s">
        <v>318</v>
      </c>
      <c r="B20" s="361">
        <f>SUM(B18:B19)</f>
        <v>0</v>
      </c>
      <c r="C20" s="46">
        <f t="shared" ref="C20:F20" si="6">SUM(C18:C19)</f>
        <v>0</v>
      </c>
      <c r="D20" s="46">
        <f t="shared" si="6"/>
        <v>0</v>
      </c>
      <c r="E20" s="46">
        <f t="shared" si="6"/>
        <v>0</v>
      </c>
      <c r="F20" s="46">
        <f t="shared" si="6"/>
        <v>0</v>
      </c>
      <c r="G20" s="43">
        <f t="shared" si="4"/>
        <v>0</v>
      </c>
      <c r="H20" s="347">
        <f t="shared" si="5"/>
        <v>0</v>
      </c>
      <c r="I20" s="379">
        <f>SUM(I18:I19)</f>
        <v>0</v>
      </c>
      <c r="J20" s="46">
        <f t="shared" ref="J20:M20" si="7">SUM(J18:J19)</f>
        <v>0</v>
      </c>
      <c r="K20" s="46">
        <f t="shared" si="7"/>
        <v>0</v>
      </c>
      <c r="L20" s="46">
        <f t="shared" si="7"/>
        <v>0</v>
      </c>
      <c r="M20" s="46">
        <f t="shared" si="7"/>
        <v>0</v>
      </c>
      <c r="N20" s="43">
        <f>IF($M20=0,0,I20/$M20)</f>
        <v>0</v>
      </c>
      <c r="O20" s="347">
        <f>IF($M20=0,0,L20/$M20)</f>
        <v>0</v>
      </c>
      <c r="P20" s="379">
        <f>SUM(P18:P19)</f>
        <v>0</v>
      </c>
      <c r="Q20" s="46">
        <f t="shared" ref="Q20:T20" si="8">SUM(Q18:Q19)</f>
        <v>0</v>
      </c>
      <c r="R20" s="46">
        <f t="shared" si="8"/>
        <v>0</v>
      </c>
      <c r="S20" s="46">
        <f t="shared" si="8"/>
        <v>0</v>
      </c>
      <c r="T20" s="46">
        <f t="shared" si="8"/>
        <v>0</v>
      </c>
      <c r="U20" s="43">
        <f>IF($T20=0,0,P20/$T20)</f>
        <v>0</v>
      </c>
      <c r="V20" s="347">
        <f>IF($T20=0,0,S20/$T20)</f>
        <v>0</v>
      </c>
    </row>
    <row r="21" spans="1:23" ht="36" customHeight="1" thickBot="1" x14ac:dyDescent="0.25">
      <c r="A21" s="432" t="s">
        <v>446</v>
      </c>
      <c r="B21" s="370">
        <f>SUM(B17:B19)</f>
        <v>0</v>
      </c>
      <c r="C21" s="363">
        <f>SUM(C17:C19)</f>
        <v>0</v>
      </c>
      <c r="D21" s="363">
        <f>SUM(D17:D19)</f>
        <v>0</v>
      </c>
      <c r="E21" s="363">
        <f>SUM(E17:E19)</f>
        <v>0</v>
      </c>
      <c r="F21" s="363">
        <f>SUM(F17:F19)</f>
        <v>0</v>
      </c>
      <c r="G21" s="364">
        <f t="shared" si="4"/>
        <v>0</v>
      </c>
      <c r="H21" s="365">
        <f t="shared" si="5"/>
        <v>0</v>
      </c>
      <c r="I21" s="380">
        <f>SUM(I17:I19)</f>
        <v>0</v>
      </c>
      <c r="J21" s="363">
        <f>SUM(J17:J19)</f>
        <v>0</v>
      </c>
      <c r="K21" s="363">
        <f>SUM(K17:K19)</f>
        <v>0</v>
      </c>
      <c r="L21" s="363">
        <f>SUM(L17:L19)</f>
        <v>0</v>
      </c>
      <c r="M21" s="363">
        <f>SUM(M17:M19)</f>
        <v>0</v>
      </c>
      <c r="N21" s="364">
        <f>IF($M21=0,0,I21/$M21)</f>
        <v>0</v>
      </c>
      <c r="O21" s="365">
        <f>IF($M21=0,0,L21/$M21)</f>
        <v>0</v>
      </c>
      <c r="P21" s="380">
        <f>SUM(P17:P19)</f>
        <v>0</v>
      </c>
      <c r="Q21" s="363">
        <f>SUM(Q17:Q19)</f>
        <v>0</v>
      </c>
      <c r="R21" s="363">
        <f>SUM(R17:R19)</f>
        <v>0</v>
      </c>
      <c r="S21" s="363">
        <f>SUM(S17:S19)</f>
        <v>0</v>
      </c>
      <c r="T21" s="363">
        <f>SUM(T17:T19)</f>
        <v>0</v>
      </c>
      <c r="U21" s="364">
        <f>IF($T21=0,0,P21/$T21)</f>
        <v>0</v>
      </c>
      <c r="V21" s="365">
        <f>IF($T21=0,0,S21/$T21)</f>
        <v>0</v>
      </c>
    </row>
    <row r="22" spans="1:23" x14ac:dyDescent="0.2">
      <c r="C22" s="44"/>
      <c r="D22" s="44"/>
      <c r="E22" s="44"/>
      <c r="F22" s="44"/>
      <c r="J22" s="44"/>
      <c r="K22" s="44"/>
      <c r="L22" s="44"/>
      <c r="M22" s="44"/>
      <c r="Q22" s="44"/>
      <c r="R22" s="44"/>
      <c r="S22" s="44"/>
      <c r="T22" s="44"/>
    </row>
    <row r="23" spans="1:23" x14ac:dyDescent="0.2">
      <c r="B23" s="60" t="s">
        <v>465</v>
      </c>
      <c r="C23" s="60"/>
      <c r="D23" s="60"/>
      <c r="E23" s="60"/>
      <c r="F23" s="60"/>
      <c r="G23" s="60"/>
      <c r="H23" s="60"/>
      <c r="I23" s="60" t="s">
        <v>466</v>
      </c>
      <c r="J23" s="60"/>
      <c r="K23" s="60"/>
      <c r="L23" s="60"/>
      <c r="M23" s="60"/>
      <c r="N23" s="60"/>
      <c r="O23" s="60"/>
      <c r="P23" s="60" t="s">
        <v>467</v>
      </c>
    </row>
  </sheetData>
  <sheetProtection sheet="1" objects="1" scenarios="1"/>
  <conditionalFormatting sqref="C3:F3 C9:E9 C12:F13 C4:E4 F11">
    <cfRule type="expression" dxfId="665" priority="9">
      <formula>C3="Data Not Entered On Set-Up Worksheet"</formula>
    </cfRule>
  </conditionalFormatting>
  <conditionalFormatting sqref="B17:F19">
    <cfRule type="cellIs" dxfId="664" priority="8" operator="equal">
      <formula>""</formula>
    </cfRule>
  </conditionalFormatting>
  <conditionalFormatting sqref="C11:D11">
    <cfRule type="expression" dxfId="663" priority="7">
      <formula>C11="Data Not Entered On Set-Up Worksheet"</formula>
    </cfRule>
  </conditionalFormatting>
  <conditionalFormatting sqref="J3:M3 J9:L9 J12:M13 J4:L4 M11">
    <cfRule type="expression" dxfId="662" priority="6">
      <formula>J3="Data Not Entered On Set-Up Worksheet"</formula>
    </cfRule>
  </conditionalFormatting>
  <conditionalFormatting sqref="I17:M19">
    <cfRule type="cellIs" dxfId="661" priority="5" operator="equal">
      <formula>""</formula>
    </cfRule>
  </conditionalFormatting>
  <conditionalFormatting sqref="J11:K11">
    <cfRule type="expression" dxfId="660" priority="4">
      <formula>J11="Data Not Entered On Set-Up Worksheet"</formula>
    </cfRule>
  </conditionalFormatting>
  <conditionalFormatting sqref="Q3:T3 Q9:S9 Q12:T13 Q4:S4 T11">
    <cfRule type="expression" dxfId="659" priority="3">
      <formula>Q3="Data Not Entered On Set-Up Worksheet"</formula>
    </cfRule>
  </conditionalFormatting>
  <conditionalFormatting sqref="P17:T19">
    <cfRule type="cellIs" dxfId="658" priority="2" operator="equal">
      <formula>""</formula>
    </cfRule>
  </conditionalFormatting>
  <conditionalFormatting sqref="Q11:R11">
    <cfRule type="expression" dxfId="657" priority="1">
      <formula>Q11="Data Not Entered On Set-Up Worksheet"</formula>
    </cfRule>
  </conditionalFormatting>
  <pageMargins left="0.5" right="0.5" top="0.5" bottom="0.5" header="0.3" footer="0.3"/>
  <pageSetup scale="31" orientation="landscape" r:id="rId1"/>
  <headerFooter>
    <oddFooter>&amp;LNC DHHS LME-MCO Performance Measures Report Part II DMH/DD/SAS Measures&amp;C&amp;P&amp;R&amp;F</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AH45"/>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x14ac:dyDescent="0.2"/>
  <cols>
    <col min="1" max="1" width="22.42578125" style="22" customWidth="1"/>
    <col min="2" max="6" width="18.7109375" style="22" customWidth="1"/>
    <col min="7" max="7" width="16.7109375" style="22" customWidth="1"/>
    <col min="8" max="13" width="18.7109375" style="22" customWidth="1"/>
    <col min="14" max="14" width="16.7109375" style="22" customWidth="1"/>
    <col min="15" max="20" width="18.7109375" style="22" customWidth="1"/>
    <col min="21" max="21" width="16.7109375" style="22" customWidth="1"/>
    <col min="22" max="22" width="18.7109375" style="22" customWidth="1"/>
    <col min="23" max="23" width="8.85546875" style="22" bestFit="1" customWidth="1"/>
    <col min="24" max="16384" width="9.140625" style="22"/>
  </cols>
  <sheetData>
    <row r="1" spans="1:34" ht="15" customHeight="1" x14ac:dyDescent="0.2">
      <c r="A1" s="36" t="s">
        <v>28</v>
      </c>
      <c r="I1" s="30" t="s">
        <v>329</v>
      </c>
      <c r="P1" s="30" t="s">
        <v>329</v>
      </c>
    </row>
    <row r="2" spans="1:34" ht="15" customHeight="1" x14ac:dyDescent="0.2">
      <c r="A2" s="36" t="s">
        <v>196</v>
      </c>
      <c r="I2" s="321" t="s">
        <v>330</v>
      </c>
      <c r="P2" s="321" t="s">
        <v>330</v>
      </c>
    </row>
    <row r="3" spans="1:34" ht="15" customHeight="1" x14ac:dyDescent="0.2">
      <c r="A3" s="30" t="s">
        <v>194</v>
      </c>
      <c r="C3" s="147">
        <f>IF('Set-Up Worksheet'!F3="","Data Not Entered On Set-Up Worksheet",'Set-Up Worksheet'!F3)</f>
        <v>2018</v>
      </c>
      <c r="G3" s="147"/>
      <c r="J3" s="147">
        <f t="shared" ref="J3:J11" si="0">C3</f>
        <v>2018</v>
      </c>
      <c r="N3" s="147"/>
      <c r="Q3" s="147">
        <f t="shared" ref="Q3:Q11" si="1">C3</f>
        <v>2018</v>
      </c>
      <c r="U3" s="147"/>
    </row>
    <row r="4" spans="1:34" ht="15" customHeight="1" x14ac:dyDescent="0.2">
      <c r="A4" s="30" t="s">
        <v>195</v>
      </c>
      <c r="C4" s="147" t="str">
        <f>IF('Set-Up Worksheet'!F4="","Data Not Entered On Set-Up Worksheet",'Set-Up Worksheet'!F4)</f>
        <v>1st Quarter</v>
      </c>
      <c r="G4" s="147"/>
      <c r="J4" s="147" t="str">
        <f t="shared" si="0"/>
        <v>1st Quarter</v>
      </c>
      <c r="N4" s="147"/>
      <c r="Q4" s="147" t="str">
        <f t="shared" si="1"/>
        <v>1st Quarter</v>
      </c>
      <c r="U4" s="147"/>
    </row>
    <row r="5" spans="1:34" ht="15" customHeight="1" x14ac:dyDescent="0.2">
      <c r="A5" s="30"/>
      <c r="C5" s="32"/>
      <c r="G5" s="32"/>
      <c r="J5" s="39"/>
      <c r="N5" s="32"/>
      <c r="Q5" s="39"/>
      <c r="U5" s="32"/>
    </row>
    <row r="6" spans="1:34" ht="15" customHeight="1" x14ac:dyDescent="0.2">
      <c r="A6" s="30" t="s">
        <v>309</v>
      </c>
      <c r="C6" s="32"/>
      <c r="G6" s="32"/>
      <c r="I6" s="30" t="s">
        <v>331</v>
      </c>
      <c r="J6" s="39"/>
      <c r="N6" s="32"/>
      <c r="P6" s="30" t="s">
        <v>331</v>
      </c>
      <c r="Q6" s="39"/>
      <c r="U6" s="32"/>
    </row>
    <row r="7" spans="1:34" ht="15" customHeight="1" x14ac:dyDescent="0.2">
      <c r="A7" s="30" t="s">
        <v>425</v>
      </c>
      <c r="C7" s="32"/>
      <c r="G7" s="32"/>
      <c r="I7" s="30" t="s">
        <v>426</v>
      </c>
      <c r="J7" s="39"/>
      <c r="N7" s="32"/>
      <c r="P7" s="30" t="s">
        <v>426</v>
      </c>
      <c r="Q7" s="39"/>
      <c r="U7" s="32"/>
    </row>
    <row r="8" spans="1:34" ht="15" customHeight="1" x14ac:dyDescent="0.2">
      <c r="A8" s="30"/>
      <c r="C8" s="32"/>
      <c r="G8" s="32"/>
      <c r="J8" s="39"/>
      <c r="N8" s="32"/>
      <c r="Q8" s="39"/>
      <c r="U8" s="32"/>
      <c r="Z8" s="54"/>
      <c r="AA8" s="54"/>
      <c r="AB8" s="55"/>
      <c r="AC8" s="54"/>
      <c r="AD8" s="54"/>
      <c r="AE8" s="54"/>
      <c r="AF8" s="54"/>
      <c r="AG8" s="30"/>
      <c r="AH8" s="35"/>
    </row>
    <row r="9" spans="1:34" ht="15" customHeight="1" x14ac:dyDescent="0.2">
      <c r="A9" s="30" t="s">
        <v>29</v>
      </c>
      <c r="C9" s="39" t="str">
        <f>IF('Set-Up Worksheet'!E7="","Data Not Entered On Set-Up Worksheet",'Set-Up Worksheet'!E7)</f>
        <v>Data Not Entered On Set-Up Worksheet</v>
      </c>
      <c r="G9" s="39"/>
      <c r="J9" s="39" t="str">
        <f t="shared" si="0"/>
        <v>Data Not Entered On Set-Up Worksheet</v>
      </c>
      <c r="N9" s="39"/>
      <c r="Q9" s="39" t="str">
        <f t="shared" si="1"/>
        <v>Data Not Entered On Set-Up Worksheet</v>
      </c>
      <c r="U9" s="39"/>
    </row>
    <row r="10" spans="1:34" ht="15" customHeight="1" x14ac:dyDescent="0.2">
      <c r="A10" s="30" t="s">
        <v>9</v>
      </c>
      <c r="C10" s="32" t="s">
        <v>10</v>
      </c>
      <c r="G10" s="32"/>
      <c r="J10" s="39" t="str">
        <f t="shared" si="0"/>
        <v>Behavioral Health</v>
      </c>
      <c r="N10" s="32"/>
      <c r="Q10" s="39" t="str">
        <f t="shared" si="1"/>
        <v>Behavioral Health</v>
      </c>
      <c r="U10" s="32"/>
    </row>
    <row r="11" spans="1:34" ht="15" customHeight="1" x14ac:dyDescent="0.2">
      <c r="A11" s="30" t="s">
        <v>197</v>
      </c>
      <c r="C11" s="40" t="str">
        <f>IF(C4="Data Not Entered On Set-Up Worksheet","Data Not Entered On Set-Up Worksheet",IF(C4="1st Quarter",'Report Schedule'!D22,IF(C4="2nd Quarter",'Report Schedule'!E22,IF(C4="3rd Quarter",'Report Schedule'!F22,IF(C4="4th Quarter",'Report Schedule'!G22,"")))))</f>
        <v>Apr - Jun 2017</v>
      </c>
      <c r="E11" s="79" t="s">
        <v>40</v>
      </c>
      <c r="G11" s="40"/>
      <c r="J11" s="40" t="str">
        <f t="shared" si="0"/>
        <v>Apr - Jun 2017</v>
      </c>
      <c r="L11" s="79"/>
      <c r="N11" s="40"/>
      <c r="Q11" s="40" t="str">
        <f t="shared" si="1"/>
        <v>Apr - Jun 2017</v>
      </c>
      <c r="S11" s="79"/>
      <c r="U11" s="40"/>
    </row>
    <row r="12" spans="1:34" ht="15" customHeight="1" x14ac:dyDescent="0.2">
      <c r="A12" s="30"/>
      <c r="F12" s="40"/>
      <c r="G12" s="40"/>
      <c r="M12" s="40"/>
      <c r="N12" s="40"/>
      <c r="T12" s="40"/>
      <c r="U12" s="40"/>
    </row>
    <row r="13" spans="1:34" ht="13.5" thickBot="1" x14ac:dyDescent="0.25"/>
    <row r="14" spans="1:34" ht="18" customHeight="1" thickBot="1" x14ac:dyDescent="0.25">
      <c r="A14" s="226" t="s">
        <v>327</v>
      </c>
      <c r="B14" s="382" t="s">
        <v>39</v>
      </c>
      <c r="C14" s="315"/>
      <c r="D14" s="315"/>
      <c r="E14" s="315"/>
      <c r="F14" s="235"/>
      <c r="G14" s="235"/>
      <c r="H14" s="236"/>
      <c r="I14" s="385" t="s">
        <v>241</v>
      </c>
      <c r="J14" s="82"/>
      <c r="K14" s="82"/>
      <c r="L14" s="82"/>
      <c r="M14" s="231"/>
      <c r="N14" s="231"/>
      <c r="O14" s="232"/>
      <c r="P14" s="382" t="s">
        <v>243</v>
      </c>
      <c r="Q14" s="315"/>
      <c r="R14" s="315"/>
      <c r="S14" s="315"/>
      <c r="T14" s="235"/>
      <c r="U14" s="235"/>
      <c r="V14" s="236"/>
    </row>
    <row r="15" spans="1:34" s="35" customFormat="1" ht="13.5" thickBot="1" x14ac:dyDescent="0.25">
      <c r="A15" s="30"/>
      <c r="B15" s="45" t="s">
        <v>320</v>
      </c>
      <c r="C15" s="45"/>
      <c r="D15" s="45"/>
      <c r="E15" s="45" t="s">
        <v>321</v>
      </c>
      <c r="F15" s="57" t="s">
        <v>4</v>
      </c>
      <c r="G15" s="57" t="s">
        <v>322</v>
      </c>
      <c r="H15" s="58" t="s">
        <v>323</v>
      </c>
      <c r="I15" s="45" t="s">
        <v>320</v>
      </c>
      <c r="J15" s="45"/>
      <c r="K15" s="45"/>
      <c r="L15" s="45" t="s">
        <v>321</v>
      </c>
      <c r="M15" s="57" t="s">
        <v>4</v>
      </c>
      <c r="N15" s="57" t="s">
        <v>322</v>
      </c>
      <c r="O15" s="58" t="s">
        <v>323</v>
      </c>
      <c r="P15" s="45" t="s">
        <v>320</v>
      </c>
      <c r="Q15" s="45"/>
      <c r="R15" s="45"/>
      <c r="S15" s="45" t="s">
        <v>321</v>
      </c>
      <c r="T15" s="57" t="s">
        <v>4</v>
      </c>
      <c r="U15" s="57" t="s">
        <v>322</v>
      </c>
      <c r="V15" s="58" t="s">
        <v>323</v>
      </c>
      <c r="W15" s="33"/>
      <c r="X15" s="30"/>
      <c r="Y15" s="30"/>
      <c r="Z15" s="30"/>
      <c r="AA15" s="30"/>
      <c r="AB15" s="30"/>
    </row>
    <row r="16" spans="1:34" ht="63.75" x14ac:dyDescent="0.2">
      <c r="A16" s="75" t="s">
        <v>43</v>
      </c>
      <c r="B16" s="242" t="s">
        <v>316</v>
      </c>
      <c r="C16" s="240" t="s">
        <v>310</v>
      </c>
      <c r="D16" s="240" t="s">
        <v>312</v>
      </c>
      <c r="E16" s="316" t="s">
        <v>317</v>
      </c>
      <c r="F16" s="240" t="s">
        <v>311</v>
      </c>
      <c r="G16" s="314" t="s">
        <v>324</v>
      </c>
      <c r="H16" s="241" t="s">
        <v>319</v>
      </c>
      <c r="I16" s="221" t="s">
        <v>316</v>
      </c>
      <c r="J16" s="67" t="s">
        <v>310</v>
      </c>
      <c r="K16" s="67" t="s">
        <v>312</v>
      </c>
      <c r="L16" s="83" t="s">
        <v>317</v>
      </c>
      <c r="M16" s="67" t="s">
        <v>311</v>
      </c>
      <c r="N16" s="320" t="s">
        <v>324</v>
      </c>
      <c r="O16" s="68" t="s">
        <v>319</v>
      </c>
      <c r="P16" s="242" t="s">
        <v>316</v>
      </c>
      <c r="Q16" s="240" t="s">
        <v>310</v>
      </c>
      <c r="R16" s="240" t="s">
        <v>312</v>
      </c>
      <c r="S16" s="316" t="s">
        <v>317</v>
      </c>
      <c r="T16" s="240" t="s">
        <v>311</v>
      </c>
      <c r="U16" s="314" t="s">
        <v>324</v>
      </c>
      <c r="V16" s="241" t="s">
        <v>319</v>
      </c>
    </row>
    <row r="17" spans="1:22" ht="18" customHeight="1" x14ac:dyDescent="0.2">
      <c r="A17" s="76" t="str">
        <f>IF($C$9="Data Not Entered On Set-Up Worksheet","",IF(OR(VLOOKUP($C$9,County_Lookup,2,FALSE)="",VLOOKUP($C$9,County_Lookup,2,FALSE)=0),"",VLOOKUP($C$9,County_Lookup,2,FALSE)))</f>
        <v/>
      </c>
      <c r="B17" s="222"/>
      <c r="C17" s="224"/>
      <c r="D17" s="224"/>
      <c r="E17" s="222"/>
      <c r="F17" s="61"/>
      <c r="G17" s="318" t="str">
        <f t="shared" ref="G17:G43" si="2">IF($A17="","",IF($F17=0,0,B17/$F17))</f>
        <v/>
      </c>
      <c r="H17" s="70" t="str">
        <f>IF($A17="","",IF($F17=0,0,E17/$F17))</f>
        <v/>
      </c>
      <c r="I17" s="222"/>
      <c r="J17" s="224"/>
      <c r="K17" s="224"/>
      <c r="L17" s="222"/>
      <c r="M17" s="61"/>
      <c r="N17" s="318" t="str">
        <f t="shared" ref="N17:N43" si="3">IF($A17="","",IF($M17=0,0,I17/$M17))</f>
        <v/>
      </c>
      <c r="O17" s="70" t="str">
        <f t="shared" ref="O17:O43" si="4">IF($A17="","",IF($M17=0,0,L17/$M17))</f>
        <v/>
      </c>
      <c r="P17" s="222"/>
      <c r="Q17" s="224"/>
      <c r="R17" s="224"/>
      <c r="S17" s="222"/>
      <c r="T17" s="61"/>
      <c r="U17" s="318" t="str">
        <f t="shared" ref="U17:U43" si="5">IF($A17="","",IF($T17=0,0,P17/$T17))</f>
        <v/>
      </c>
      <c r="V17" s="70" t="str">
        <f t="shared" ref="V17:V43" si="6">IF($A17="","",IF($T17=0,0,S17/$T17))</f>
        <v/>
      </c>
    </row>
    <row r="18" spans="1:22" ht="18" customHeight="1" x14ac:dyDescent="0.2">
      <c r="A18" s="77" t="str">
        <f>IF($C$9="Data Not Entered On Set-Up Worksheet","",IF(OR(VLOOKUP($C$9,County_Lookup,3,FALSE)="",VLOOKUP($C$9,County_Lookup,3,FALSE)=0),"",VLOOKUP($C$9,County_Lookup,3,FALSE)))</f>
        <v/>
      </c>
      <c r="B18" s="222"/>
      <c r="C18" s="224"/>
      <c r="D18" s="224"/>
      <c r="E18" s="222"/>
      <c r="F18" s="61"/>
      <c r="G18" s="318" t="str">
        <f t="shared" si="2"/>
        <v/>
      </c>
      <c r="H18" s="70" t="str">
        <f t="shared" ref="H18:H42" si="7">IF($A18="","",IF($F18=0,0,E18/$F18))</f>
        <v/>
      </c>
      <c r="I18" s="222"/>
      <c r="J18" s="224"/>
      <c r="K18" s="224"/>
      <c r="L18" s="222"/>
      <c r="M18" s="61"/>
      <c r="N18" s="318" t="str">
        <f t="shared" si="3"/>
        <v/>
      </c>
      <c r="O18" s="70" t="str">
        <f t="shared" si="4"/>
        <v/>
      </c>
      <c r="P18" s="222"/>
      <c r="Q18" s="224"/>
      <c r="R18" s="224"/>
      <c r="S18" s="222"/>
      <c r="T18" s="61"/>
      <c r="U18" s="318" t="str">
        <f t="shared" si="5"/>
        <v/>
      </c>
      <c r="V18" s="70" t="str">
        <f t="shared" si="6"/>
        <v/>
      </c>
    </row>
    <row r="19" spans="1:22" ht="18" customHeight="1" x14ac:dyDescent="0.2">
      <c r="A19" s="77" t="str">
        <f>IF($C$9="Data Not Entered On Set-Up Worksheet","",IF(OR(VLOOKUP($C$9,County_Lookup,4,FALSE)="",VLOOKUP($C$9,County_Lookup,4,FALSE)=0),"",VLOOKUP($C$9,County_Lookup,4,FALSE)))</f>
        <v/>
      </c>
      <c r="B19" s="222"/>
      <c r="C19" s="224"/>
      <c r="D19" s="224"/>
      <c r="E19" s="222"/>
      <c r="F19" s="61"/>
      <c r="G19" s="318" t="str">
        <f t="shared" si="2"/>
        <v/>
      </c>
      <c r="H19" s="70" t="str">
        <f t="shared" si="7"/>
        <v/>
      </c>
      <c r="I19" s="222"/>
      <c r="J19" s="224"/>
      <c r="K19" s="224"/>
      <c r="L19" s="222"/>
      <c r="M19" s="61"/>
      <c r="N19" s="318" t="str">
        <f t="shared" si="3"/>
        <v/>
      </c>
      <c r="O19" s="70" t="str">
        <f t="shared" si="4"/>
        <v/>
      </c>
      <c r="P19" s="222"/>
      <c r="Q19" s="224"/>
      <c r="R19" s="224"/>
      <c r="S19" s="222"/>
      <c r="T19" s="61"/>
      <c r="U19" s="318" t="str">
        <f t="shared" si="5"/>
        <v/>
      </c>
      <c r="V19" s="70" t="str">
        <f t="shared" si="6"/>
        <v/>
      </c>
    </row>
    <row r="20" spans="1:22" ht="18" customHeight="1" x14ac:dyDescent="0.2">
      <c r="A20" s="77" t="str">
        <f>IF($C$9="Data Not Entered On Set-Up Worksheet","",IF(OR(VLOOKUP($C$9,County_Lookup,5,FALSE)="",VLOOKUP($C$9,County_Lookup,5,FALSE)=0),"",VLOOKUP($C$9,County_Lookup,5,FALSE)))</f>
        <v/>
      </c>
      <c r="B20" s="222"/>
      <c r="C20" s="224"/>
      <c r="D20" s="224"/>
      <c r="E20" s="222"/>
      <c r="F20" s="61"/>
      <c r="G20" s="318" t="str">
        <f t="shared" si="2"/>
        <v/>
      </c>
      <c r="H20" s="70" t="str">
        <f t="shared" si="7"/>
        <v/>
      </c>
      <c r="I20" s="222"/>
      <c r="J20" s="224"/>
      <c r="K20" s="224"/>
      <c r="L20" s="222"/>
      <c r="M20" s="61"/>
      <c r="N20" s="318" t="str">
        <f t="shared" si="3"/>
        <v/>
      </c>
      <c r="O20" s="70" t="str">
        <f t="shared" si="4"/>
        <v/>
      </c>
      <c r="P20" s="222"/>
      <c r="Q20" s="224"/>
      <c r="R20" s="224"/>
      <c r="S20" s="222"/>
      <c r="T20" s="61"/>
      <c r="U20" s="318" t="str">
        <f t="shared" si="5"/>
        <v/>
      </c>
      <c r="V20" s="70" t="str">
        <f t="shared" si="6"/>
        <v/>
      </c>
    </row>
    <row r="21" spans="1:22" ht="18" customHeight="1" x14ac:dyDescent="0.2">
      <c r="A21" s="77" t="str">
        <f>IF($C$9="Data Not Entered On Set-Up Worksheet","",IF(OR(VLOOKUP($C$9,County_Lookup,6,FALSE)="",VLOOKUP($C$9,County_Lookup,6,FALSE)=0),"",VLOOKUP($C$9,County_Lookup,6,FALSE)))</f>
        <v/>
      </c>
      <c r="B21" s="222"/>
      <c r="C21" s="224"/>
      <c r="D21" s="224"/>
      <c r="E21" s="222"/>
      <c r="F21" s="61"/>
      <c r="G21" s="318" t="str">
        <f t="shared" si="2"/>
        <v/>
      </c>
      <c r="H21" s="70" t="str">
        <f t="shared" si="7"/>
        <v/>
      </c>
      <c r="I21" s="222"/>
      <c r="J21" s="224"/>
      <c r="K21" s="224"/>
      <c r="L21" s="222"/>
      <c r="M21" s="61"/>
      <c r="N21" s="318" t="str">
        <f t="shared" si="3"/>
        <v/>
      </c>
      <c r="O21" s="70" t="str">
        <f t="shared" si="4"/>
        <v/>
      </c>
      <c r="P21" s="222"/>
      <c r="Q21" s="224"/>
      <c r="R21" s="224"/>
      <c r="S21" s="222"/>
      <c r="T21" s="61"/>
      <c r="U21" s="318" t="str">
        <f t="shared" si="5"/>
        <v/>
      </c>
      <c r="V21" s="70" t="str">
        <f t="shared" si="6"/>
        <v/>
      </c>
    </row>
    <row r="22" spans="1:22" ht="18" customHeight="1" x14ac:dyDescent="0.2">
      <c r="A22" s="77" t="str">
        <f>IF($C$9="Data Not Entered On Set-Up Worksheet","",IF(OR(VLOOKUP($C$9,County_Lookup,7,FALSE)="",VLOOKUP($C$9,County_Lookup,7,FALSE)=0),"",VLOOKUP($C$9,County_Lookup,7,FALSE)))</f>
        <v/>
      </c>
      <c r="B22" s="222"/>
      <c r="C22" s="224"/>
      <c r="D22" s="224"/>
      <c r="E22" s="222"/>
      <c r="F22" s="61"/>
      <c r="G22" s="318" t="str">
        <f t="shared" si="2"/>
        <v/>
      </c>
      <c r="H22" s="70" t="str">
        <f t="shared" si="7"/>
        <v/>
      </c>
      <c r="I22" s="222"/>
      <c r="J22" s="224"/>
      <c r="K22" s="224"/>
      <c r="L22" s="222"/>
      <c r="M22" s="61"/>
      <c r="N22" s="318" t="str">
        <f t="shared" si="3"/>
        <v/>
      </c>
      <c r="O22" s="70" t="str">
        <f t="shared" si="4"/>
        <v/>
      </c>
      <c r="P22" s="222"/>
      <c r="Q22" s="224"/>
      <c r="R22" s="224"/>
      <c r="S22" s="222"/>
      <c r="T22" s="61"/>
      <c r="U22" s="318" t="str">
        <f t="shared" si="5"/>
        <v/>
      </c>
      <c r="V22" s="70" t="str">
        <f t="shared" si="6"/>
        <v/>
      </c>
    </row>
    <row r="23" spans="1:22" ht="18" customHeight="1" x14ac:dyDescent="0.2">
      <c r="A23" s="76" t="str">
        <f>IF($C$9="Data Not Entered On Set-Up Worksheet","",IF(OR(VLOOKUP($C$9,County_Lookup,8,FALSE)="",VLOOKUP($C$9,County_Lookup,8,FALSE)=0),"",VLOOKUP($C$9,County_Lookup,8,FALSE)))</f>
        <v/>
      </c>
      <c r="B23" s="222"/>
      <c r="C23" s="224"/>
      <c r="D23" s="224"/>
      <c r="E23" s="222"/>
      <c r="F23" s="61"/>
      <c r="G23" s="318" t="str">
        <f t="shared" si="2"/>
        <v/>
      </c>
      <c r="H23" s="70" t="str">
        <f t="shared" si="7"/>
        <v/>
      </c>
      <c r="I23" s="222"/>
      <c r="J23" s="224"/>
      <c r="K23" s="224"/>
      <c r="L23" s="222"/>
      <c r="M23" s="61"/>
      <c r="N23" s="318" t="str">
        <f t="shared" si="3"/>
        <v/>
      </c>
      <c r="O23" s="70" t="str">
        <f t="shared" si="4"/>
        <v/>
      </c>
      <c r="P23" s="222"/>
      <c r="Q23" s="224"/>
      <c r="R23" s="224"/>
      <c r="S23" s="222"/>
      <c r="T23" s="61"/>
      <c r="U23" s="318" t="str">
        <f t="shared" si="5"/>
        <v/>
      </c>
      <c r="V23" s="70" t="str">
        <f t="shared" si="6"/>
        <v/>
      </c>
    </row>
    <row r="24" spans="1:22" ht="18" customHeight="1" x14ac:dyDescent="0.2">
      <c r="A24" s="77" t="str">
        <f>IF($C$9="Data Not Entered On Set-Up Worksheet","",IF(OR(VLOOKUP($C$9,County_Lookup,9,FALSE)="",VLOOKUP($C$9,County_Lookup,9,FALSE)=0),"",VLOOKUP($C$9,County_Lookup,9,FALSE)))</f>
        <v/>
      </c>
      <c r="B24" s="222"/>
      <c r="C24" s="224"/>
      <c r="D24" s="224"/>
      <c r="E24" s="222"/>
      <c r="F24" s="61"/>
      <c r="G24" s="318" t="str">
        <f t="shared" si="2"/>
        <v/>
      </c>
      <c r="H24" s="70" t="str">
        <f t="shared" si="7"/>
        <v/>
      </c>
      <c r="I24" s="222"/>
      <c r="J24" s="224"/>
      <c r="K24" s="224"/>
      <c r="L24" s="222"/>
      <c r="M24" s="61"/>
      <c r="N24" s="318" t="str">
        <f t="shared" si="3"/>
        <v/>
      </c>
      <c r="O24" s="70" t="str">
        <f t="shared" si="4"/>
        <v/>
      </c>
      <c r="P24" s="222"/>
      <c r="Q24" s="224"/>
      <c r="R24" s="224"/>
      <c r="S24" s="222"/>
      <c r="T24" s="61"/>
      <c r="U24" s="318" t="str">
        <f t="shared" si="5"/>
        <v/>
      </c>
      <c r="V24" s="70" t="str">
        <f t="shared" si="6"/>
        <v/>
      </c>
    </row>
    <row r="25" spans="1:22" ht="18" customHeight="1" x14ac:dyDescent="0.2">
      <c r="A25" s="77" t="str">
        <f>IF($C$9="Data Not Entered On Set-Up Worksheet","",IF(OR(VLOOKUP($C$9,County_Lookup,10,FALSE)="",VLOOKUP($C$9,County_Lookup,10,FALSE)=0),"",VLOOKUP($C$9,County_Lookup,10,FALSE)))</f>
        <v/>
      </c>
      <c r="B25" s="222"/>
      <c r="C25" s="224"/>
      <c r="D25" s="224"/>
      <c r="E25" s="222"/>
      <c r="F25" s="61"/>
      <c r="G25" s="318" t="str">
        <f t="shared" si="2"/>
        <v/>
      </c>
      <c r="H25" s="70" t="str">
        <f t="shared" si="7"/>
        <v/>
      </c>
      <c r="I25" s="222"/>
      <c r="J25" s="224"/>
      <c r="K25" s="224"/>
      <c r="L25" s="222"/>
      <c r="M25" s="61"/>
      <c r="N25" s="318" t="str">
        <f t="shared" si="3"/>
        <v/>
      </c>
      <c r="O25" s="70" t="str">
        <f t="shared" si="4"/>
        <v/>
      </c>
      <c r="P25" s="222"/>
      <c r="Q25" s="224"/>
      <c r="R25" s="224"/>
      <c r="S25" s="222"/>
      <c r="T25" s="61"/>
      <c r="U25" s="318" t="str">
        <f t="shared" si="5"/>
        <v/>
      </c>
      <c r="V25" s="70" t="str">
        <f t="shared" si="6"/>
        <v/>
      </c>
    </row>
    <row r="26" spans="1:22" ht="18" customHeight="1" x14ac:dyDescent="0.2">
      <c r="A26" s="77" t="str">
        <f>IF($C$9="Data Not Entered On Set-Up Worksheet","",IF(OR(VLOOKUP($C$9,County_Lookup,11,FALSE)="",VLOOKUP($C$9,County_Lookup,11,FALSE)=0),"",VLOOKUP($C$9,County_Lookup,11,FALSE)))</f>
        <v/>
      </c>
      <c r="B26" s="222"/>
      <c r="C26" s="224"/>
      <c r="D26" s="224"/>
      <c r="E26" s="222"/>
      <c r="F26" s="61"/>
      <c r="G26" s="318" t="str">
        <f t="shared" si="2"/>
        <v/>
      </c>
      <c r="H26" s="70" t="str">
        <f t="shared" si="7"/>
        <v/>
      </c>
      <c r="I26" s="222"/>
      <c r="J26" s="224"/>
      <c r="K26" s="224"/>
      <c r="L26" s="222"/>
      <c r="M26" s="61"/>
      <c r="N26" s="318" t="str">
        <f t="shared" si="3"/>
        <v/>
      </c>
      <c r="O26" s="70" t="str">
        <f t="shared" si="4"/>
        <v/>
      </c>
      <c r="P26" s="222"/>
      <c r="Q26" s="224"/>
      <c r="R26" s="224"/>
      <c r="S26" s="222"/>
      <c r="T26" s="61"/>
      <c r="U26" s="318" t="str">
        <f t="shared" si="5"/>
        <v/>
      </c>
      <c r="V26" s="70" t="str">
        <f t="shared" si="6"/>
        <v/>
      </c>
    </row>
    <row r="27" spans="1:22" ht="18" customHeight="1" x14ac:dyDescent="0.2">
      <c r="A27" s="77" t="str">
        <f>IF($C$9="Data Not Entered On Set-Up Worksheet","",IF(OR(VLOOKUP($C$9,County_Lookup,12,FALSE)="",VLOOKUP($C$9,County_Lookup,12,FALSE)=0),"",VLOOKUP($C$9,County_Lookup,12,FALSE)))</f>
        <v/>
      </c>
      <c r="B27" s="222"/>
      <c r="C27" s="224"/>
      <c r="D27" s="224"/>
      <c r="E27" s="222"/>
      <c r="F27" s="61"/>
      <c r="G27" s="318" t="str">
        <f t="shared" si="2"/>
        <v/>
      </c>
      <c r="H27" s="70" t="str">
        <f t="shared" si="7"/>
        <v/>
      </c>
      <c r="I27" s="222"/>
      <c r="J27" s="224"/>
      <c r="K27" s="224"/>
      <c r="L27" s="222"/>
      <c r="M27" s="61"/>
      <c r="N27" s="318" t="str">
        <f t="shared" si="3"/>
        <v/>
      </c>
      <c r="O27" s="70" t="str">
        <f t="shared" si="4"/>
        <v/>
      </c>
      <c r="P27" s="222"/>
      <c r="Q27" s="224"/>
      <c r="R27" s="224"/>
      <c r="S27" s="222"/>
      <c r="T27" s="61"/>
      <c r="U27" s="318" t="str">
        <f t="shared" si="5"/>
        <v/>
      </c>
      <c r="V27" s="70" t="str">
        <f t="shared" si="6"/>
        <v/>
      </c>
    </row>
    <row r="28" spans="1:22" ht="18" customHeight="1" x14ac:dyDescent="0.2">
      <c r="A28" s="77" t="str">
        <f>IF($C$9="Data Not Entered On Set-Up Worksheet","",IF(OR(VLOOKUP($C$9,County_Lookup,13,FALSE)="",VLOOKUP($C$9,County_Lookup,13,FALSE)=0),"",VLOOKUP($C$9,County_Lookup,13,FALSE)))</f>
        <v/>
      </c>
      <c r="B28" s="222"/>
      <c r="C28" s="224"/>
      <c r="D28" s="224"/>
      <c r="E28" s="222"/>
      <c r="F28" s="61"/>
      <c r="G28" s="318" t="str">
        <f t="shared" si="2"/>
        <v/>
      </c>
      <c r="H28" s="70" t="str">
        <f t="shared" si="7"/>
        <v/>
      </c>
      <c r="I28" s="222"/>
      <c r="J28" s="224"/>
      <c r="K28" s="224"/>
      <c r="L28" s="222"/>
      <c r="M28" s="61"/>
      <c r="N28" s="318" t="str">
        <f t="shared" si="3"/>
        <v/>
      </c>
      <c r="O28" s="70" t="str">
        <f t="shared" si="4"/>
        <v/>
      </c>
      <c r="P28" s="222"/>
      <c r="Q28" s="224"/>
      <c r="R28" s="224"/>
      <c r="S28" s="222"/>
      <c r="T28" s="61"/>
      <c r="U28" s="318" t="str">
        <f t="shared" si="5"/>
        <v/>
      </c>
      <c r="V28" s="70" t="str">
        <f t="shared" si="6"/>
        <v/>
      </c>
    </row>
    <row r="29" spans="1:22" ht="18" customHeight="1" x14ac:dyDescent="0.2">
      <c r="A29" s="77" t="str">
        <f>IF($C$9="Data Not Entered On Set-Up Worksheet","",IF(OR(VLOOKUP($C$9,County_Lookup,14,FALSE)="",VLOOKUP($C$9,County_Lookup,14,FALSE)=0),"",VLOOKUP($C$9,County_Lookup,14,FALSE)))</f>
        <v/>
      </c>
      <c r="B29" s="222"/>
      <c r="C29" s="224"/>
      <c r="D29" s="224"/>
      <c r="E29" s="222"/>
      <c r="F29" s="61"/>
      <c r="G29" s="318" t="str">
        <f t="shared" si="2"/>
        <v/>
      </c>
      <c r="H29" s="70" t="str">
        <f t="shared" si="7"/>
        <v/>
      </c>
      <c r="I29" s="222"/>
      <c r="J29" s="224"/>
      <c r="K29" s="224"/>
      <c r="L29" s="222"/>
      <c r="M29" s="61"/>
      <c r="N29" s="318" t="str">
        <f t="shared" si="3"/>
        <v/>
      </c>
      <c r="O29" s="70" t="str">
        <f t="shared" si="4"/>
        <v/>
      </c>
      <c r="P29" s="222"/>
      <c r="Q29" s="224"/>
      <c r="R29" s="224"/>
      <c r="S29" s="222"/>
      <c r="T29" s="61"/>
      <c r="U29" s="318" t="str">
        <f t="shared" si="5"/>
        <v/>
      </c>
      <c r="V29" s="70" t="str">
        <f t="shared" si="6"/>
        <v/>
      </c>
    </row>
    <row r="30" spans="1:22" ht="18" customHeight="1" x14ac:dyDescent="0.2">
      <c r="A30" s="76" t="str">
        <f>IF($C$9="Data Not Entered On Set-Up Worksheet","",IF(OR(VLOOKUP($C$9,County_Lookup,15,FALSE)="",VLOOKUP($C$9,County_Lookup,15,FALSE)=0),"",VLOOKUP($C$9,County_Lookup,15,FALSE)))</f>
        <v/>
      </c>
      <c r="B30" s="222"/>
      <c r="C30" s="224"/>
      <c r="D30" s="224"/>
      <c r="E30" s="222"/>
      <c r="F30" s="61"/>
      <c r="G30" s="318" t="str">
        <f t="shared" si="2"/>
        <v/>
      </c>
      <c r="H30" s="70" t="str">
        <f t="shared" si="7"/>
        <v/>
      </c>
      <c r="I30" s="222"/>
      <c r="J30" s="224"/>
      <c r="K30" s="224"/>
      <c r="L30" s="222"/>
      <c r="M30" s="61"/>
      <c r="N30" s="318" t="str">
        <f t="shared" si="3"/>
        <v/>
      </c>
      <c r="O30" s="70" t="str">
        <f t="shared" si="4"/>
        <v/>
      </c>
      <c r="P30" s="222"/>
      <c r="Q30" s="224"/>
      <c r="R30" s="224"/>
      <c r="S30" s="222"/>
      <c r="T30" s="61"/>
      <c r="U30" s="318" t="str">
        <f t="shared" si="5"/>
        <v/>
      </c>
      <c r="V30" s="70" t="str">
        <f t="shared" si="6"/>
        <v/>
      </c>
    </row>
    <row r="31" spans="1:22" ht="18" customHeight="1" x14ac:dyDescent="0.2">
      <c r="A31" s="77" t="str">
        <f>IF($C$9="Data Not Entered On Set-Up Worksheet","",IF(OR(VLOOKUP($C$9,County_Lookup,16,FALSE)="",VLOOKUP($C$9,County_Lookup,16,FALSE)=0),"",VLOOKUP($C$9,County_Lookup,16,FALSE)))</f>
        <v/>
      </c>
      <c r="B31" s="222"/>
      <c r="C31" s="224"/>
      <c r="D31" s="224"/>
      <c r="E31" s="222"/>
      <c r="F31" s="61"/>
      <c r="G31" s="318" t="str">
        <f t="shared" si="2"/>
        <v/>
      </c>
      <c r="H31" s="70" t="str">
        <f t="shared" si="7"/>
        <v/>
      </c>
      <c r="I31" s="222"/>
      <c r="J31" s="224"/>
      <c r="K31" s="224"/>
      <c r="L31" s="222"/>
      <c r="M31" s="61"/>
      <c r="N31" s="318" t="str">
        <f t="shared" si="3"/>
        <v/>
      </c>
      <c r="O31" s="70" t="str">
        <f t="shared" si="4"/>
        <v/>
      </c>
      <c r="P31" s="222"/>
      <c r="Q31" s="224"/>
      <c r="R31" s="224"/>
      <c r="S31" s="222"/>
      <c r="T31" s="61"/>
      <c r="U31" s="318" t="str">
        <f t="shared" si="5"/>
        <v/>
      </c>
      <c r="V31" s="70" t="str">
        <f t="shared" si="6"/>
        <v/>
      </c>
    </row>
    <row r="32" spans="1:22" ht="18" customHeight="1" x14ac:dyDescent="0.2">
      <c r="A32" s="77" t="str">
        <f>IF($C$9="Data Not Entered On Set-Up Worksheet","",IF(OR(VLOOKUP($C$9,County_Lookup,17,FALSE)="",VLOOKUP($C$9,County_Lookup,17,FALSE)=0),"",VLOOKUP($C$9,County_Lookup,17,FALSE)))</f>
        <v/>
      </c>
      <c r="B32" s="222"/>
      <c r="C32" s="224"/>
      <c r="D32" s="224"/>
      <c r="E32" s="222"/>
      <c r="F32" s="61"/>
      <c r="G32" s="318" t="str">
        <f t="shared" si="2"/>
        <v/>
      </c>
      <c r="H32" s="70" t="str">
        <f t="shared" si="7"/>
        <v/>
      </c>
      <c r="I32" s="222"/>
      <c r="J32" s="224"/>
      <c r="K32" s="224"/>
      <c r="L32" s="222"/>
      <c r="M32" s="61"/>
      <c r="N32" s="318" t="str">
        <f t="shared" si="3"/>
        <v/>
      </c>
      <c r="O32" s="70" t="str">
        <f t="shared" si="4"/>
        <v/>
      </c>
      <c r="P32" s="222"/>
      <c r="Q32" s="224"/>
      <c r="R32" s="224"/>
      <c r="S32" s="222"/>
      <c r="T32" s="61"/>
      <c r="U32" s="318" t="str">
        <f t="shared" si="5"/>
        <v/>
      </c>
      <c r="V32" s="70" t="str">
        <f t="shared" si="6"/>
        <v/>
      </c>
    </row>
    <row r="33" spans="1:22" ht="18" customHeight="1" x14ac:dyDescent="0.2">
      <c r="A33" s="77" t="str">
        <f>IF($C$9="Data Not Entered On Set-Up Worksheet","",IF(OR(VLOOKUP($C$9,County_Lookup,18,FALSE)="",VLOOKUP($C$9,County_Lookup,18,FALSE)=0),"",VLOOKUP($C$9,County_Lookup,18,FALSE)))</f>
        <v/>
      </c>
      <c r="B33" s="222"/>
      <c r="C33" s="224"/>
      <c r="D33" s="224"/>
      <c r="E33" s="222"/>
      <c r="F33" s="61"/>
      <c r="G33" s="318" t="str">
        <f t="shared" si="2"/>
        <v/>
      </c>
      <c r="H33" s="70" t="str">
        <f t="shared" si="7"/>
        <v/>
      </c>
      <c r="I33" s="222"/>
      <c r="J33" s="224"/>
      <c r="K33" s="224"/>
      <c r="L33" s="222"/>
      <c r="M33" s="61"/>
      <c r="N33" s="318" t="str">
        <f t="shared" si="3"/>
        <v/>
      </c>
      <c r="O33" s="70" t="str">
        <f t="shared" si="4"/>
        <v/>
      </c>
      <c r="P33" s="222"/>
      <c r="Q33" s="224"/>
      <c r="R33" s="224"/>
      <c r="S33" s="222"/>
      <c r="T33" s="61"/>
      <c r="U33" s="318" t="str">
        <f t="shared" si="5"/>
        <v/>
      </c>
      <c r="V33" s="70" t="str">
        <f t="shared" si="6"/>
        <v/>
      </c>
    </row>
    <row r="34" spans="1:22" ht="18" customHeight="1" x14ac:dyDescent="0.2">
      <c r="A34" s="77" t="str">
        <f>IF($C$9="Data Not Entered On Set-Up Worksheet","",IF(OR(VLOOKUP($C$9,County_Lookup,19,FALSE)="",VLOOKUP($C$9,County_Lookup,19,FALSE)=0),"",VLOOKUP($C$9,County_Lookup,19,FALSE)))</f>
        <v/>
      </c>
      <c r="B34" s="222"/>
      <c r="C34" s="224"/>
      <c r="D34" s="224"/>
      <c r="E34" s="222"/>
      <c r="F34" s="61"/>
      <c r="G34" s="318" t="str">
        <f t="shared" si="2"/>
        <v/>
      </c>
      <c r="H34" s="70" t="str">
        <f t="shared" si="7"/>
        <v/>
      </c>
      <c r="I34" s="222"/>
      <c r="J34" s="224"/>
      <c r="K34" s="224"/>
      <c r="L34" s="222"/>
      <c r="M34" s="61"/>
      <c r="N34" s="318" t="str">
        <f t="shared" si="3"/>
        <v/>
      </c>
      <c r="O34" s="70" t="str">
        <f t="shared" si="4"/>
        <v/>
      </c>
      <c r="P34" s="222"/>
      <c r="Q34" s="224"/>
      <c r="R34" s="224"/>
      <c r="S34" s="222"/>
      <c r="T34" s="61"/>
      <c r="U34" s="318" t="str">
        <f t="shared" si="5"/>
        <v/>
      </c>
      <c r="V34" s="70" t="str">
        <f t="shared" si="6"/>
        <v/>
      </c>
    </row>
    <row r="35" spans="1:22" ht="18" customHeight="1" x14ac:dyDescent="0.2">
      <c r="A35" s="77" t="str">
        <f>IF($C$9="Data Not Entered On Set-Up Worksheet","",IF(OR(VLOOKUP($C$9,County_Lookup,20,FALSE)="",VLOOKUP($C$9,County_Lookup,20,FALSE)=0),"",VLOOKUP($C$9,County_Lookup,20,FALSE)))</f>
        <v/>
      </c>
      <c r="B35" s="222"/>
      <c r="C35" s="224"/>
      <c r="D35" s="224"/>
      <c r="E35" s="222"/>
      <c r="F35" s="61"/>
      <c r="G35" s="318" t="str">
        <f t="shared" si="2"/>
        <v/>
      </c>
      <c r="H35" s="70" t="str">
        <f t="shared" si="7"/>
        <v/>
      </c>
      <c r="I35" s="222"/>
      <c r="J35" s="224"/>
      <c r="K35" s="224"/>
      <c r="L35" s="222"/>
      <c r="M35" s="61"/>
      <c r="N35" s="318" t="str">
        <f t="shared" si="3"/>
        <v/>
      </c>
      <c r="O35" s="70" t="str">
        <f t="shared" si="4"/>
        <v/>
      </c>
      <c r="P35" s="222"/>
      <c r="Q35" s="224"/>
      <c r="R35" s="224"/>
      <c r="S35" s="222"/>
      <c r="T35" s="61"/>
      <c r="U35" s="318" t="str">
        <f t="shared" si="5"/>
        <v/>
      </c>
      <c r="V35" s="70" t="str">
        <f t="shared" si="6"/>
        <v/>
      </c>
    </row>
    <row r="36" spans="1:22" ht="18" customHeight="1" x14ac:dyDescent="0.2">
      <c r="A36" s="77" t="str">
        <f>IF($C$9="Data Not Entered On Set-Up Worksheet","",IF(OR(VLOOKUP($C$9,County_Lookup,21,FALSE)="",VLOOKUP($C$9,County_Lookup,21,FALSE)=0),"",VLOOKUP($C$9,County_Lookup,21,FALSE)))</f>
        <v/>
      </c>
      <c r="B36" s="222"/>
      <c r="C36" s="224"/>
      <c r="D36" s="224"/>
      <c r="E36" s="222"/>
      <c r="F36" s="61"/>
      <c r="G36" s="318" t="str">
        <f t="shared" si="2"/>
        <v/>
      </c>
      <c r="H36" s="70" t="str">
        <f t="shared" si="7"/>
        <v/>
      </c>
      <c r="I36" s="222"/>
      <c r="J36" s="224"/>
      <c r="K36" s="224"/>
      <c r="L36" s="222"/>
      <c r="M36" s="61"/>
      <c r="N36" s="318" t="str">
        <f t="shared" si="3"/>
        <v/>
      </c>
      <c r="O36" s="70" t="str">
        <f t="shared" si="4"/>
        <v/>
      </c>
      <c r="P36" s="222"/>
      <c r="Q36" s="224"/>
      <c r="R36" s="224"/>
      <c r="S36" s="222"/>
      <c r="T36" s="61"/>
      <c r="U36" s="318" t="str">
        <f t="shared" si="5"/>
        <v/>
      </c>
      <c r="V36" s="70" t="str">
        <f t="shared" si="6"/>
        <v/>
      </c>
    </row>
    <row r="37" spans="1:22" ht="18" customHeight="1" x14ac:dyDescent="0.2">
      <c r="A37" s="76" t="str">
        <f>IF($C$9="Data Not Entered On Set-Up Worksheet","",IF(OR(VLOOKUP($C$9,County_Lookup,22,FALSE)="",VLOOKUP($C$9,County_Lookup,22,FALSE)=0),"",VLOOKUP($C$9,County_Lookup,22,FALSE)))</f>
        <v/>
      </c>
      <c r="B37" s="222"/>
      <c r="C37" s="224"/>
      <c r="D37" s="224"/>
      <c r="E37" s="222"/>
      <c r="F37" s="61"/>
      <c r="G37" s="318" t="str">
        <f t="shared" si="2"/>
        <v/>
      </c>
      <c r="H37" s="70" t="str">
        <f t="shared" si="7"/>
        <v/>
      </c>
      <c r="I37" s="222"/>
      <c r="J37" s="224"/>
      <c r="K37" s="224"/>
      <c r="L37" s="222"/>
      <c r="M37" s="61"/>
      <c r="N37" s="318" t="str">
        <f t="shared" si="3"/>
        <v/>
      </c>
      <c r="O37" s="70" t="str">
        <f t="shared" si="4"/>
        <v/>
      </c>
      <c r="P37" s="222"/>
      <c r="Q37" s="224"/>
      <c r="R37" s="224"/>
      <c r="S37" s="222"/>
      <c r="T37" s="61"/>
      <c r="U37" s="318" t="str">
        <f t="shared" si="5"/>
        <v/>
      </c>
      <c r="V37" s="70" t="str">
        <f t="shared" si="6"/>
        <v/>
      </c>
    </row>
    <row r="38" spans="1:22" ht="18" customHeight="1" x14ac:dyDescent="0.2">
      <c r="A38" s="77" t="str">
        <f>IF($C$9="Data Not Entered On Set-Up Worksheet","",IF(OR(VLOOKUP($C$9,County_Lookup,23,FALSE)="",VLOOKUP($C$9,County_Lookup,23,FALSE)=0),"",VLOOKUP($C$9,County_Lookup,23,FALSE)))</f>
        <v/>
      </c>
      <c r="B38" s="222"/>
      <c r="C38" s="224"/>
      <c r="D38" s="224"/>
      <c r="E38" s="222"/>
      <c r="F38" s="61"/>
      <c r="G38" s="318" t="str">
        <f t="shared" si="2"/>
        <v/>
      </c>
      <c r="H38" s="70" t="str">
        <f t="shared" si="7"/>
        <v/>
      </c>
      <c r="I38" s="222"/>
      <c r="J38" s="224"/>
      <c r="K38" s="224"/>
      <c r="L38" s="222"/>
      <c r="M38" s="61"/>
      <c r="N38" s="318" t="str">
        <f t="shared" si="3"/>
        <v/>
      </c>
      <c r="O38" s="70" t="str">
        <f t="shared" si="4"/>
        <v/>
      </c>
      <c r="P38" s="222"/>
      <c r="Q38" s="224"/>
      <c r="R38" s="224"/>
      <c r="S38" s="222"/>
      <c r="T38" s="61"/>
      <c r="U38" s="318" t="str">
        <f t="shared" si="5"/>
        <v/>
      </c>
      <c r="V38" s="70" t="str">
        <f t="shared" si="6"/>
        <v/>
      </c>
    </row>
    <row r="39" spans="1:22" ht="18" customHeight="1" x14ac:dyDescent="0.2">
      <c r="A39" s="77" t="str">
        <f>IF($C$9="Data Not Entered On Set-Up Worksheet","",IF(OR(VLOOKUP($C$9,County_Lookup,24,FALSE)="",VLOOKUP($C$9,County_Lookup,24,FALSE)=0),"",VLOOKUP($C$9,County_Lookup,24,FALSE)))</f>
        <v/>
      </c>
      <c r="B39" s="222"/>
      <c r="C39" s="224"/>
      <c r="D39" s="224"/>
      <c r="E39" s="222"/>
      <c r="F39" s="61"/>
      <c r="G39" s="318" t="str">
        <f t="shared" ref="G39:G41" si="8">IF($A39="","",IF($F39=0,0,B39/$F39))</f>
        <v/>
      </c>
      <c r="H39" s="70" t="str">
        <f t="shared" ref="H39:H41" si="9">IF($A39="","",IF($F39=0,0,E39/$F39))</f>
        <v/>
      </c>
      <c r="I39" s="222"/>
      <c r="J39" s="224"/>
      <c r="K39" s="224"/>
      <c r="L39" s="222"/>
      <c r="M39" s="61"/>
      <c r="N39" s="318" t="str">
        <f t="shared" ref="N39:N41" si="10">IF($A39="","",IF($M39=0,0,I39/$M39))</f>
        <v/>
      </c>
      <c r="O39" s="70" t="str">
        <f t="shared" ref="O39:O41" si="11">IF($A39="","",IF($M39=0,0,L39/$M39))</f>
        <v/>
      </c>
      <c r="P39" s="222"/>
      <c r="Q39" s="224"/>
      <c r="R39" s="224"/>
      <c r="S39" s="222"/>
      <c r="T39" s="61"/>
      <c r="U39" s="318" t="str">
        <f t="shared" ref="U39:U41" si="12">IF($A39="","",IF($T39=0,0,P39/$T39))</f>
        <v/>
      </c>
      <c r="V39" s="70" t="str">
        <f t="shared" ref="V39:V41" si="13">IF($A39="","",IF($T39=0,0,S39/$T39))</f>
        <v/>
      </c>
    </row>
    <row r="40" spans="1:22" ht="18" customHeight="1" x14ac:dyDescent="0.2">
      <c r="A40" s="77" t="str">
        <f>IF($C$9="Data Not Entered On Set-Up Worksheet","",IF(OR(VLOOKUP($C$9,County_Lookup,25,FALSE)="",VLOOKUP($C$9,County_Lookup,25,FALSE)=0),"",VLOOKUP($C$9,County_Lookup,25,FALSE)))</f>
        <v/>
      </c>
      <c r="B40" s="222"/>
      <c r="C40" s="224"/>
      <c r="D40" s="224"/>
      <c r="E40" s="222"/>
      <c r="F40" s="61"/>
      <c r="G40" s="318" t="str">
        <f t="shared" si="8"/>
        <v/>
      </c>
      <c r="H40" s="70" t="str">
        <f t="shared" si="9"/>
        <v/>
      </c>
      <c r="I40" s="222"/>
      <c r="J40" s="224"/>
      <c r="K40" s="224"/>
      <c r="L40" s="222"/>
      <c r="M40" s="61"/>
      <c r="N40" s="318" t="str">
        <f t="shared" si="10"/>
        <v/>
      </c>
      <c r="O40" s="70" t="str">
        <f t="shared" si="11"/>
        <v/>
      </c>
      <c r="P40" s="222"/>
      <c r="Q40" s="224"/>
      <c r="R40" s="224"/>
      <c r="S40" s="222"/>
      <c r="T40" s="61"/>
      <c r="U40" s="318" t="str">
        <f t="shared" si="12"/>
        <v/>
      </c>
      <c r="V40" s="70" t="str">
        <f t="shared" si="13"/>
        <v/>
      </c>
    </row>
    <row r="41" spans="1:22" ht="18" customHeight="1" x14ac:dyDescent="0.2">
      <c r="A41" s="77" t="str">
        <f>IF($C$9="Data Not Entered On Set-Up Worksheet","",IF(OR(VLOOKUP($C$9,County_Lookup,26,FALSE)="",VLOOKUP($C$9,County_Lookup,26,FALSE)=0),"",VLOOKUP($C$9,County_Lookup,26,FALSE)))</f>
        <v/>
      </c>
      <c r="B41" s="222"/>
      <c r="C41" s="224"/>
      <c r="D41" s="224"/>
      <c r="E41" s="222"/>
      <c r="F41" s="61"/>
      <c r="G41" s="318" t="str">
        <f t="shared" si="8"/>
        <v/>
      </c>
      <c r="H41" s="70" t="str">
        <f t="shared" si="9"/>
        <v/>
      </c>
      <c r="I41" s="222"/>
      <c r="J41" s="224"/>
      <c r="K41" s="224"/>
      <c r="L41" s="222"/>
      <c r="M41" s="61"/>
      <c r="N41" s="318" t="str">
        <f t="shared" si="10"/>
        <v/>
      </c>
      <c r="O41" s="70" t="str">
        <f t="shared" si="11"/>
        <v/>
      </c>
      <c r="P41" s="222"/>
      <c r="Q41" s="224"/>
      <c r="R41" s="224"/>
      <c r="S41" s="222"/>
      <c r="T41" s="61"/>
      <c r="U41" s="318" t="str">
        <f t="shared" si="12"/>
        <v/>
      </c>
      <c r="V41" s="70" t="str">
        <f t="shared" si="13"/>
        <v/>
      </c>
    </row>
    <row r="42" spans="1:22" ht="18" customHeight="1" x14ac:dyDescent="0.2">
      <c r="A42" s="77" t="str">
        <f>IF($C$9="Data Not Entered On Set-Up Worksheet","",IF(OR(VLOOKUP($C$9,County_Lookup,27,FALSE)="",VLOOKUP($C$9,County_Lookup,27,FALSE)=0),"",VLOOKUP($C$9,County_Lookup,27,FALSE)))</f>
        <v/>
      </c>
      <c r="B42" s="222"/>
      <c r="C42" s="224"/>
      <c r="D42" s="224"/>
      <c r="E42" s="222"/>
      <c r="F42" s="61"/>
      <c r="G42" s="318" t="str">
        <f t="shared" si="2"/>
        <v/>
      </c>
      <c r="H42" s="70" t="str">
        <f t="shared" si="7"/>
        <v/>
      </c>
      <c r="I42" s="222"/>
      <c r="J42" s="224"/>
      <c r="K42" s="224"/>
      <c r="L42" s="222"/>
      <c r="M42" s="61"/>
      <c r="N42" s="318" t="str">
        <f t="shared" si="3"/>
        <v/>
      </c>
      <c r="O42" s="70" t="str">
        <f t="shared" si="4"/>
        <v/>
      </c>
      <c r="P42" s="222"/>
      <c r="Q42" s="224"/>
      <c r="R42" s="224"/>
      <c r="S42" s="222"/>
      <c r="T42" s="61"/>
      <c r="U42" s="318" t="str">
        <f t="shared" si="5"/>
        <v/>
      </c>
      <c r="V42" s="70" t="str">
        <f t="shared" si="6"/>
        <v/>
      </c>
    </row>
    <row r="43" spans="1:22" ht="18" customHeight="1" thickBot="1" x14ac:dyDescent="0.25">
      <c r="A43" s="78" t="s">
        <v>0</v>
      </c>
      <c r="B43" s="223">
        <f t="shared" ref="B43:D43" si="14">SUM(B17:B42)</f>
        <v>0</v>
      </c>
      <c r="C43" s="72">
        <f t="shared" si="14"/>
        <v>0</v>
      </c>
      <c r="D43" s="72">
        <f t="shared" si="14"/>
        <v>0</v>
      </c>
      <c r="E43" s="317">
        <f>SUM(E17:E42)</f>
        <v>0</v>
      </c>
      <c r="F43" s="72">
        <f>SUM(F17:F42)</f>
        <v>0</v>
      </c>
      <c r="G43" s="319">
        <f t="shared" si="2"/>
        <v>0</v>
      </c>
      <c r="H43" s="73">
        <f>IF($A43="","",IF($F43=0,0,E43/$F43))</f>
        <v>0</v>
      </c>
      <c r="I43" s="223">
        <f t="shared" ref="I43:K43" si="15">SUM(I17:I42)</f>
        <v>0</v>
      </c>
      <c r="J43" s="72">
        <f t="shared" si="15"/>
        <v>0</v>
      </c>
      <c r="K43" s="72">
        <f t="shared" si="15"/>
        <v>0</v>
      </c>
      <c r="L43" s="317">
        <f>SUM(L17:L42)</f>
        <v>0</v>
      </c>
      <c r="M43" s="72">
        <f>SUM(M17:M42)</f>
        <v>0</v>
      </c>
      <c r="N43" s="319">
        <f t="shared" si="3"/>
        <v>0</v>
      </c>
      <c r="O43" s="73">
        <f t="shared" si="4"/>
        <v>0</v>
      </c>
      <c r="P43" s="223">
        <f t="shared" ref="P43:R43" si="16">SUM(P17:P42)</f>
        <v>0</v>
      </c>
      <c r="Q43" s="72">
        <f t="shared" si="16"/>
        <v>0</v>
      </c>
      <c r="R43" s="72">
        <f t="shared" si="16"/>
        <v>0</v>
      </c>
      <c r="S43" s="317">
        <f>SUM(S17:S42)</f>
        <v>0</v>
      </c>
      <c r="T43" s="72">
        <f>SUM(T17:T42)</f>
        <v>0</v>
      </c>
      <c r="U43" s="319">
        <f t="shared" si="5"/>
        <v>0</v>
      </c>
      <c r="V43" s="73">
        <f t="shared" si="6"/>
        <v>0</v>
      </c>
    </row>
    <row r="45" spans="1:22" x14ac:dyDescent="0.2">
      <c r="B45" s="60" t="s">
        <v>465</v>
      </c>
      <c r="C45" s="60"/>
      <c r="D45" s="60"/>
      <c r="E45" s="60"/>
      <c r="F45" s="60"/>
      <c r="G45" s="60"/>
      <c r="H45" s="60"/>
      <c r="I45" s="60" t="s">
        <v>466</v>
      </c>
      <c r="J45" s="60"/>
      <c r="K45" s="60"/>
      <c r="L45" s="60"/>
      <c r="M45" s="60"/>
      <c r="N45" s="60"/>
      <c r="O45" s="60"/>
      <c r="P45" s="60" t="s">
        <v>467</v>
      </c>
    </row>
  </sheetData>
  <sheetProtection sheet="1" objects="1" scenarios="1"/>
  <conditionalFormatting sqref="G3:G4 C3:C4 G9 C9 G11 C11 E11">
    <cfRule type="expression" dxfId="656" priority="21">
      <formula>C3="Data Not Entered On Set-Up Worksheet"</formula>
    </cfRule>
  </conditionalFormatting>
  <conditionalFormatting sqref="F12:G12">
    <cfRule type="expression" dxfId="655" priority="20">
      <formula>F12="Data Not Entered On Set-Up Worksheet"</formula>
    </cfRule>
  </conditionalFormatting>
  <conditionalFormatting sqref="B17:F39 B42:F42">
    <cfRule type="expression" dxfId="654" priority="9">
      <formula>$A17="Other"</formula>
    </cfRule>
    <cfRule type="expression" dxfId="653" priority="19">
      <formula>AND($A17&lt;&gt;"",B17="")</formula>
    </cfRule>
  </conditionalFormatting>
  <conditionalFormatting sqref="N3:N4 J3:J4 N9 J9 N11 J11 L11">
    <cfRule type="expression" dxfId="652" priority="18">
      <formula>J3="Data Not Entered On Set-Up Worksheet"</formula>
    </cfRule>
  </conditionalFormatting>
  <conditionalFormatting sqref="M12:N12">
    <cfRule type="expression" dxfId="651" priority="17">
      <formula>M12="Data Not Entered On Set-Up Worksheet"</formula>
    </cfRule>
  </conditionalFormatting>
  <conditionalFormatting sqref="I17:M39 I42:M42">
    <cfRule type="expression" dxfId="650" priority="16">
      <formula>AND($A17&lt;&gt;"",I17="")</formula>
    </cfRule>
  </conditionalFormatting>
  <conditionalFormatting sqref="U3:U4 Q3:Q4 U9 Q9 U11 Q11 S11">
    <cfRule type="expression" dxfId="649" priority="15">
      <formula>Q3="Data Not Entered On Set-Up Worksheet"</formula>
    </cfRule>
  </conditionalFormatting>
  <conditionalFormatting sqref="T12:U12">
    <cfRule type="expression" dxfId="648" priority="14">
      <formula>T12="Data Not Entered On Set-Up Worksheet"</formula>
    </cfRule>
  </conditionalFormatting>
  <conditionalFormatting sqref="P17:T39 P42:T42">
    <cfRule type="expression" dxfId="647" priority="13">
      <formula>AND($A17&lt;&gt;"",P17="")</formula>
    </cfRule>
  </conditionalFormatting>
  <conditionalFormatting sqref="B40:F40">
    <cfRule type="expression" dxfId="646" priority="5">
      <formula>$A40="Other"</formula>
    </cfRule>
    <cfRule type="expression" dxfId="645" priority="8">
      <formula>AND($A40&lt;&gt;"",B40="")</formula>
    </cfRule>
  </conditionalFormatting>
  <conditionalFormatting sqref="I40:M40">
    <cfRule type="expression" dxfId="644" priority="7">
      <formula>AND($A40&lt;&gt;"",I40="")</formula>
    </cfRule>
  </conditionalFormatting>
  <conditionalFormatting sqref="P40:T40">
    <cfRule type="expression" dxfId="643" priority="6">
      <formula>AND($A40&lt;&gt;"",P40="")</formula>
    </cfRule>
  </conditionalFormatting>
  <conditionalFormatting sqref="B41:F41">
    <cfRule type="expression" dxfId="642" priority="1">
      <formula>$A41="Other"</formula>
    </cfRule>
    <cfRule type="expression" dxfId="641" priority="4">
      <formula>AND($A41&lt;&gt;"",B41="")</formula>
    </cfRule>
  </conditionalFormatting>
  <conditionalFormatting sqref="I41:M41">
    <cfRule type="expression" dxfId="640" priority="3">
      <formula>AND($A41&lt;&gt;"",I41="")</formula>
    </cfRule>
  </conditionalFormatting>
  <conditionalFormatting sqref="P41:T41">
    <cfRule type="expression" dxfId="639" priority="2">
      <formula>AND($A41&lt;&gt;"",P41="")</formula>
    </cfRule>
  </conditionalFormatting>
  <pageMargins left="0.5" right="0.5" top="0.5" bottom="0.5" header="0.3" footer="0.3"/>
  <pageSetup scale="30"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M16"/>
  <sheetViews>
    <sheetView showGridLines="0" workbookViewId="0">
      <selection activeCell="E7" sqref="E7"/>
    </sheetView>
  </sheetViews>
  <sheetFormatPr defaultRowHeight="12.75" x14ac:dyDescent="0.2"/>
  <cols>
    <col min="1" max="1" width="22.42578125" style="22" customWidth="1"/>
    <col min="2" max="16384" width="9.140625" style="22"/>
  </cols>
  <sheetData>
    <row r="1" spans="1:13" ht="15" customHeight="1" x14ac:dyDescent="0.2">
      <c r="A1" s="36" t="s">
        <v>28</v>
      </c>
    </row>
    <row r="2" spans="1:13" ht="15" customHeight="1" x14ac:dyDescent="0.2">
      <c r="A2" s="36" t="s">
        <v>196</v>
      </c>
    </row>
    <row r="3" spans="1:13" ht="15" customHeight="1" x14ac:dyDescent="0.2">
      <c r="A3" s="30" t="s">
        <v>194</v>
      </c>
      <c r="C3" s="147">
        <f>IF('Set-Up Worksheet'!F3="","Data Not Entered On Set-Up Worksheet",'Set-Up Worksheet'!F3)</f>
        <v>2018</v>
      </c>
    </row>
    <row r="4" spans="1:13" ht="15" customHeight="1" x14ac:dyDescent="0.2">
      <c r="A4" s="30" t="s">
        <v>195</v>
      </c>
      <c r="C4" s="147" t="str">
        <f>IF('Set-Up Worksheet'!F4="","Data Not Entered On Set-Up Worksheet",'Set-Up Worksheet'!F4)</f>
        <v>1st Quarter</v>
      </c>
    </row>
    <row r="5" spans="1:13" ht="15" customHeight="1" x14ac:dyDescent="0.2">
      <c r="C5" s="32"/>
    </row>
    <row r="6" spans="1:13" ht="15" customHeight="1" x14ac:dyDescent="0.2">
      <c r="A6" s="30" t="s">
        <v>337</v>
      </c>
      <c r="C6" s="32"/>
    </row>
    <row r="7" spans="1:13" ht="15" customHeight="1" x14ac:dyDescent="0.2">
      <c r="A7" s="30" t="s">
        <v>338</v>
      </c>
      <c r="C7" s="32"/>
    </row>
    <row r="8" spans="1:13" ht="15" customHeight="1" x14ac:dyDescent="0.2">
      <c r="A8" s="30"/>
      <c r="C8" s="32"/>
    </row>
    <row r="9" spans="1:13" ht="15" customHeight="1" x14ac:dyDescent="0.2">
      <c r="A9" s="30" t="s">
        <v>29</v>
      </c>
      <c r="C9" s="39" t="str">
        <f>IF('Set-Up Worksheet'!E7="","Data Not Entered On Set-Up Worksheet",'Set-Up Worksheet'!E7)</f>
        <v>Data Not Entered On Set-Up Worksheet</v>
      </c>
    </row>
    <row r="10" spans="1:13" ht="15" customHeight="1" x14ac:dyDescent="0.2">
      <c r="A10" s="30" t="s">
        <v>9</v>
      </c>
      <c r="C10" s="32" t="s">
        <v>10</v>
      </c>
    </row>
    <row r="11" spans="1:13" ht="15" customHeight="1" x14ac:dyDescent="0.2">
      <c r="A11" s="30" t="s">
        <v>197</v>
      </c>
      <c r="C11" s="40" t="str">
        <f>IF(C4="Data Not Entered On Set-Up Worksheet","Data Not Entered On Set-Up Worksheet",IF(C4="1st Quarter",'Report Schedule'!D25,IF(C4="2nd Quarter",'Report Schedule'!E25,IF(C4="3rd Quarter",'Report Schedule'!F25,IF(C4="4th Quarter",'Report Schedule'!G25,"")))))</f>
        <v>Jul - Sep 2017</v>
      </c>
    </row>
    <row r="14" spans="1:13" ht="112.5" customHeight="1" x14ac:dyDescent="0.2">
      <c r="A14" s="560" t="s">
        <v>339</v>
      </c>
      <c r="B14" s="560"/>
      <c r="C14" s="560"/>
      <c r="D14" s="560"/>
      <c r="E14" s="560"/>
      <c r="F14" s="560"/>
      <c r="G14" s="560"/>
      <c r="H14" s="560"/>
      <c r="I14" s="560"/>
      <c r="J14" s="560"/>
      <c r="K14" s="560"/>
      <c r="L14" s="560"/>
      <c r="M14" s="47"/>
    </row>
    <row r="15" spans="1:13" x14ac:dyDescent="0.2">
      <c r="A15" s="47"/>
      <c r="B15" s="47"/>
      <c r="C15" s="47"/>
      <c r="D15" s="47"/>
      <c r="E15" s="47"/>
      <c r="F15" s="47"/>
      <c r="G15" s="47"/>
      <c r="H15" s="47"/>
      <c r="I15" s="47"/>
      <c r="J15" s="47"/>
      <c r="K15" s="47"/>
      <c r="L15" s="47"/>
      <c r="M15" s="47"/>
    </row>
    <row r="16" spans="1:13" x14ac:dyDescent="0.2">
      <c r="A16" s="47"/>
      <c r="B16" s="47"/>
      <c r="C16" s="47"/>
      <c r="D16" s="47"/>
      <c r="E16" s="47"/>
      <c r="F16" s="47"/>
      <c r="G16" s="47"/>
      <c r="H16" s="47"/>
      <c r="I16" s="47"/>
      <c r="J16" s="47"/>
      <c r="K16" s="47"/>
      <c r="L16" s="47"/>
      <c r="M16" s="47"/>
    </row>
  </sheetData>
  <sheetProtection sheet="1" objects="1" scenarios="1"/>
  <mergeCells count="1">
    <mergeCell ref="A14:L14"/>
  </mergeCells>
  <conditionalFormatting sqref="C3:C4">
    <cfRule type="expression" dxfId="638" priority="3">
      <formula>C3="Data Not Entered On Set-Up Worksheet"</formula>
    </cfRule>
  </conditionalFormatting>
  <conditionalFormatting sqref="C9">
    <cfRule type="expression" dxfId="637" priority="2">
      <formula>C9="Data Not Entered On Set-Up Worksheet"</formula>
    </cfRule>
  </conditionalFormatting>
  <conditionalFormatting sqref="C11">
    <cfRule type="expression" dxfId="636"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M16"/>
  <sheetViews>
    <sheetView showGridLines="0" workbookViewId="0">
      <selection activeCell="E7" sqref="E7"/>
    </sheetView>
  </sheetViews>
  <sheetFormatPr defaultRowHeight="12.75" x14ac:dyDescent="0.2"/>
  <cols>
    <col min="1" max="1" width="22.42578125" style="22" customWidth="1"/>
    <col min="2" max="16384" width="9.140625" style="22"/>
  </cols>
  <sheetData>
    <row r="1" spans="1:13" ht="15" customHeight="1" x14ac:dyDescent="0.2">
      <c r="A1" s="36" t="s">
        <v>28</v>
      </c>
    </row>
    <row r="2" spans="1:13" ht="15" customHeight="1" x14ac:dyDescent="0.2">
      <c r="A2" s="36" t="s">
        <v>196</v>
      </c>
    </row>
    <row r="3" spans="1:13" ht="15" customHeight="1" x14ac:dyDescent="0.2">
      <c r="A3" s="30" t="s">
        <v>194</v>
      </c>
      <c r="C3" s="147">
        <f>IF('Set-Up Worksheet'!F3="","Data Not Entered On Set-Up Worksheet",'Set-Up Worksheet'!F3)</f>
        <v>2018</v>
      </c>
    </row>
    <row r="4" spans="1:13" ht="15" customHeight="1" x14ac:dyDescent="0.2">
      <c r="A4" s="30" t="s">
        <v>195</v>
      </c>
      <c r="C4" s="147" t="str">
        <f>IF('Set-Up Worksheet'!F4="","Data Not Entered On Set-Up Worksheet",'Set-Up Worksheet'!F4)</f>
        <v>1st Quarter</v>
      </c>
    </row>
    <row r="5" spans="1:13" ht="15" customHeight="1" x14ac:dyDescent="0.2">
      <c r="C5" s="32"/>
    </row>
    <row r="6" spans="1:13" ht="15" customHeight="1" x14ac:dyDescent="0.2">
      <c r="A6" s="30" t="s">
        <v>337</v>
      </c>
      <c r="C6" s="32"/>
    </row>
    <row r="7" spans="1:13" ht="15" customHeight="1" x14ac:dyDescent="0.2">
      <c r="A7" s="30" t="s">
        <v>340</v>
      </c>
      <c r="C7" s="32"/>
    </row>
    <row r="8" spans="1:13" ht="15" customHeight="1" x14ac:dyDescent="0.2">
      <c r="A8" s="30"/>
      <c r="C8" s="32"/>
    </row>
    <row r="9" spans="1:13" ht="15" customHeight="1" x14ac:dyDescent="0.2">
      <c r="A9" s="30" t="s">
        <v>29</v>
      </c>
      <c r="C9" s="39" t="str">
        <f>IF('Set-Up Worksheet'!E7="","Data Not Entered On Set-Up Worksheet",'Set-Up Worksheet'!E7)</f>
        <v>Data Not Entered On Set-Up Worksheet</v>
      </c>
    </row>
    <row r="10" spans="1:13" ht="15" customHeight="1" x14ac:dyDescent="0.2">
      <c r="A10" s="30" t="s">
        <v>9</v>
      </c>
      <c r="C10" s="32" t="s">
        <v>10</v>
      </c>
    </row>
    <row r="11" spans="1:13" ht="15" customHeight="1" x14ac:dyDescent="0.2">
      <c r="A11" s="30" t="s">
        <v>197</v>
      </c>
      <c r="C11" s="40" t="str">
        <f>IF(C4="Data Not Entered On Set-Up Worksheet","Data Not Entered On Set-Up Worksheet",IF(C4="1st Quarter",'Report Schedule'!D28,IF(C4="2nd Quarter",'Report Schedule'!E28,IF(C4="3rd Quarter",'Report Schedule'!F28,IF(C4="4th Quarter",'Report Schedule'!G28,"")))))</f>
        <v>Apr - Jun 2017</v>
      </c>
    </row>
    <row r="14" spans="1:13" ht="76.5" customHeight="1" x14ac:dyDescent="0.2">
      <c r="A14" s="560" t="s">
        <v>428</v>
      </c>
      <c r="B14" s="560"/>
      <c r="C14" s="560"/>
      <c r="D14" s="560"/>
      <c r="E14" s="560"/>
      <c r="F14" s="560"/>
      <c r="G14" s="560"/>
      <c r="H14" s="560"/>
      <c r="I14" s="560"/>
      <c r="J14" s="560"/>
      <c r="K14" s="560"/>
      <c r="L14" s="560"/>
      <c r="M14" s="47"/>
    </row>
    <row r="15" spans="1:13" x14ac:dyDescent="0.2">
      <c r="A15" s="47"/>
      <c r="B15" s="47"/>
      <c r="C15" s="47"/>
      <c r="D15" s="47"/>
      <c r="E15" s="47"/>
      <c r="F15" s="47"/>
      <c r="G15" s="47"/>
      <c r="H15" s="47"/>
      <c r="I15" s="47"/>
      <c r="J15" s="47"/>
      <c r="K15" s="47"/>
      <c r="L15" s="47"/>
      <c r="M15" s="47"/>
    </row>
    <row r="16" spans="1:13" x14ac:dyDescent="0.2">
      <c r="A16" s="47"/>
      <c r="B16" s="47"/>
      <c r="C16" s="47"/>
      <c r="D16" s="47"/>
      <c r="E16" s="47"/>
      <c r="F16" s="47"/>
      <c r="G16" s="47"/>
      <c r="H16" s="47"/>
      <c r="I16" s="47"/>
      <c r="J16" s="47"/>
      <c r="K16" s="47"/>
      <c r="L16" s="47"/>
      <c r="M16" s="47"/>
    </row>
  </sheetData>
  <sheetProtection sheet="1" objects="1" scenarios="1"/>
  <mergeCells count="1">
    <mergeCell ref="A14:L14"/>
  </mergeCells>
  <conditionalFormatting sqref="C3:C4">
    <cfRule type="expression" dxfId="635" priority="3">
      <formula>C3="Data Not Entered On Set-Up Worksheet"</formula>
    </cfRule>
  </conditionalFormatting>
  <conditionalFormatting sqref="C9">
    <cfRule type="expression" dxfId="634" priority="2">
      <formula>C9="Data Not Entered On Set-Up Worksheet"</formula>
    </cfRule>
  </conditionalFormatting>
  <conditionalFormatting sqref="C11">
    <cfRule type="expression" dxfId="633"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BF43"/>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x14ac:dyDescent="0.2"/>
  <cols>
    <col min="1" max="1" width="22.42578125" style="22" customWidth="1"/>
    <col min="2" max="46" width="14.7109375" style="22" customWidth="1"/>
    <col min="47" max="47" width="8.85546875" style="22" bestFit="1" customWidth="1"/>
    <col min="48" max="16384" width="9.140625" style="22"/>
  </cols>
  <sheetData>
    <row r="1" spans="1:58" ht="15" customHeight="1" x14ac:dyDescent="0.2">
      <c r="A1" s="36" t="s">
        <v>28</v>
      </c>
      <c r="N1" s="30"/>
      <c r="Q1" s="30" t="s">
        <v>329</v>
      </c>
      <c r="AC1" s="30"/>
      <c r="AF1" s="30" t="s">
        <v>329</v>
      </c>
      <c r="AR1" s="30"/>
    </row>
    <row r="2" spans="1:58" ht="15" customHeight="1" x14ac:dyDescent="0.2">
      <c r="A2" s="36" t="s">
        <v>196</v>
      </c>
      <c r="N2" s="321"/>
      <c r="Q2" s="321" t="s">
        <v>330</v>
      </c>
      <c r="AC2" s="321"/>
      <c r="AF2" s="321" t="s">
        <v>330</v>
      </c>
      <c r="AR2" s="321"/>
    </row>
    <row r="3" spans="1:58" ht="15" customHeight="1" x14ac:dyDescent="0.2">
      <c r="A3" s="30" t="s">
        <v>194</v>
      </c>
      <c r="C3" s="147">
        <f>IF('Set-Up Worksheet'!F3="","Data Not Entered On Set-Up Worksheet",'Set-Up Worksheet'!F3)</f>
        <v>2018</v>
      </c>
      <c r="F3" s="38"/>
      <c r="I3" s="38"/>
      <c r="L3" s="38"/>
      <c r="O3" s="147"/>
      <c r="R3" s="147">
        <f t="shared" ref="R3:R11" si="0">C3</f>
        <v>2018</v>
      </c>
      <c r="U3" s="38"/>
      <c r="X3" s="38"/>
      <c r="AA3" s="38"/>
      <c r="AD3" s="147"/>
      <c r="AG3" s="147">
        <f t="shared" ref="AG3:AG11" si="1">C3</f>
        <v>2018</v>
      </c>
      <c r="AJ3" s="38"/>
      <c r="AM3" s="38"/>
      <c r="AP3" s="38"/>
      <c r="AS3" s="147"/>
    </row>
    <row r="4" spans="1:58" ht="15" customHeight="1" x14ac:dyDescent="0.2">
      <c r="A4" s="30" t="s">
        <v>195</v>
      </c>
      <c r="C4" s="147" t="str">
        <f>IF('Set-Up Worksheet'!F4="","Data Not Entered On Set-Up Worksheet",'Set-Up Worksheet'!F4)</f>
        <v>1st Quarter</v>
      </c>
      <c r="F4" s="32"/>
      <c r="I4" s="32"/>
      <c r="L4" s="32"/>
      <c r="O4" s="147"/>
      <c r="R4" s="147" t="str">
        <f t="shared" si="0"/>
        <v>1st Quarter</v>
      </c>
      <c r="U4" s="32"/>
      <c r="X4" s="32"/>
      <c r="AA4" s="32"/>
      <c r="AD4" s="147"/>
      <c r="AG4" s="147" t="str">
        <f t="shared" si="1"/>
        <v>1st Quarter</v>
      </c>
      <c r="AJ4" s="32"/>
      <c r="AM4" s="32"/>
      <c r="AP4" s="32"/>
      <c r="AS4" s="147"/>
    </row>
    <row r="5" spans="1:58" ht="15" customHeight="1" x14ac:dyDescent="0.2">
      <c r="A5" s="30"/>
      <c r="C5" s="32"/>
      <c r="F5" s="32"/>
      <c r="I5" s="32"/>
      <c r="L5" s="32"/>
      <c r="O5" s="39"/>
      <c r="R5" s="39"/>
      <c r="U5" s="32"/>
      <c r="X5" s="32"/>
      <c r="AA5" s="32"/>
      <c r="AD5" s="39"/>
      <c r="AG5" s="39"/>
      <c r="AJ5" s="32"/>
      <c r="AM5" s="32"/>
      <c r="AP5" s="32"/>
      <c r="AS5" s="39"/>
    </row>
    <row r="6" spans="1:58" ht="15" customHeight="1" x14ac:dyDescent="0.2">
      <c r="A6" s="30" t="s">
        <v>337</v>
      </c>
      <c r="C6" s="32"/>
      <c r="F6" s="32"/>
      <c r="I6" s="32"/>
      <c r="L6" s="32"/>
      <c r="N6" s="30"/>
      <c r="O6" s="39"/>
      <c r="Q6" s="30" t="s">
        <v>344</v>
      </c>
      <c r="R6" s="39"/>
      <c r="U6" s="32"/>
      <c r="X6" s="32"/>
      <c r="AA6" s="32"/>
      <c r="AC6" s="30"/>
      <c r="AD6" s="39"/>
      <c r="AF6" s="30" t="s">
        <v>344</v>
      </c>
      <c r="AG6" s="39"/>
      <c r="AJ6" s="32"/>
      <c r="AM6" s="32"/>
      <c r="AP6" s="32"/>
      <c r="AR6" s="30"/>
      <c r="AS6" s="39"/>
    </row>
    <row r="7" spans="1:58" ht="15" customHeight="1" x14ac:dyDescent="0.2">
      <c r="A7" s="30" t="s">
        <v>341</v>
      </c>
      <c r="C7" s="32"/>
      <c r="F7" s="32"/>
      <c r="I7" s="32"/>
      <c r="L7" s="32"/>
      <c r="N7" s="321"/>
      <c r="O7" s="39"/>
      <c r="Q7" s="321" t="s">
        <v>343</v>
      </c>
      <c r="R7" s="39"/>
      <c r="U7" s="32"/>
      <c r="X7" s="32"/>
      <c r="AA7" s="32"/>
      <c r="AC7" s="321"/>
      <c r="AD7" s="39"/>
      <c r="AF7" s="321" t="s">
        <v>343</v>
      </c>
      <c r="AG7" s="39"/>
      <c r="AJ7" s="32"/>
      <c r="AM7" s="32"/>
      <c r="AP7" s="32"/>
      <c r="AR7" s="321"/>
      <c r="AS7" s="39"/>
    </row>
    <row r="8" spans="1:58" ht="15" customHeight="1" x14ac:dyDescent="0.2">
      <c r="A8" s="30"/>
      <c r="C8" s="32"/>
      <c r="F8" s="32"/>
      <c r="I8" s="32"/>
      <c r="L8" s="32"/>
      <c r="O8" s="39"/>
      <c r="R8" s="39"/>
      <c r="U8" s="32"/>
      <c r="X8" s="32"/>
      <c r="AA8" s="32"/>
      <c r="AD8" s="39"/>
      <c r="AG8" s="39"/>
      <c r="AJ8" s="32"/>
      <c r="AM8" s="32"/>
      <c r="AP8" s="32"/>
      <c r="AS8" s="39"/>
      <c r="AX8" s="54"/>
      <c r="AY8" s="54"/>
      <c r="AZ8" s="55"/>
      <c r="BA8" s="54"/>
      <c r="BB8" s="54"/>
      <c r="BC8" s="54"/>
      <c r="BD8" s="54"/>
      <c r="BE8" s="30"/>
      <c r="BF8" s="35"/>
    </row>
    <row r="9" spans="1:58" ht="15" customHeight="1" x14ac:dyDescent="0.2">
      <c r="A9" s="30" t="s">
        <v>29</v>
      </c>
      <c r="C9" s="39" t="str">
        <f>IF('Set-Up Worksheet'!E7="","Data Not Entered On Set-Up Worksheet",'Set-Up Worksheet'!E7)</f>
        <v>Data Not Entered On Set-Up Worksheet</v>
      </c>
      <c r="I9" s="39"/>
      <c r="L9" s="39"/>
      <c r="O9" s="39"/>
      <c r="R9" s="39" t="str">
        <f t="shared" si="0"/>
        <v>Data Not Entered On Set-Up Worksheet</v>
      </c>
      <c r="U9" s="39"/>
      <c r="X9" s="39"/>
      <c r="AA9" s="39"/>
      <c r="AD9" s="39"/>
      <c r="AG9" s="39" t="str">
        <f t="shared" si="1"/>
        <v>Data Not Entered On Set-Up Worksheet</v>
      </c>
      <c r="AJ9" s="39"/>
      <c r="AM9" s="39"/>
      <c r="AP9" s="39"/>
      <c r="AS9" s="39"/>
    </row>
    <row r="10" spans="1:58" ht="15" customHeight="1" x14ac:dyDescent="0.2">
      <c r="A10" s="30" t="s">
        <v>9</v>
      </c>
      <c r="C10" s="32" t="s">
        <v>10</v>
      </c>
      <c r="F10" s="79" t="s">
        <v>444</v>
      </c>
      <c r="I10" s="32"/>
      <c r="L10" s="32"/>
      <c r="O10" s="39"/>
      <c r="R10" s="39" t="str">
        <f t="shared" si="0"/>
        <v>Behavioral Health</v>
      </c>
      <c r="U10" s="32"/>
      <c r="X10" s="32"/>
      <c r="AA10" s="32"/>
      <c r="AD10" s="39"/>
      <c r="AG10" s="39" t="str">
        <f t="shared" si="1"/>
        <v>Behavioral Health</v>
      </c>
      <c r="AJ10" s="32"/>
      <c r="AM10" s="32"/>
      <c r="AP10" s="32"/>
      <c r="AS10" s="39"/>
    </row>
    <row r="11" spans="1:58" ht="15" customHeight="1" x14ac:dyDescent="0.2">
      <c r="A11" s="30" t="s">
        <v>197</v>
      </c>
      <c r="C11" s="40" t="str">
        <f>IF(C4="Data Not Entered On Set-Up Worksheet","Data Not Entered On Set-Up Worksheet",IF(C4="1st Quarter",'Report Schedule'!D31,IF(C4="2nd Quarter",'Report Schedule'!E31,IF(C4="3rd Quarter",'Report Schedule'!F31,IF(C4="4th Quarter",'Report Schedule'!G31,"")))))</f>
        <v>Apr - Jun 2017</v>
      </c>
      <c r="F11" s="79"/>
      <c r="I11" s="40"/>
      <c r="L11" s="40"/>
      <c r="O11" s="40"/>
      <c r="R11" s="40" t="str">
        <f t="shared" si="0"/>
        <v>Apr - Jun 2017</v>
      </c>
      <c r="U11" s="40"/>
      <c r="X11" s="40"/>
      <c r="AA11" s="40"/>
      <c r="AD11" s="40"/>
      <c r="AG11" s="40" t="str">
        <f t="shared" si="1"/>
        <v>Apr - Jun 2017</v>
      </c>
      <c r="AJ11" s="40"/>
      <c r="AM11" s="40"/>
      <c r="AP11" s="40"/>
      <c r="AS11" s="40"/>
    </row>
    <row r="12" spans="1:58" ht="15" customHeight="1" thickBot="1" x14ac:dyDescent="0.25">
      <c r="A12" s="30"/>
      <c r="C12" s="40"/>
      <c r="F12" s="79"/>
      <c r="I12" s="40"/>
      <c r="L12" s="40"/>
      <c r="O12" s="40"/>
      <c r="R12" s="40"/>
      <c r="U12" s="40"/>
      <c r="X12" s="40"/>
      <c r="AA12" s="40"/>
      <c r="AD12" s="40"/>
      <c r="AG12" s="40"/>
      <c r="AJ12" s="40"/>
      <c r="AM12" s="40"/>
      <c r="AP12" s="40"/>
      <c r="AS12" s="40"/>
    </row>
    <row r="13" spans="1:58" ht="18" customHeight="1" thickBot="1" x14ac:dyDescent="0.25">
      <c r="A13" s="226" t="s">
        <v>242</v>
      </c>
      <c r="B13" s="384" t="s">
        <v>39</v>
      </c>
      <c r="C13" s="235"/>
      <c r="D13" s="235"/>
      <c r="E13" s="315"/>
      <c r="F13" s="235"/>
      <c r="G13" s="235"/>
      <c r="H13" s="235"/>
      <c r="I13" s="235"/>
      <c r="J13" s="235"/>
      <c r="K13" s="235"/>
      <c r="L13" s="235"/>
      <c r="M13" s="235"/>
      <c r="N13" s="315"/>
      <c r="O13" s="235"/>
      <c r="P13" s="236"/>
      <c r="Q13" s="383" t="s">
        <v>241</v>
      </c>
      <c r="R13" s="231"/>
      <c r="S13" s="231"/>
      <c r="T13" s="82"/>
      <c r="U13" s="231"/>
      <c r="V13" s="231"/>
      <c r="W13" s="231"/>
      <c r="X13" s="231"/>
      <c r="Y13" s="231"/>
      <c r="Z13" s="231"/>
      <c r="AA13" s="231"/>
      <c r="AB13" s="231"/>
      <c r="AC13" s="82"/>
      <c r="AD13" s="231"/>
      <c r="AE13" s="232"/>
      <c r="AF13" s="384" t="s">
        <v>342</v>
      </c>
      <c r="AG13" s="235"/>
      <c r="AH13" s="235"/>
      <c r="AI13" s="315"/>
      <c r="AJ13" s="235"/>
      <c r="AK13" s="235"/>
      <c r="AL13" s="235"/>
      <c r="AM13" s="235"/>
      <c r="AN13" s="235"/>
      <c r="AO13" s="235"/>
      <c r="AP13" s="235"/>
      <c r="AQ13" s="235"/>
      <c r="AR13" s="315"/>
      <c r="AS13" s="235"/>
      <c r="AT13" s="236"/>
    </row>
    <row r="14" spans="1:58" s="35" customFormat="1" ht="18" customHeight="1" thickBot="1" x14ac:dyDescent="0.25">
      <c r="A14" s="233" t="s">
        <v>252</v>
      </c>
      <c r="B14" s="234" t="s">
        <v>246</v>
      </c>
      <c r="C14" s="237"/>
      <c r="D14" s="238"/>
      <c r="E14" s="234" t="s">
        <v>146</v>
      </c>
      <c r="F14" s="237"/>
      <c r="G14" s="238"/>
      <c r="H14" s="234" t="s">
        <v>247</v>
      </c>
      <c r="I14" s="237"/>
      <c r="J14" s="238"/>
      <c r="K14" s="234" t="s">
        <v>250</v>
      </c>
      <c r="L14" s="237"/>
      <c r="M14" s="238"/>
      <c r="N14" s="234" t="s">
        <v>147</v>
      </c>
      <c r="O14" s="237"/>
      <c r="P14" s="238"/>
      <c r="Q14" s="63" t="s">
        <v>246</v>
      </c>
      <c r="R14" s="64"/>
      <c r="S14" s="65"/>
      <c r="T14" s="63" t="s">
        <v>146</v>
      </c>
      <c r="U14" s="64"/>
      <c r="V14" s="65"/>
      <c r="W14" s="63" t="s">
        <v>247</v>
      </c>
      <c r="X14" s="64"/>
      <c r="Y14" s="65"/>
      <c r="Z14" s="63" t="s">
        <v>250</v>
      </c>
      <c r="AA14" s="64"/>
      <c r="AB14" s="65"/>
      <c r="AC14" s="63" t="s">
        <v>147</v>
      </c>
      <c r="AD14" s="64"/>
      <c r="AE14" s="65"/>
      <c r="AF14" s="234" t="s">
        <v>246</v>
      </c>
      <c r="AG14" s="237"/>
      <c r="AH14" s="238"/>
      <c r="AI14" s="234" t="s">
        <v>146</v>
      </c>
      <c r="AJ14" s="237"/>
      <c r="AK14" s="238"/>
      <c r="AL14" s="234" t="s">
        <v>247</v>
      </c>
      <c r="AM14" s="237"/>
      <c r="AN14" s="238"/>
      <c r="AO14" s="234" t="s">
        <v>250</v>
      </c>
      <c r="AP14" s="237"/>
      <c r="AQ14" s="238"/>
      <c r="AR14" s="234" t="s">
        <v>147</v>
      </c>
      <c r="AS14" s="237"/>
      <c r="AT14" s="238"/>
    </row>
    <row r="15" spans="1:58" s="35" customFormat="1" ht="13.5" thickBot="1" x14ac:dyDescent="0.25">
      <c r="A15" s="30"/>
      <c r="B15" s="56" t="s">
        <v>3</v>
      </c>
      <c r="C15" s="57" t="s">
        <v>4</v>
      </c>
      <c r="D15" s="58" t="s">
        <v>5</v>
      </c>
      <c r="E15" s="56" t="s">
        <v>3</v>
      </c>
      <c r="F15" s="57" t="s">
        <v>4</v>
      </c>
      <c r="G15" s="58" t="s">
        <v>5</v>
      </c>
      <c r="H15" s="56" t="s">
        <v>3</v>
      </c>
      <c r="I15" s="57" t="s">
        <v>4</v>
      </c>
      <c r="J15" s="58" t="s">
        <v>5</v>
      </c>
      <c r="K15" s="56" t="s">
        <v>3</v>
      </c>
      <c r="L15" s="57" t="s">
        <v>4</v>
      </c>
      <c r="M15" s="58" t="s">
        <v>5</v>
      </c>
      <c r="N15" s="56" t="s">
        <v>3</v>
      </c>
      <c r="O15" s="57" t="s">
        <v>4</v>
      </c>
      <c r="P15" s="58" t="s">
        <v>5</v>
      </c>
      <c r="Q15" s="56" t="s">
        <v>3</v>
      </c>
      <c r="R15" s="57" t="s">
        <v>4</v>
      </c>
      <c r="S15" s="58" t="s">
        <v>5</v>
      </c>
      <c r="T15" s="56" t="s">
        <v>3</v>
      </c>
      <c r="U15" s="57" t="s">
        <v>4</v>
      </c>
      <c r="V15" s="58" t="s">
        <v>5</v>
      </c>
      <c r="W15" s="56" t="s">
        <v>3</v>
      </c>
      <c r="X15" s="57" t="s">
        <v>4</v>
      </c>
      <c r="Y15" s="58" t="s">
        <v>5</v>
      </c>
      <c r="Z15" s="56" t="s">
        <v>3</v>
      </c>
      <c r="AA15" s="57" t="s">
        <v>4</v>
      </c>
      <c r="AB15" s="58" t="s">
        <v>5</v>
      </c>
      <c r="AC15" s="56" t="s">
        <v>3</v>
      </c>
      <c r="AD15" s="57" t="s">
        <v>4</v>
      </c>
      <c r="AE15" s="58" t="s">
        <v>5</v>
      </c>
      <c r="AF15" s="56" t="s">
        <v>3</v>
      </c>
      <c r="AG15" s="57" t="s">
        <v>4</v>
      </c>
      <c r="AH15" s="58" t="s">
        <v>5</v>
      </c>
      <c r="AI15" s="56" t="s">
        <v>3</v>
      </c>
      <c r="AJ15" s="57" t="s">
        <v>4</v>
      </c>
      <c r="AK15" s="58" t="s">
        <v>5</v>
      </c>
      <c r="AL15" s="56" t="s">
        <v>3</v>
      </c>
      <c r="AM15" s="57" t="s">
        <v>4</v>
      </c>
      <c r="AN15" s="58" t="s">
        <v>5</v>
      </c>
      <c r="AO15" s="56" t="s">
        <v>3</v>
      </c>
      <c r="AP15" s="57" t="s">
        <v>4</v>
      </c>
      <c r="AQ15" s="58" t="s">
        <v>5</v>
      </c>
      <c r="AR15" s="56" t="s">
        <v>3</v>
      </c>
      <c r="AS15" s="57" t="s">
        <v>4</v>
      </c>
      <c r="AT15" s="58" t="s">
        <v>5</v>
      </c>
      <c r="AU15" s="33"/>
      <c r="AV15" s="30"/>
      <c r="AW15" s="30"/>
      <c r="AX15" s="30"/>
      <c r="AY15" s="30"/>
      <c r="AZ15" s="30"/>
    </row>
    <row r="16" spans="1:58" ht="39.950000000000003" customHeight="1" x14ac:dyDescent="0.2">
      <c r="A16" s="75" t="s">
        <v>43</v>
      </c>
      <c r="B16" s="239" t="s">
        <v>419</v>
      </c>
      <c r="C16" s="240" t="s">
        <v>41</v>
      </c>
      <c r="D16" s="241" t="s">
        <v>11</v>
      </c>
      <c r="E16" s="239" t="s">
        <v>419</v>
      </c>
      <c r="F16" s="240" t="s">
        <v>41</v>
      </c>
      <c r="G16" s="241" t="s">
        <v>11</v>
      </c>
      <c r="H16" s="239" t="s">
        <v>419</v>
      </c>
      <c r="I16" s="240" t="s">
        <v>41</v>
      </c>
      <c r="J16" s="241" t="s">
        <v>11</v>
      </c>
      <c r="K16" s="239" t="s">
        <v>419</v>
      </c>
      <c r="L16" s="240" t="s">
        <v>41</v>
      </c>
      <c r="M16" s="241" t="s">
        <v>11</v>
      </c>
      <c r="N16" s="239" t="s">
        <v>419</v>
      </c>
      <c r="O16" s="240" t="s">
        <v>41</v>
      </c>
      <c r="P16" s="241" t="s">
        <v>11</v>
      </c>
      <c r="Q16" s="66" t="s">
        <v>419</v>
      </c>
      <c r="R16" s="67" t="s">
        <v>41</v>
      </c>
      <c r="S16" s="68" t="s">
        <v>11</v>
      </c>
      <c r="T16" s="66" t="s">
        <v>419</v>
      </c>
      <c r="U16" s="67" t="s">
        <v>30</v>
      </c>
      <c r="V16" s="68" t="s">
        <v>11</v>
      </c>
      <c r="W16" s="66" t="s">
        <v>419</v>
      </c>
      <c r="X16" s="67" t="s">
        <v>30</v>
      </c>
      <c r="Y16" s="68" t="s">
        <v>11</v>
      </c>
      <c r="Z16" s="66" t="s">
        <v>419</v>
      </c>
      <c r="AA16" s="67" t="s">
        <v>30</v>
      </c>
      <c r="AB16" s="68" t="s">
        <v>11</v>
      </c>
      <c r="AC16" s="66" t="s">
        <v>419</v>
      </c>
      <c r="AD16" s="67" t="s">
        <v>41</v>
      </c>
      <c r="AE16" s="68" t="s">
        <v>11</v>
      </c>
      <c r="AF16" s="239" t="s">
        <v>419</v>
      </c>
      <c r="AG16" s="240" t="s">
        <v>30</v>
      </c>
      <c r="AH16" s="241" t="s">
        <v>11</v>
      </c>
      <c r="AI16" s="239" t="s">
        <v>419</v>
      </c>
      <c r="AJ16" s="240" t="s">
        <v>30</v>
      </c>
      <c r="AK16" s="241" t="s">
        <v>11</v>
      </c>
      <c r="AL16" s="239" t="s">
        <v>419</v>
      </c>
      <c r="AM16" s="240" t="s">
        <v>30</v>
      </c>
      <c r="AN16" s="241" t="s">
        <v>11</v>
      </c>
      <c r="AO16" s="239" t="s">
        <v>419</v>
      </c>
      <c r="AP16" s="240" t="s">
        <v>30</v>
      </c>
      <c r="AQ16" s="241" t="s">
        <v>11</v>
      </c>
      <c r="AR16" s="239" t="s">
        <v>419</v>
      </c>
      <c r="AS16" s="240" t="s">
        <v>41</v>
      </c>
      <c r="AT16" s="241" t="s">
        <v>11</v>
      </c>
    </row>
    <row r="17" spans="1:46" ht="18" customHeight="1" x14ac:dyDescent="0.2">
      <c r="A17" s="76" t="str">
        <f>IF($C$9="Data Not Entered On Set-Up Worksheet","",IF(OR(VLOOKUP($C$9,County_Lookup,2,FALSE)="",VLOOKUP($C$9,County_Lookup,2,FALSE)=0),"",VLOOKUP($C$9,County_Lookup,2,FALSE)))</f>
        <v/>
      </c>
      <c r="B17" s="69"/>
      <c r="C17" s="61"/>
      <c r="D17" s="324" t="str">
        <f>IF($A17="","",IF(C17=0,0,B17/C17))</f>
        <v/>
      </c>
      <c r="E17" s="69"/>
      <c r="F17" s="61"/>
      <c r="G17" s="324" t="str">
        <f>IF($A17="","",IF(F17=0,0,E17/F17))</f>
        <v/>
      </c>
      <c r="H17" s="69"/>
      <c r="I17" s="61"/>
      <c r="J17" s="324" t="str">
        <f>IF($A17="","",IF(I17=0,0,H17/I17))</f>
        <v/>
      </c>
      <c r="K17" s="74" t="str">
        <f>IF($A17="","",SUM(E17,H17))</f>
        <v/>
      </c>
      <c r="L17" s="62" t="str">
        <f>IF($A17="","",SUM(F17,I17))</f>
        <v/>
      </c>
      <c r="M17" s="324" t="str">
        <f>IF($A17="","",IF(L17=0,0,K17/L17))</f>
        <v/>
      </c>
      <c r="N17" s="74" t="str">
        <f t="shared" ref="N17:N42" si="2">IF($A17="","",SUM(B17,E17,H17))</f>
        <v/>
      </c>
      <c r="O17" s="62" t="str">
        <f t="shared" ref="O17:O42" si="3">IF($A17="","",SUM(C17,F17,I17))</f>
        <v/>
      </c>
      <c r="P17" s="324" t="str">
        <f>IF($A17="","",IF(O17=0,0,N17/O17))</f>
        <v/>
      </c>
      <c r="Q17" s="69"/>
      <c r="R17" s="61"/>
      <c r="S17" s="324" t="str">
        <f>IF($A17="","",IF(R17=0,0,Q17/R17))</f>
        <v/>
      </c>
      <c r="T17" s="69"/>
      <c r="U17" s="61"/>
      <c r="V17" s="324" t="str">
        <f>IF($A17="","",IF(U17=0,0,T17/U17))</f>
        <v/>
      </c>
      <c r="W17" s="69"/>
      <c r="X17" s="61"/>
      <c r="Y17" s="324" t="str">
        <f>IF($A17="","",IF(X17=0,0,W17/X17))</f>
        <v/>
      </c>
      <c r="Z17" s="74" t="str">
        <f>IF($A17="","",SUM(T17,W17))</f>
        <v/>
      </c>
      <c r="AA17" s="62" t="str">
        <f>IF($A17="","",SUM(U17,X17))</f>
        <v/>
      </c>
      <c r="AB17" s="324" t="str">
        <f>IF($A17="","",IF(AA17=0,0,Z17/AA17))</f>
        <v/>
      </c>
      <c r="AC17" s="74" t="str">
        <f t="shared" ref="AC17:AC42" si="4">IF($A17="","",SUM(Q17,T17,W17))</f>
        <v/>
      </c>
      <c r="AD17" s="62" t="str">
        <f t="shared" ref="AD17:AD42" si="5">IF($A17="","",SUM(R17,U17,X17))</f>
        <v/>
      </c>
      <c r="AE17" s="324" t="str">
        <f>IF($A17="","",IF(AD17=0,0,AC17/AD17))</f>
        <v/>
      </c>
      <c r="AF17" s="69"/>
      <c r="AG17" s="61"/>
      <c r="AH17" s="324" t="str">
        <f>IF($A17="","",IF(AG17=0,0,AF17/AG17))</f>
        <v/>
      </c>
      <c r="AI17" s="69"/>
      <c r="AJ17" s="61"/>
      <c r="AK17" s="324" t="str">
        <f>IF($A17="","",IF(AJ17=0,0,AI17/AJ17))</f>
        <v/>
      </c>
      <c r="AL17" s="69"/>
      <c r="AM17" s="61"/>
      <c r="AN17" s="324" t="str">
        <f>IF($A17="","",IF(AM17=0,0,AL17/AM17))</f>
        <v/>
      </c>
      <c r="AO17" s="74" t="str">
        <f>IF($A17="","",SUM(AI17,AL17))</f>
        <v/>
      </c>
      <c r="AP17" s="62" t="str">
        <f>IF($A17="","",SUM(AJ17,AM17))</f>
        <v/>
      </c>
      <c r="AQ17" s="324" t="str">
        <f>IF($A17="","",IF(AP17=0,0,AO17/AP17))</f>
        <v/>
      </c>
      <c r="AR17" s="74" t="str">
        <f t="shared" ref="AR17:AR42" si="6">IF($A17="","",SUM(AF17,AI17,AL17))</f>
        <v/>
      </c>
      <c r="AS17" s="62" t="str">
        <f t="shared" ref="AS17:AS42" si="7">IF($A17="","",SUM(AG17,AJ17,AM17))</f>
        <v/>
      </c>
      <c r="AT17" s="324" t="str">
        <f>IF($A17="","",IF(AS17=0,0,AR17/AS17))</f>
        <v/>
      </c>
    </row>
    <row r="18" spans="1:46" ht="18" customHeight="1" x14ac:dyDescent="0.2">
      <c r="A18" s="77" t="str">
        <f>IF($C$9="Data Not Entered On Set-Up Worksheet","",IF(OR(VLOOKUP($C$9,County_Lookup,3,FALSE)="",VLOOKUP($C$9,County_Lookup,3,FALSE)=0),"",VLOOKUP($C$9,County_Lookup,3,FALSE)))</f>
        <v/>
      </c>
      <c r="B18" s="69"/>
      <c r="C18" s="61"/>
      <c r="D18" s="324" t="str">
        <f t="shared" ref="D18:D42" si="8">IF($A18="","",IF(C18=0,0,B18/C18))</f>
        <v/>
      </c>
      <c r="E18" s="69"/>
      <c r="F18" s="61"/>
      <c r="G18" s="324" t="str">
        <f t="shared" ref="G18:G42" si="9">IF($A18="","",IF(F18=0,0,E18/F18))</f>
        <v/>
      </c>
      <c r="H18" s="69"/>
      <c r="I18" s="61"/>
      <c r="J18" s="324" t="str">
        <f t="shared" ref="J18:J42" si="10">IF($A18="","",IF(I18=0,0,H18/I18))</f>
        <v/>
      </c>
      <c r="K18" s="74" t="str">
        <f t="shared" ref="K18:L42" si="11">IF($A18="","",SUM(E18,H18))</f>
        <v/>
      </c>
      <c r="L18" s="62" t="str">
        <f t="shared" si="11"/>
        <v/>
      </c>
      <c r="M18" s="324" t="str">
        <f t="shared" ref="M18:M42" si="12">IF($A18="","",IF(L18=0,0,K18/L18))</f>
        <v/>
      </c>
      <c r="N18" s="74" t="str">
        <f t="shared" si="2"/>
        <v/>
      </c>
      <c r="O18" s="62" t="str">
        <f t="shared" si="3"/>
        <v/>
      </c>
      <c r="P18" s="324" t="str">
        <f t="shared" ref="P18:P42" si="13">IF($A18="","",IF(O18=0,0,N18/O18))</f>
        <v/>
      </c>
      <c r="Q18" s="69"/>
      <c r="R18" s="61"/>
      <c r="S18" s="324" t="str">
        <f t="shared" ref="S18:S42" si="14">IF($A18="","",IF(R18=0,0,Q18/R18))</f>
        <v/>
      </c>
      <c r="T18" s="69"/>
      <c r="U18" s="61"/>
      <c r="V18" s="324" t="str">
        <f t="shared" ref="V18:V42" si="15">IF($A18="","",IF(U18=0,0,T18/U18))</f>
        <v/>
      </c>
      <c r="W18" s="69"/>
      <c r="X18" s="61"/>
      <c r="Y18" s="324" t="str">
        <f t="shared" ref="Y18:Y42" si="16">IF($A18="","",IF(X18=0,0,W18/X18))</f>
        <v/>
      </c>
      <c r="Z18" s="74" t="str">
        <f t="shared" ref="Z18:AA42" si="17">IF($A18="","",SUM(T18,W18))</f>
        <v/>
      </c>
      <c r="AA18" s="62" t="str">
        <f t="shared" si="17"/>
        <v/>
      </c>
      <c r="AB18" s="324" t="str">
        <f t="shared" ref="AB18:AB42" si="18">IF($A18="","",IF(AA18=0,0,Z18/AA18))</f>
        <v/>
      </c>
      <c r="AC18" s="74" t="str">
        <f t="shared" si="4"/>
        <v/>
      </c>
      <c r="AD18" s="62" t="str">
        <f t="shared" si="5"/>
        <v/>
      </c>
      <c r="AE18" s="324" t="str">
        <f t="shared" ref="AE18:AE42" si="19">IF($A18="","",IF(AD18=0,0,AC18/AD18))</f>
        <v/>
      </c>
      <c r="AF18" s="69"/>
      <c r="AG18" s="61"/>
      <c r="AH18" s="324" t="str">
        <f t="shared" ref="AH18:AH42" si="20">IF($A18="","",IF(AG18=0,0,AF18/AG18))</f>
        <v/>
      </c>
      <c r="AI18" s="69"/>
      <c r="AJ18" s="61"/>
      <c r="AK18" s="324" t="str">
        <f t="shared" ref="AK18:AK42" si="21">IF($A18="","",IF(AJ18=0,0,AI18/AJ18))</f>
        <v/>
      </c>
      <c r="AL18" s="69"/>
      <c r="AM18" s="61"/>
      <c r="AN18" s="324" t="str">
        <f t="shared" ref="AN18:AN42" si="22">IF($A18="","",IF(AM18=0,0,AL18/AM18))</f>
        <v/>
      </c>
      <c r="AO18" s="74" t="str">
        <f t="shared" ref="AO18:AP42" si="23">IF($A18="","",SUM(AI18,AL18))</f>
        <v/>
      </c>
      <c r="AP18" s="62" t="str">
        <f t="shared" si="23"/>
        <v/>
      </c>
      <c r="AQ18" s="324" t="str">
        <f t="shared" ref="AQ18:AQ42" si="24">IF($A18="","",IF(AP18=0,0,AO18/AP18))</f>
        <v/>
      </c>
      <c r="AR18" s="74" t="str">
        <f t="shared" si="6"/>
        <v/>
      </c>
      <c r="AS18" s="62" t="str">
        <f t="shared" si="7"/>
        <v/>
      </c>
      <c r="AT18" s="324" t="str">
        <f t="shared" ref="AT18:AT42" si="25">IF($A18="","",IF(AS18=0,0,AR18/AS18))</f>
        <v/>
      </c>
    </row>
    <row r="19" spans="1:46" ht="18" customHeight="1" x14ac:dyDescent="0.2">
      <c r="A19" s="77" t="str">
        <f>IF($C$9="Data Not Entered On Set-Up Worksheet","",IF(OR(VLOOKUP($C$9,County_Lookup,4,FALSE)="",VLOOKUP($C$9,County_Lookup,4,FALSE)=0),"",VLOOKUP($C$9,County_Lookup,4,FALSE)))</f>
        <v/>
      </c>
      <c r="B19" s="69"/>
      <c r="C19" s="61"/>
      <c r="D19" s="324" t="str">
        <f t="shared" si="8"/>
        <v/>
      </c>
      <c r="E19" s="69"/>
      <c r="F19" s="61"/>
      <c r="G19" s="324" t="str">
        <f t="shared" si="9"/>
        <v/>
      </c>
      <c r="H19" s="69"/>
      <c r="I19" s="61"/>
      <c r="J19" s="324" t="str">
        <f t="shared" si="10"/>
        <v/>
      </c>
      <c r="K19" s="74" t="str">
        <f t="shared" si="11"/>
        <v/>
      </c>
      <c r="L19" s="62" t="str">
        <f t="shared" si="11"/>
        <v/>
      </c>
      <c r="M19" s="324" t="str">
        <f t="shared" si="12"/>
        <v/>
      </c>
      <c r="N19" s="74" t="str">
        <f t="shared" si="2"/>
        <v/>
      </c>
      <c r="O19" s="62" t="str">
        <f t="shared" si="3"/>
        <v/>
      </c>
      <c r="P19" s="324" t="str">
        <f t="shared" si="13"/>
        <v/>
      </c>
      <c r="Q19" s="69"/>
      <c r="R19" s="61"/>
      <c r="S19" s="324" t="str">
        <f t="shared" si="14"/>
        <v/>
      </c>
      <c r="T19" s="69"/>
      <c r="U19" s="61"/>
      <c r="V19" s="324" t="str">
        <f t="shared" si="15"/>
        <v/>
      </c>
      <c r="W19" s="69"/>
      <c r="X19" s="61"/>
      <c r="Y19" s="324" t="str">
        <f t="shared" si="16"/>
        <v/>
      </c>
      <c r="Z19" s="74" t="str">
        <f t="shared" si="17"/>
        <v/>
      </c>
      <c r="AA19" s="62" t="str">
        <f t="shared" si="17"/>
        <v/>
      </c>
      <c r="AB19" s="324" t="str">
        <f t="shared" si="18"/>
        <v/>
      </c>
      <c r="AC19" s="74" t="str">
        <f t="shared" si="4"/>
        <v/>
      </c>
      <c r="AD19" s="62" t="str">
        <f t="shared" si="5"/>
        <v/>
      </c>
      <c r="AE19" s="324" t="str">
        <f t="shared" si="19"/>
        <v/>
      </c>
      <c r="AF19" s="69"/>
      <c r="AG19" s="61"/>
      <c r="AH19" s="324" t="str">
        <f t="shared" si="20"/>
        <v/>
      </c>
      <c r="AI19" s="69"/>
      <c r="AJ19" s="61"/>
      <c r="AK19" s="324" t="str">
        <f t="shared" si="21"/>
        <v/>
      </c>
      <c r="AL19" s="69"/>
      <c r="AM19" s="61"/>
      <c r="AN19" s="324" t="str">
        <f t="shared" si="22"/>
        <v/>
      </c>
      <c r="AO19" s="74" t="str">
        <f t="shared" si="23"/>
        <v/>
      </c>
      <c r="AP19" s="62" t="str">
        <f t="shared" si="23"/>
        <v/>
      </c>
      <c r="AQ19" s="324" t="str">
        <f t="shared" si="24"/>
        <v/>
      </c>
      <c r="AR19" s="74" t="str">
        <f t="shared" si="6"/>
        <v/>
      </c>
      <c r="AS19" s="62" t="str">
        <f t="shared" si="7"/>
        <v/>
      </c>
      <c r="AT19" s="324" t="str">
        <f t="shared" si="25"/>
        <v/>
      </c>
    </row>
    <row r="20" spans="1:46" ht="18" customHeight="1" x14ac:dyDescent="0.2">
      <c r="A20" s="77" t="str">
        <f>IF($C$9="Data Not Entered On Set-Up Worksheet","",IF(OR(VLOOKUP($C$9,County_Lookup,5,FALSE)="",VLOOKUP($C$9,County_Lookup,5,FALSE)=0),"",VLOOKUP($C$9,County_Lookup,5,FALSE)))</f>
        <v/>
      </c>
      <c r="B20" s="69"/>
      <c r="C20" s="61"/>
      <c r="D20" s="324" t="str">
        <f t="shared" si="8"/>
        <v/>
      </c>
      <c r="E20" s="69"/>
      <c r="F20" s="61"/>
      <c r="G20" s="324" t="str">
        <f t="shared" si="9"/>
        <v/>
      </c>
      <c r="H20" s="69"/>
      <c r="I20" s="61"/>
      <c r="J20" s="324" t="str">
        <f t="shared" si="10"/>
        <v/>
      </c>
      <c r="K20" s="74" t="str">
        <f t="shared" si="11"/>
        <v/>
      </c>
      <c r="L20" s="62" t="str">
        <f t="shared" si="11"/>
        <v/>
      </c>
      <c r="M20" s="324" t="str">
        <f t="shared" si="12"/>
        <v/>
      </c>
      <c r="N20" s="74" t="str">
        <f t="shared" si="2"/>
        <v/>
      </c>
      <c r="O20" s="62" t="str">
        <f t="shared" si="3"/>
        <v/>
      </c>
      <c r="P20" s="324" t="str">
        <f t="shared" si="13"/>
        <v/>
      </c>
      <c r="Q20" s="69"/>
      <c r="R20" s="61"/>
      <c r="S20" s="324" t="str">
        <f t="shared" si="14"/>
        <v/>
      </c>
      <c r="T20" s="69"/>
      <c r="U20" s="61"/>
      <c r="V20" s="324" t="str">
        <f t="shared" si="15"/>
        <v/>
      </c>
      <c r="W20" s="69"/>
      <c r="X20" s="61"/>
      <c r="Y20" s="324" t="str">
        <f t="shared" si="16"/>
        <v/>
      </c>
      <c r="Z20" s="74" t="str">
        <f t="shared" si="17"/>
        <v/>
      </c>
      <c r="AA20" s="62" t="str">
        <f t="shared" si="17"/>
        <v/>
      </c>
      <c r="AB20" s="324" t="str">
        <f t="shared" si="18"/>
        <v/>
      </c>
      <c r="AC20" s="74" t="str">
        <f t="shared" si="4"/>
        <v/>
      </c>
      <c r="AD20" s="62" t="str">
        <f t="shared" si="5"/>
        <v/>
      </c>
      <c r="AE20" s="324" t="str">
        <f t="shared" si="19"/>
        <v/>
      </c>
      <c r="AF20" s="69"/>
      <c r="AG20" s="61"/>
      <c r="AH20" s="324" t="str">
        <f t="shared" si="20"/>
        <v/>
      </c>
      <c r="AI20" s="69"/>
      <c r="AJ20" s="61"/>
      <c r="AK20" s="324" t="str">
        <f t="shared" si="21"/>
        <v/>
      </c>
      <c r="AL20" s="69"/>
      <c r="AM20" s="61"/>
      <c r="AN20" s="324" t="str">
        <f t="shared" si="22"/>
        <v/>
      </c>
      <c r="AO20" s="74" t="str">
        <f t="shared" si="23"/>
        <v/>
      </c>
      <c r="AP20" s="62" t="str">
        <f t="shared" si="23"/>
        <v/>
      </c>
      <c r="AQ20" s="324" t="str">
        <f t="shared" si="24"/>
        <v/>
      </c>
      <c r="AR20" s="74" t="str">
        <f t="shared" si="6"/>
        <v/>
      </c>
      <c r="AS20" s="62" t="str">
        <f t="shared" si="7"/>
        <v/>
      </c>
      <c r="AT20" s="324" t="str">
        <f t="shared" si="25"/>
        <v/>
      </c>
    </row>
    <row r="21" spans="1:46" ht="18" customHeight="1" x14ac:dyDescent="0.2">
      <c r="A21" s="77" t="str">
        <f>IF($C$9="Data Not Entered On Set-Up Worksheet","",IF(OR(VLOOKUP($C$9,County_Lookup,6,FALSE)="",VLOOKUP($C$9,County_Lookup,6,FALSE)=0),"",VLOOKUP($C$9,County_Lookup,6,FALSE)))</f>
        <v/>
      </c>
      <c r="B21" s="69"/>
      <c r="C21" s="61"/>
      <c r="D21" s="324" t="str">
        <f t="shared" si="8"/>
        <v/>
      </c>
      <c r="E21" s="69"/>
      <c r="F21" s="61"/>
      <c r="G21" s="324" t="str">
        <f t="shared" si="9"/>
        <v/>
      </c>
      <c r="H21" s="69"/>
      <c r="I21" s="61"/>
      <c r="J21" s="324" t="str">
        <f t="shared" si="10"/>
        <v/>
      </c>
      <c r="K21" s="74" t="str">
        <f t="shared" si="11"/>
        <v/>
      </c>
      <c r="L21" s="62" t="str">
        <f t="shared" si="11"/>
        <v/>
      </c>
      <c r="M21" s="324" t="str">
        <f t="shared" si="12"/>
        <v/>
      </c>
      <c r="N21" s="74" t="str">
        <f t="shared" si="2"/>
        <v/>
      </c>
      <c r="O21" s="62" t="str">
        <f t="shared" si="3"/>
        <v/>
      </c>
      <c r="P21" s="324" t="str">
        <f t="shared" si="13"/>
        <v/>
      </c>
      <c r="Q21" s="69"/>
      <c r="R21" s="61"/>
      <c r="S21" s="324" t="str">
        <f t="shared" si="14"/>
        <v/>
      </c>
      <c r="T21" s="69"/>
      <c r="U21" s="61"/>
      <c r="V21" s="324" t="str">
        <f t="shared" si="15"/>
        <v/>
      </c>
      <c r="W21" s="69"/>
      <c r="X21" s="61"/>
      <c r="Y21" s="324" t="str">
        <f t="shared" si="16"/>
        <v/>
      </c>
      <c r="Z21" s="74" t="str">
        <f t="shared" si="17"/>
        <v/>
      </c>
      <c r="AA21" s="62" t="str">
        <f t="shared" si="17"/>
        <v/>
      </c>
      <c r="AB21" s="324" t="str">
        <f t="shared" si="18"/>
        <v/>
      </c>
      <c r="AC21" s="74" t="str">
        <f t="shared" si="4"/>
        <v/>
      </c>
      <c r="AD21" s="62" t="str">
        <f t="shared" si="5"/>
        <v/>
      </c>
      <c r="AE21" s="324" t="str">
        <f t="shared" si="19"/>
        <v/>
      </c>
      <c r="AF21" s="69"/>
      <c r="AG21" s="61"/>
      <c r="AH21" s="324" t="str">
        <f t="shared" si="20"/>
        <v/>
      </c>
      <c r="AI21" s="69"/>
      <c r="AJ21" s="61"/>
      <c r="AK21" s="324" t="str">
        <f t="shared" si="21"/>
        <v/>
      </c>
      <c r="AL21" s="69"/>
      <c r="AM21" s="61"/>
      <c r="AN21" s="324" t="str">
        <f t="shared" si="22"/>
        <v/>
      </c>
      <c r="AO21" s="74" t="str">
        <f t="shared" si="23"/>
        <v/>
      </c>
      <c r="AP21" s="62" t="str">
        <f t="shared" si="23"/>
        <v/>
      </c>
      <c r="AQ21" s="324" t="str">
        <f t="shared" si="24"/>
        <v/>
      </c>
      <c r="AR21" s="74" t="str">
        <f t="shared" si="6"/>
        <v/>
      </c>
      <c r="AS21" s="62" t="str">
        <f t="shared" si="7"/>
        <v/>
      </c>
      <c r="AT21" s="324" t="str">
        <f t="shared" si="25"/>
        <v/>
      </c>
    </row>
    <row r="22" spans="1:46" ht="18" customHeight="1" x14ac:dyDescent="0.2">
      <c r="A22" s="77" t="str">
        <f>IF($C$9="Data Not Entered On Set-Up Worksheet","",IF(OR(VLOOKUP($C$9,County_Lookup,7,FALSE)="",VLOOKUP($C$9,County_Lookup,7,FALSE)=0),"",VLOOKUP($C$9,County_Lookup,7,FALSE)))</f>
        <v/>
      </c>
      <c r="B22" s="69"/>
      <c r="C22" s="61"/>
      <c r="D22" s="324" t="str">
        <f t="shared" si="8"/>
        <v/>
      </c>
      <c r="E22" s="69"/>
      <c r="F22" s="61"/>
      <c r="G22" s="324" t="str">
        <f t="shared" si="9"/>
        <v/>
      </c>
      <c r="H22" s="69"/>
      <c r="I22" s="61"/>
      <c r="J22" s="324" t="str">
        <f t="shared" si="10"/>
        <v/>
      </c>
      <c r="K22" s="74" t="str">
        <f t="shared" si="11"/>
        <v/>
      </c>
      <c r="L22" s="62" t="str">
        <f t="shared" si="11"/>
        <v/>
      </c>
      <c r="M22" s="324" t="str">
        <f t="shared" si="12"/>
        <v/>
      </c>
      <c r="N22" s="74" t="str">
        <f t="shared" si="2"/>
        <v/>
      </c>
      <c r="O22" s="62" t="str">
        <f t="shared" si="3"/>
        <v/>
      </c>
      <c r="P22" s="324" t="str">
        <f t="shared" si="13"/>
        <v/>
      </c>
      <c r="Q22" s="69"/>
      <c r="R22" s="61"/>
      <c r="S22" s="324" t="str">
        <f t="shared" si="14"/>
        <v/>
      </c>
      <c r="T22" s="69"/>
      <c r="U22" s="61"/>
      <c r="V22" s="324" t="str">
        <f t="shared" si="15"/>
        <v/>
      </c>
      <c r="W22" s="69"/>
      <c r="X22" s="61"/>
      <c r="Y22" s="324" t="str">
        <f t="shared" si="16"/>
        <v/>
      </c>
      <c r="Z22" s="74" t="str">
        <f t="shared" si="17"/>
        <v/>
      </c>
      <c r="AA22" s="62" t="str">
        <f t="shared" si="17"/>
        <v/>
      </c>
      <c r="AB22" s="324" t="str">
        <f t="shared" si="18"/>
        <v/>
      </c>
      <c r="AC22" s="74" t="str">
        <f t="shared" si="4"/>
        <v/>
      </c>
      <c r="AD22" s="62" t="str">
        <f t="shared" si="5"/>
        <v/>
      </c>
      <c r="AE22" s="324" t="str">
        <f t="shared" si="19"/>
        <v/>
      </c>
      <c r="AF22" s="69"/>
      <c r="AG22" s="61"/>
      <c r="AH22" s="324" t="str">
        <f t="shared" si="20"/>
        <v/>
      </c>
      <c r="AI22" s="69"/>
      <c r="AJ22" s="61"/>
      <c r="AK22" s="324" t="str">
        <f t="shared" si="21"/>
        <v/>
      </c>
      <c r="AL22" s="69"/>
      <c r="AM22" s="61"/>
      <c r="AN22" s="324" t="str">
        <f t="shared" si="22"/>
        <v/>
      </c>
      <c r="AO22" s="74" t="str">
        <f t="shared" si="23"/>
        <v/>
      </c>
      <c r="AP22" s="62" t="str">
        <f t="shared" si="23"/>
        <v/>
      </c>
      <c r="AQ22" s="324" t="str">
        <f t="shared" si="24"/>
        <v/>
      </c>
      <c r="AR22" s="74" t="str">
        <f t="shared" si="6"/>
        <v/>
      </c>
      <c r="AS22" s="62" t="str">
        <f t="shared" si="7"/>
        <v/>
      </c>
      <c r="AT22" s="324" t="str">
        <f t="shared" si="25"/>
        <v/>
      </c>
    </row>
    <row r="23" spans="1:46" ht="18" customHeight="1" x14ac:dyDescent="0.2">
      <c r="A23" s="76" t="str">
        <f>IF($C$9="Data Not Entered On Set-Up Worksheet","",IF(OR(VLOOKUP($C$9,County_Lookup,8,FALSE)="",VLOOKUP($C$9,County_Lookup,8,FALSE)=0),"",VLOOKUP($C$9,County_Lookup,8,FALSE)))</f>
        <v/>
      </c>
      <c r="B23" s="69"/>
      <c r="C23" s="61"/>
      <c r="D23" s="324" t="str">
        <f t="shared" si="8"/>
        <v/>
      </c>
      <c r="E23" s="69"/>
      <c r="F23" s="61"/>
      <c r="G23" s="324" t="str">
        <f t="shared" si="9"/>
        <v/>
      </c>
      <c r="H23" s="69"/>
      <c r="I23" s="61"/>
      <c r="J23" s="324" t="str">
        <f t="shared" si="10"/>
        <v/>
      </c>
      <c r="K23" s="74" t="str">
        <f t="shared" si="11"/>
        <v/>
      </c>
      <c r="L23" s="62" t="str">
        <f t="shared" si="11"/>
        <v/>
      </c>
      <c r="M23" s="324" t="str">
        <f t="shared" si="12"/>
        <v/>
      </c>
      <c r="N23" s="74" t="str">
        <f t="shared" si="2"/>
        <v/>
      </c>
      <c r="O23" s="62" t="str">
        <f t="shared" si="3"/>
        <v/>
      </c>
      <c r="P23" s="324" t="str">
        <f t="shared" si="13"/>
        <v/>
      </c>
      <c r="Q23" s="69"/>
      <c r="R23" s="61"/>
      <c r="S23" s="324" t="str">
        <f t="shared" si="14"/>
        <v/>
      </c>
      <c r="T23" s="69"/>
      <c r="U23" s="61"/>
      <c r="V23" s="324" t="str">
        <f t="shared" si="15"/>
        <v/>
      </c>
      <c r="W23" s="69"/>
      <c r="X23" s="61"/>
      <c r="Y23" s="324" t="str">
        <f t="shared" si="16"/>
        <v/>
      </c>
      <c r="Z23" s="74" t="str">
        <f t="shared" si="17"/>
        <v/>
      </c>
      <c r="AA23" s="62" t="str">
        <f t="shared" si="17"/>
        <v/>
      </c>
      <c r="AB23" s="324" t="str">
        <f t="shared" si="18"/>
        <v/>
      </c>
      <c r="AC23" s="74" t="str">
        <f t="shared" si="4"/>
        <v/>
      </c>
      <c r="AD23" s="62" t="str">
        <f t="shared" si="5"/>
        <v/>
      </c>
      <c r="AE23" s="324" t="str">
        <f t="shared" si="19"/>
        <v/>
      </c>
      <c r="AF23" s="69"/>
      <c r="AG23" s="61"/>
      <c r="AH23" s="324" t="str">
        <f t="shared" si="20"/>
        <v/>
      </c>
      <c r="AI23" s="69"/>
      <c r="AJ23" s="61"/>
      <c r="AK23" s="324" t="str">
        <f t="shared" si="21"/>
        <v/>
      </c>
      <c r="AL23" s="69"/>
      <c r="AM23" s="61"/>
      <c r="AN23" s="324" t="str">
        <f t="shared" si="22"/>
        <v/>
      </c>
      <c r="AO23" s="74" t="str">
        <f t="shared" si="23"/>
        <v/>
      </c>
      <c r="AP23" s="62" t="str">
        <f t="shared" si="23"/>
        <v/>
      </c>
      <c r="AQ23" s="324" t="str">
        <f t="shared" si="24"/>
        <v/>
      </c>
      <c r="AR23" s="74" t="str">
        <f t="shared" si="6"/>
        <v/>
      </c>
      <c r="AS23" s="62" t="str">
        <f t="shared" si="7"/>
        <v/>
      </c>
      <c r="AT23" s="324" t="str">
        <f t="shared" si="25"/>
        <v/>
      </c>
    </row>
    <row r="24" spans="1:46" ht="18" customHeight="1" x14ac:dyDescent="0.2">
      <c r="A24" s="77" t="str">
        <f>IF($C$9="Data Not Entered On Set-Up Worksheet","",IF(OR(VLOOKUP($C$9,County_Lookup,9,FALSE)="",VLOOKUP($C$9,County_Lookup,9,FALSE)=0),"",VLOOKUP($C$9,County_Lookup,9,FALSE)))</f>
        <v/>
      </c>
      <c r="B24" s="69"/>
      <c r="C24" s="61"/>
      <c r="D24" s="324" t="str">
        <f t="shared" si="8"/>
        <v/>
      </c>
      <c r="E24" s="69"/>
      <c r="F24" s="61"/>
      <c r="G24" s="324" t="str">
        <f t="shared" si="9"/>
        <v/>
      </c>
      <c r="H24" s="69"/>
      <c r="I24" s="61"/>
      <c r="J24" s="324" t="str">
        <f t="shared" si="10"/>
        <v/>
      </c>
      <c r="K24" s="74" t="str">
        <f t="shared" si="11"/>
        <v/>
      </c>
      <c r="L24" s="62" t="str">
        <f t="shared" si="11"/>
        <v/>
      </c>
      <c r="M24" s="324" t="str">
        <f t="shared" si="12"/>
        <v/>
      </c>
      <c r="N24" s="74" t="str">
        <f t="shared" si="2"/>
        <v/>
      </c>
      <c r="O24" s="62" t="str">
        <f t="shared" si="3"/>
        <v/>
      </c>
      <c r="P24" s="324" t="str">
        <f t="shared" si="13"/>
        <v/>
      </c>
      <c r="Q24" s="69"/>
      <c r="R24" s="61"/>
      <c r="S24" s="324" t="str">
        <f t="shared" si="14"/>
        <v/>
      </c>
      <c r="T24" s="69"/>
      <c r="U24" s="61"/>
      <c r="V24" s="324" t="str">
        <f t="shared" si="15"/>
        <v/>
      </c>
      <c r="W24" s="69"/>
      <c r="X24" s="61"/>
      <c r="Y24" s="324" t="str">
        <f t="shared" si="16"/>
        <v/>
      </c>
      <c r="Z24" s="74" t="str">
        <f t="shared" si="17"/>
        <v/>
      </c>
      <c r="AA24" s="62" t="str">
        <f t="shared" si="17"/>
        <v/>
      </c>
      <c r="AB24" s="324" t="str">
        <f t="shared" si="18"/>
        <v/>
      </c>
      <c r="AC24" s="74" t="str">
        <f t="shared" si="4"/>
        <v/>
      </c>
      <c r="AD24" s="62" t="str">
        <f t="shared" si="5"/>
        <v/>
      </c>
      <c r="AE24" s="324" t="str">
        <f t="shared" si="19"/>
        <v/>
      </c>
      <c r="AF24" s="69"/>
      <c r="AG24" s="61"/>
      <c r="AH24" s="324" t="str">
        <f t="shared" si="20"/>
        <v/>
      </c>
      <c r="AI24" s="69"/>
      <c r="AJ24" s="61"/>
      <c r="AK24" s="324" t="str">
        <f t="shared" si="21"/>
        <v/>
      </c>
      <c r="AL24" s="69"/>
      <c r="AM24" s="61"/>
      <c r="AN24" s="324" t="str">
        <f t="shared" si="22"/>
        <v/>
      </c>
      <c r="AO24" s="74" t="str">
        <f t="shared" si="23"/>
        <v/>
      </c>
      <c r="AP24" s="62" t="str">
        <f t="shared" si="23"/>
        <v/>
      </c>
      <c r="AQ24" s="324" t="str">
        <f t="shared" si="24"/>
        <v/>
      </c>
      <c r="AR24" s="74" t="str">
        <f t="shared" si="6"/>
        <v/>
      </c>
      <c r="AS24" s="62" t="str">
        <f t="shared" si="7"/>
        <v/>
      </c>
      <c r="AT24" s="324" t="str">
        <f t="shared" si="25"/>
        <v/>
      </c>
    </row>
    <row r="25" spans="1:46" ht="18" customHeight="1" x14ac:dyDescent="0.2">
      <c r="A25" s="77" t="str">
        <f>IF($C$9="Data Not Entered On Set-Up Worksheet","",IF(OR(VLOOKUP($C$9,County_Lookup,10,FALSE)="",VLOOKUP($C$9,County_Lookup,10,FALSE)=0),"",VLOOKUP($C$9,County_Lookup,10,FALSE)))</f>
        <v/>
      </c>
      <c r="B25" s="69"/>
      <c r="C25" s="61"/>
      <c r="D25" s="324" t="str">
        <f t="shared" si="8"/>
        <v/>
      </c>
      <c r="E25" s="69"/>
      <c r="F25" s="61"/>
      <c r="G25" s="324" t="str">
        <f t="shared" si="9"/>
        <v/>
      </c>
      <c r="H25" s="69"/>
      <c r="I25" s="61"/>
      <c r="J25" s="324" t="str">
        <f t="shared" si="10"/>
        <v/>
      </c>
      <c r="K25" s="74" t="str">
        <f t="shared" si="11"/>
        <v/>
      </c>
      <c r="L25" s="62" t="str">
        <f t="shared" si="11"/>
        <v/>
      </c>
      <c r="M25" s="324" t="str">
        <f t="shared" si="12"/>
        <v/>
      </c>
      <c r="N25" s="74" t="str">
        <f t="shared" si="2"/>
        <v/>
      </c>
      <c r="O25" s="62" t="str">
        <f t="shared" si="3"/>
        <v/>
      </c>
      <c r="P25" s="324" t="str">
        <f t="shared" si="13"/>
        <v/>
      </c>
      <c r="Q25" s="69"/>
      <c r="R25" s="61"/>
      <c r="S25" s="324" t="str">
        <f t="shared" si="14"/>
        <v/>
      </c>
      <c r="T25" s="69"/>
      <c r="U25" s="61"/>
      <c r="V25" s="324" t="str">
        <f t="shared" si="15"/>
        <v/>
      </c>
      <c r="W25" s="69"/>
      <c r="X25" s="61"/>
      <c r="Y25" s="324" t="str">
        <f t="shared" si="16"/>
        <v/>
      </c>
      <c r="Z25" s="74" t="str">
        <f t="shared" si="17"/>
        <v/>
      </c>
      <c r="AA25" s="62" t="str">
        <f t="shared" si="17"/>
        <v/>
      </c>
      <c r="AB25" s="324" t="str">
        <f t="shared" si="18"/>
        <v/>
      </c>
      <c r="AC25" s="74" t="str">
        <f t="shared" si="4"/>
        <v/>
      </c>
      <c r="AD25" s="62" t="str">
        <f t="shared" si="5"/>
        <v/>
      </c>
      <c r="AE25" s="324" t="str">
        <f t="shared" si="19"/>
        <v/>
      </c>
      <c r="AF25" s="69"/>
      <c r="AG25" s="61"/>
      <c r="AH25" s="324" t="str">
        <f t="shared" si="20"/>
        <v/>
      </c>
      <c r="AI25" s="69"/>
      <c r="AJ25" s="61"/>
      <c r="AK25" s="324" t="str">
        <f t="shared" si="21"/>
        <v/>
      </c>
      <c r="AL25" s="69"/>
      <c r="AM25" s="61"/>
      <c r="AN25" s="324" t="str">
        <f t="shared" si="22"/>
        <v/>
      </c>
      <c r="AO25" s="74" t="str">
        <f t="shared" si="23"/>
        <v/>
      </c>
      <c r="AP25" s="62" t="str">
        <f t="shared" si="23"/>
        <v/>
      </c>
      <c r="AQ25" s="324" t="str">
        <f t="shared" si="24"/>
        <v/>
      </c>
      <c r="AR25" s="74" t="str">
        <f t="shared" si="6"/>
        <v/>
      </c>
      <c r="AS25" s="62" t="str">
        <f t="shared" si="7"/>
        <v/>
      </c>
      <c r="AT25" s="324" t="str">
        <f t="shared" si="25"/>
        <v/>
      </c>
    </row>
    <row r="26" spans="1:46" ht="18" customHeight="1" x14ac:dyDescent="0.2">
      <c r="A26" s="77" t="str">
        <f>IF($C$9="Data Not Entered On Set-Up Worksheet","",IF(OR(VLOOKUP($C$9,County_Lookup,11,FALSE)="",VLOOKUP($C$9,County_Lookup,11,FALSE)=0),"",VLOOKUP($C$9,County_Lookup,11,FALSE)))</f>
        <v/>
      </c>
      <c r="B26" s="69"/>
      <c r="C26" s="61"/>
      <c r="D26" s="324" t="str">
        <f t="shared" si="8"/>
        <v/>
      </c>
      <c r="E26" s="69"/>
      <c r="F26" s="61"/>
      <c r="G26" s="324" t="str">
        <f t="shared" si="9"/>
        <v/>
      </c>
      <c r="H26" s="69"/>
      <c r="I26" s="61"/>
      <c r="J26" s="324" t="str">
        <f t="shared" si="10"/>
        <v/>
      </c>
      <c r="K26" s="74" t="str">
        <f t="shared" si="11"/>
        <v/>
      </c>
      <c r="L26" s="62" t="str">
        <f t="shared" si="11"/>
        <v/>
      </c>
      <c r="M26" s="324" t="str">
        <f t="shared" si="12"/>
        <v/>
      </c>
      <c r="N26" s="74" t="str">
        <f t="shared" si="2"/>
        <v/>
      </c>
      <c r="O26" s="62" t="str">
        <f t="shared" si="3"/>
        <v/>
      </c>
      <c r="P26" s="324" t="str">
        <f t="shared" si="13"/>
        <v/>
      </c>
      <c r="Q26" s="69"/>
      <c r="R26" s="61"/>
      <c r="S26" s="324" t="str">
        <f t="shared" si="14"/>
        <v/>
      </c>
      <c r="T26" s="69"/>
      <c r="U26" s="61"/>
      <c r="V26" s="324" t="str">
        <f t="shared" si="15"/>
        <v/>
      </c>
      <c r="W26" s="69"/>
      <c r="X26" s="61"/>
      <c r="Y26" s="324" t="str">
        <f t="shared" si="16"/>
        <v/>
      </c>
      <c r="Z26" s="74" t="str">
        <f t="shared" si="17"/>
        <v/>
      </c>
      <c r="AA26" s="62" t="str">
        <f t="shared" si="17"/>
        <v/>
      </c>
      <c r="AB26" s="324" t="str">
        <f t="shared" si="18"/>
        <v/>
      </c>
      <c r="AC26" s="74" t="str">
        <f t="shared" si="4"/>
        <v/>
      </c>
      <c r="AD26" s="62" t="str">
        <f t="shared" si="5"/>
        <v/>
      </c>
      <c r="AE26" s="324" t="str">
        <f t="shared" si="19"/>
        <v/>
      </c>
      <c r="AF26" s="69"/>
      <c r="AG26" s="61"/>
      <c r="AH26" s="324" t="str">
        <f t="shared" si="20"/>
        <v/>
      </c>
      <c r="AI26" s="69"/>
      <c r="AJ26" s="61"/>
      <c r="AK26" s="324" t="str">
        <f t="shared" si="21"/>
        <v/>
      </c>
      <c r="AL26" s="69"/>
      <c r="AM26" s="61"/>
      <c r="AN26" s="324" t="str">
        <f t="shared" si="22"/>
        <v/>
      </c>
      <c r="AO26" s="74" t="str">
        <f t="shared" si="23"/>
        <v/>
      </c>
      <c r="AP26" s="62" t="str">
        <f t="shared" si="23"/>
        <v/>
      </c>
      <c r="AQ26" s="324" t="str">
        <f t="shared" si="24"/>
        <v/>
      </c>
      <c r="AR26" s="74" t="str">
        <f t="shared" si="6"/>
        <v/>
      </c>
      <c r="AS26" s="62" t="str">
        <f t="shared" si="7"/>
        <v/>
      </c>
      <c r="AT26" s="324" t="str">
        <f t="shared" si="25"/>
        <v/>
      </c>
    </row>
    <row r="27" spans="1:46" ht="18" customHeight="1" x14ac:dyDescent="0.2">
      <c r="A27" s="77" t="str">
        <f>IF($C$9="Data Not Entered On Set-Up Worksheet","",IF(OR(VLOOKUP($C$9,County_Lookup,12,FALSE)="",VLOOKUP($C$9,County_Lookup,12,FALSE)=0),"",VLOOKUP($C$9,County_Lookup,12,FALSE)))</f>
        <v/>
      </c>
      <c r="B27" s="69"/>
      <c r="C27" s="61"/>
      <c r="D27" s="324" t="str">
        <f t="shared" si="8"/>
        <v/>
      </c>
      <c r="E27" s="69"/>
      <c r="F27" s="61"/>
      <c r="G27" s="324" t="str">
        <f t="shared" si="9"/>
        <v/>
      </c>
      <c r="H27" s="69"/>
      <c r="I27" s="61"/>
      <c r="J27" s="324" t="str">
        <f t="shared" si="10"/>
        <v/>
      </c>
      <c r="K27" s="74" t="str">
        <f t="shared" si="11"/>
        <v/>
      </c>
      <c r="L27" s="62" t="str">
        <f t="shared" si="11"/>
        <v/>
      </c>
      <c r="M27" s="324" t="str">
        <f t="shared" si="12"/>
        <v/>
      </c>
      <c r="N27" s="74" t="str">
        <f t="shared" si="2"/>
        <v/>
      </c>
      <c r="O27" s="62" t="str">
        <f t="shared" si="3"/>
        <v/>
      </c>
      <c r="P27" s="324" t="str">
        <f t="shared" si="13"/>
        <v/>
      </c>
      <c r="Q27" s="69"/>
      <c r="R27" s="61"/>
      <c r="S27" s="324" t="str">
        <f t="shared" si="14"/>
        <v/>
      </c>
      <c r="T27" s="69"/>
      <c r="U27" s="61"/>
      <c r="V27" s="324" t="str">
        <f t="shared" si="15"/>
        <v/>
      </c>
      <c r="W27" s="69"/>
      <c r="X27" s="61"/>
      <c r="Y27" s="324" t="str">
        <f t="shared" si="16"/>
        <v/>
      </c>
      <c r="Z27" s="74" t="str">
        <f t="shared" si="17"/>
        <v/>
      </c>
      <c r="AA27" s="62" t="str">
        <f t="shared" si="17"/>
        <v/>
      </c>
      <c r="AB27" s="324" t="str">
        <f t="shared" si="18"/>
        <v/>
      </c>
      <c r="AC27" s="74" t="str">
        <f t="shared" si="4"/>
        <v/>
      </c>
      <c r="AD27" s="62" t="str">
        <f t="shared" si="5"/>
        <v/>
      </c>
      <c r="AE27" s="324" t="str">
        <f t="shared" si="19"/>
        <v/>
      </c>
      <c r="AF27" s="69"/>
      <c r="AG27" s="61"/>
      <c r="AH27" s="324" t="str">
        <f t="shared" si="20"/>
        <v/>
      </c>
      <c r="AI27" s="69"/>
      <c r="AJ27" s="61"/>
      <c r="AK27" s="324" t="str">
        <f t="shared" si="21"/>
        <v/>
      </c>
      <c r="AL27" s="69"/>
      <c r="AM27" s="61"/>
      <c r="AN27" s="324" t="str">
        <f t="shared" si="22"/>
        <v/>
      </c>
      <c r="AO27" s="74" t="str">
        <f t="shared" si="23"/>
        <v/>
      </c>
      <c r="AP27" s="62" t="str">
        <f t="shared" si="23"/>
        <v/>
      </c>
      <c r="AQ27" s="324" t="str">
        <f t="shared" si="24"/>
        <v/>
      </c>
      <c r="AR27" s="74" t="str">
        <f t="shared" si="6"/>
        <v/>
      </c>
      <c r="AS27" s="62" t="str">
        <f t="shared" si="7"/>
        <v/>
      </c>
      <c r="AT27" s="324" t="str">
        <f t="shared" si="25"/>
        <v/>
      </c>
    </row>
    <row r="28" spans="1:46" ht="18" customHeight="1" x14ac:dyDescent="0.2">
      <c r="A28" s="77" t="str">
        <f>IF($C$9="Data Not Entered On Set-Up Worksheet","",IF(OR(VLOOKUP($C$9,County_Lookup,13,FALSE)="",VLOOKUP($C$9,County_Lookup,13,FALSE)=0),"",VLOOKUP($C$9,County_Lookup,13,FALSE)))</f>
        <v/>
      </c>
      <c r="B28" s="69"/>
      <c r="C28" s="61"/>
      <c r="D28" s="324" t="str">
        <f t="shared" si="8"/>
        <v/>
      </c>
      <c r="E28" s="69"/>
      <c r="F28" s="61"/>
      <c r="G28" s="324" t="str">
        <f t="shared" si="9"/>
        <v/>
      </c>
      <c r="H28" s="69"/>
      <c r="I28" s="61"/>
      <c r="J28" s="324" t="str">
        <f t="shared" si="10"/>
        <v/>
      </c>
      <c r="K28" s="74" t="str">
        <f t="shared" si="11"/>
        <v/>
      </c>
      <c r="L28" s="62" t="str">
        <f t="shared" si="11"/>
        <v/>
      </c>
      <c r="M28" s="324" t="str">
        <f t="shared" si="12"/>
        <v/>
      </c>
      <c r="N28" s="74" t="str">
        <f t="shared" si="2"/>
        <v/>
      </c>
      <c r="O28" s="62" t="str">
        <f t="shared" si="3"/>
        <v/>
      </c>
      <c r="P28" s="324" t="str">
        <f t="shared" si="13"/>
        <v/>
      </c>
      <c r="Q28" s="69"/>
      <c r="R28" s="61"/>
      <c r="S28" s="324" t="str">
        <f t="shared" si="14"/>
        <v/>
      </c>
      <c r="T28" s="69"/>
      <c r="U28" s="61"/>
      <c r="V28" s="324" t="str">
        <f t="shared" si="15"/>
        <v/>
      </c>
      <c r="W28" s="69"/>
      <c r="X28" s="61"/>
      <c r="Y28" s="324" t="str">
        <f t="shared" si="16"/>
        <v/>
      </c>
      <c r="Z28" s="74" t="str">
        <f t="shared" si="17"/>
        <v/>
      </c>
      <c r="AA28" s="62" t="str">
        <f t="shared" si="17"/>
        <v/>
      </c>
      <c r="AB28" s="324" t="str">
        <f t="shared" si="18"/>
        <v/>
      </c>
      <c r="AC28" s="74" t="str">
        <f t="shared" si="4"/>
        <v/>
      </c>
      <c r="AD28" s="62" t="str">
        <f t="shared" si="5"/>
        <v/>
      </c>
      <c r="AE28" s="324" t="str">
        <f t="shared" si="19"/>
        <v/>
      </c>
      <c r="AF28" s="69"/>
      <c r="AG28" s="61"/>
      <c r="AH28" s="324" t="str">
        <f t="shared" si="20"/>
        <v/>
      </c>
      <c r="AI28" s="69"/>
      <c r="AJ28" s="61"/>
      <c r="AK28" s="324" t="str">
        <f t="shared" si="21"/>
        <v/>
      </c>
      <c r="AL28" s="69"/>
      <c r="AM28" s="61"/>
      <c r="AN28" s="324" t="str">
        <f t="shared" si="22"/>
        <v/>
      </c>
      <c r="AO28" s="74" t="str">
        <f t="shared" si="23"/>
        <v/>
      </c>
      <c r="AP28" s="62" t="str">
        <f t="shared" si="23"/>
        <v/>
      </c>
      <c r="AQ28" s="324" t="str">
        <f t="shared" si="24"/>
        <v/>
      </c>
      <c r="AR28" s="74" t="str">
        <f t="shared" si="6"/>
        <v/>
      </c>
      <c r="AS28" s="62" t="str">
        <f t="shared" si="7"/>
        <v/>
      </c>
      <c r="AT28" s="324" t="str">
        <f t="shared" si="25"/>
        <v/>
      </c>
    </row>
    <row r="29" spans="1:46" ht="18" customHeight="1" x14ac:dyDescent="0.2">
      <c r="A29" s="77" t="str">
        <f>IF($C$9="Data Not Entered On Set-Up Worksheet","",IF(OR(VLOOKUP($C$9,County_Lookup,14,FALSE)="",VLOOKUP($C$9,County_Lookup,14,FALSE)=0),"",VLOOKUP($C$9,County_Lookup,14,FALSE)))</f>
        <v/>
      </c>
      <c r="B29" s="69"/>
      <c r="C29" s="61"/>
      <c r="D29" s="324" t="str">
        <f t="shared" si="8"/>
        <v/>
      </c>
      <c r="E29" s="69"/>
      <c r="F29" s="61"/>
      <c r="G29" s="324" t="str">
        <f t="shared" si="9"/>
        <v/>
      </c>
      <c r="H29" s="69"/>
      <c r="I29" s="61"/>
      <c r="J29" s="324" t="str">
        <f t="shared" si="10"/>
        <v/>
      </c>
      <c r="K29" s="74" t="str">
        <f t="shared" si="11"/>
        <v/>
      </c>
      <c r="L29" s="62" t="str">
        <f t="shared" si="11"/>
        <v/>
      </c>
      <c r="M29" s="324" t="str">
        <f t="shared" si="12"/>
        <v/>
      </c>
      <c r="N29" s="74" t="str">
        <f t="shared" si="2"/>
        <v/>
      </c>
      <c r="O29" s="62" t="str">
        <f t="shared" si="3"/>
        <v/>
      </c>
      <c r="P29" s="324" t="str">
        <f t="shared" si="13"/>
        <v/>
      </c>
      <c r="Q29" s="69"/>
      <c r="R29" s="61"/>
      <c r="S29" s="324" t="str">
        <f t="shared" si="14"/>
        <v/>
      </c>
      <c r="T29" s="69"/>
      <c r="U29" s="61"/>
      <c r="V29" s="324" t="str">
        <f t="shared" si="15"/>
        <v/>
      </c>
      <c r="W29" s="69"/>
      <c r="X29" s="61"/>
      <c r="Y29" s="324" t="str">
        <f t="shared" si="16"/>
        <v/>
      </c>
      <c r="Z29" s="74" t="str">
        <f t="shared" si="17"/>
        <v/>
      </c>
      <c r="AA29" s="62" t="str">
        <f t="shared" si="17"/>
        <v/>
      </c>
      <c r="AB29" s="324" t="str">
        <f t="shared" si="18"/>
        <v/>
      </c>
      <c r="AC29" s="74" t="str">
        <f t="shared" si="4"/>
        <v/>
      </c>
      <c r="AD29" s="62" t="str">
        <f t="shared" si="5"/>
        <v/>
      </c>
      <c r="AE29" s="324" t="str">
        <f t="shared" si="19"/>
        <v/>
      </c>
      <c r="AF29" s="69"/>
      <c r="AG29" s="61"/>
      <c r="AH29" s="324" t="str">
        <f t="shared" si="20"/>
        <v/>
      </c>
      <c r="AI29" s="69"/>
      <c r="AJ29" s="61"/>
      <c r="AK29" s="324" t="str">
        <f t="shared" si="21"/>
        <v/>
      </c>
      <c r="AL29" s="69"/>
      <c r="AM29" s="61"/>
      <c r="AN29" s="324" t="str">
        <f t="shared" si="22"/>
        <v/>
      </c>
      <c r="AO29" s="74" t="str">
        <f t="shared" si="23"/>
        <v/>
      </c>
      <c r="AP29" s="62" t="str">
        <f t="shared" si="23"/>
        <v/>
      </c>
      <c r="AQ29" s="324" t="str">
        <f t="shared" si="24"/>
        <v/>
      </c>
      <c r="AR29" s="74" t="str">
        <f t="shared" si="6"/>
        <v/>
      </c>
      <c r="AS29" s="62" t="str">
        <f t="shared" si="7"/>
        <v/>
      </c>
      <c r="AT29" s="324" t="str">
        <f t="shared" si="25"/>
        <v/>
      </c>
    </row>
    <row r="30" spans="1:46" ht="18" customHeight="1" x14ac:dyDescent="0.2">
      <c r="A30" s="76" t="str">
        <f>IF($C$9="Data Not Entered On Set-Up Worksheet","",IF(OR(VLOOKUP($C$9,County_Lookup,15,FALSE)="",VLOOKUP($C$9,County_Lookup,15,FALSE)=0),"",VLOOKUP($C$9,County_Lookup,15,FALSE)))</f>
        <v/>
      </c>
      <c r="B30" s="69"/>
      <c r="C30" s="61"/>
      <c r="D30" s="324" t="str">
        <f t="shared" si="8"/>
        <v/>
      </c>
      <c r="E30" s="69"/>
      <c r="F30" s="61"/>
      <c r="G30" s="324" t="str">
        <f t="shared" si="9"/>
        <v/>
      </c>
      <c r="H30" s="69"/>
      <c r="I30" s="61"/>
      <c r="J30" s="324" t="str">
        <f t="shared" si="10"/>
        <v/>
      </c>
      <c r="K30" s="74" t="str">
        <f t="shared" si="11"/>
        <v/>
      </c>
      <c r="L30" s="62" t="str">
        <f t="shared" si="11"/>
        <v/>
      </c>
      <c r="M30" s="324" t="str">
        <f t="shared" si="12"/>
        <v/>
      </c>
      <c r="N30" s="74" t="str">
        <f t="shared" si="2"/>
        <v/>
      </c>
      <c r="O30" s="62" t="str">
        <f t="shared" si="3"/>
        <v/>
      </c>
      <c r="P30" s="324" t="str">
        <f t="shared" si="13"/>
        <v/>
      </c>
      <c r="Q30" s="69"/>
      <c r="R30" s="61"/>
      <c r="S30" s="324" t="str">
        <f t="shared" si="14"/>
        <v/>
      </c>
      <c r="T30" s="69"/>
      <c r="U30" s="61"/>
      <c r="V30" s="324" t="str">
        <f t="shared" si="15"/>
        <v/>
      </c>
      <c r="W30" s="69"/>
      <c r="X30" s="61"/>
      <c r="Y30" s="324" t="str">
        <f t="shared" si="16"/>
        <v/>
      </c>
      <c r="Z30" s="74" t="str">
        <f t="shared" si="17"/>
        <v/>
      </c>
      <c r="AA30" s="62" t="str">
        <f t="shared" si="17"/>
        <v/>
      </c>
      <c r="AB30" s="324" t="str">
        <f t="shared" si="18"/>
        <v/>
      </c>
      <c r="AC30" s="74" t="str">
        <f t="shared" si="4"/>
        <v/>
      </c>
      <c r="AD30" s="62" t="str">
        <f t="shared" si="5"/>
        <v/>
      </c>
      <c r="AE30" s="324" t="str">
        <f t="shared" si="19"/>
        <v/>
      </c>
      <c r="AF30" s="69"/>
      <c r="AG30" s="61"/>
      <c r="AH30" s="324" t="str">
        <f t="shared" si="20"/>
        <v/>
      </c>
      <c r="AI30" s="69"/>
      <c r="AJ30" s="61"/>
      <c r="AK30" s="324" t="str">
        <f t="shared" si="21"/>
        <v/>
      </c>
      <c r="AL30" s="69"/>
      <c r="AM30" s="61"/>
      <c r="AN30" s="324" t="str">
        <f t="shared" si="22"/>
        <v/>
      </c>
      <c r="AO30" s="74" t="str">
        <f t="shared" si="23"/>
        <v/>
      </c>
      <c r="AP30" s="62" t="str">
        <f t="shared" si="23"/>
        <v/>
      </c>
      <c r="AQ30" s="324" t="str">
        <f t="shared" si="24"/>
        <v/>
      </c>
      <c r="AR30" s="74" t="str">
        <f t="shared" si="6"/>
        <v/>
      </c>
      <c r="AS30" s="62" t="str">
        <f t="shared" si="7"/>
        <v/>
      </c>
      <c r="AT30" s="324" t="str">
        <f t="shared" si="25"/>
        <v/>
      </c>
    </row>
    <row r="31" spans="1:46" ht="18" customHeight="1" x14ac:dyDescent="0.2">
      <c r="A31" s="77" t="str">
        <f>IF($C$9="Data Not Entered On Set-Up Worksheet","",IF(OR(VLOOKUP($C$9,County_Lookup,16,FALSE)="",VLOOKUP($C$9,County_Lookup,16,FALSE)=0),"",VLOOKUP($C$9,County_Lookup,16,FALSE)))</f>
        <v/>
      </c>
      <c r="B31" s="69"/>
      <c r="C31" s="61"/>
      <c r="D31" s="324" t="str">
        <f t="shared" si="8"/>
        <v/>
      </c>
      <c r="E31" s="69"/>
      <c r="F31" s="61"/>
      <c r="G31" s="324" t="str">
        <f t="shared" si="9"/>
        <v/>
      </c>
      <c r="H31" s="69"/>
      <c r="I31" s="61"/>
      <c r="J31" s="324" t="str">
        <f t="shared" si="10"/>
        <v/>
      </c>
      <c r="K31" s="74" t="str">
        <f t="shared" si="11"/>
        <v/>
      </c>
      <c r="L31" s="62" t="str">
        <f t="shared" si="11"/>
        <v/>
      </c>
      <c r="M31" s="324" t="str">
        <f t="shared" si="12"/>
        <v/>
      </c>
      <c r="N31" s="74" t="str">
        <f t="shared" si="2"/>
        <v/>
      </c>
      <c r="O31" s="62" t="str">
        <f t="shared" si="3"/>
        <v/>
      </c>
      <c r="P31" s="324" t="str">
        <f t="shared" si="13"/>
        <v/>
      </c>
      <c r="Q31" s="69"/>
      <c r="R31" s="61"/>
      <c r="S31" s="324" t="str">
        <f t="shared" si="14"/>
        <v/>
      </c>
      <c r="T31" s="69"/>
      <c r="U31" s="61"/>
      <c r="V31" s="324" t="str">
        <f t="shared" si="15"/>
        <v/>
      </c>
      <c r="W31" s="69"/>
      <c r="X31" s="61"/>
      <c r="Y31" s="324" t="str">
        <f t="shared" si="16"/>
        <v/>
      </c>
      <c r="Z31" s="74" t="str">
        <f t="shared" si="17"/>
        <v/>
      </c>
      <c r="AA31" s="62" t="str">
        <f t="shared" si="17"/>
        <v/>
      </c>
      <c r="AB31" s="324" t="str">
        <f t="shared" si="18"/>
        <v/>
      </c>
      <c r="AC31" s="74" t="str">
        <f t="shared" si="4"/>
        <v/>
      </c>
      <c r="AD31" s="62" t="str">
        <f t="shared" si="5"/>
        <v/>
      </c>
      <c r="AE31" s="324" t="str">
        <f t="shared" si="19"/>
        <v/>
      </c>
      <c r="AF31" s="69"/>
      <c r="AG31" s="61"/>
      <c r="AH31" s="324" t="str">
        <f t="shared" si="20"/>
        <v/>
      </c>
      <c r="AI31" s="69"/>
      <c r="AJ31" s="61"/>
      <c r="AK31" s="324" t="str">
        <f t="shared" si="21"/>
        <v/>
      </c>
      <c r="AL31" s="69"/>
      <c r="AM31" s="61"/>
      <c r="AN31" s="324" t="str">
        <f t="shared" si="22"/>
        <v/>
      </c>
      <c r="AO31" s="74" t="str">
        <f t="shared" si="23"/>
        <v/>
      </c>
      <c r="AP31" s="62" t="str">
        <f t="shared" si="23"/>
        <v/>
      </c>
      <c r="AQ31" s="324" t="str">
        <f t="shared" si="24"/>
        <v/>
      </c>
      <c r="AR31" s="74" t="str">
        <f t="shared" si="6"/>
        <v/>
      </c>
      <c r="AS31" s="62" t="str">
        <f t="shared" si="7"/>
        <v/>
      </c>
      <c r="AT31" s="324" t="str">
        <f t="shared" si="25"/>
        <v/>
      </c>
    </row>
    <row r="32" spans="1:46" ht="18" customHeight="1" x14ac:dyDescent="0.2">
      <c r="A32" s="77" t="str">
        <f>IF($C$9="Data Not Entered On Set-Up Worksheet","",IF(OR(VLOOKUP($C$9,County_Lookup,17,FALSE)="",VLOOKUP($C$9,County_Lookup,17,FALSE)=0),"",VLOOKUP($C$9,County_Lookup,17,FALSE)))</f>
        <v/>
      </c>
      <c r="B32" s="69"/>
      <c r="C32" s="61"/>
      <c r="D32" s="324" t="str">
        <f t="shared" si="8"/>
        <v/>
      </c>
      <c r="E32" s="69"/>
      <c r="F32" s="61"/>
      <c r="G32" s="324" t="str">
        <f t="shared" si="9"/>
        <v/>
      </c>
      <c r="H32" s="69"/>
      <c r="I32" s="61"/>
      <c r="J32" s="324" t="str">
        <f t="shared" si="10"/>
        <v/>
      </c>
      <c r="K32" s="74" t="str">
        <f t="shared" si="11"/>
        <v/>
      </c>
      <c r="L32" s="62" t="str">
        <f t="shared" si="11"/>
        <v/>
      </c>
      <c r="M32" s="324" t="str">
        <f t="shared" si="12"/>
        <v/>
      </c>
      <c r="N32" s="74" t="str">
        <f t="shared" si="2"/>
        <v/>
      </c>
      <c r="O32" s="62" t="str">
        <f t="shared" si="3"/>
        <v/>
      </c>
      <c r="P32" s="324" t="str">
        <f t="shared" si="13"/>
        <v/>
      </c>
      <c r="Q32" s="69"/>
      <c r="R32" s="61"/>
      <c r="S32" s="324" t="str">
        <f t="shared" si="14"/>
        <v/>
      </c>
      <c r="T32" s="69"/>
      <c r="U32" s="61"/>
      <c r="V32" s="324" t="str">
        <f t="shared" si="15"/>
        <v/>
      </c>
      <c r="W32" s="69"/>
      <c r="X32" s="61"/>
      <c r="Y32" s="324" t="str">
        <f t="shared" si="16"/>
        <v/>
      </c>
      <c r="Z32" s="74" t="str">
        <f t="shared" si="17"/>
        <v/>
      </c>
      <c r="AA32" s="62" t="str">
        <f t="shared" si="17"/>
        <v/>
      </c>
      <c r="AB32" s="324" t="str">
        <f t="shared" si="18"/>
        <v/>
      </c>
      <c r="AC32" s="74" t="str">
        <f t="shared" si="4"/>
        <v/>
      </c>
      <c r="AD32" s="62" t="str">
        <f t="shared" si="5"/>
        <v/>
      </c>
      <c r="AE32" s="324" t="str">
        <f t="shared" si="19"/>
        <v/>
      </c>
      <c r="AF32" s="69"/>
      <c r="AG32" s="61"/>
      <c r="AH32" s="324" t="str">
        <f t="shared" si="20"/>
        <v/>
      </c>
      <c r="AI32" s="69"/>
      <c r="AJ32" s="61"/>
      <c r="AK32" s="324" t="str">
        <f t="shared" si="21"/>
        <v/>
      </c>
      <c r="AL32" s="69"/>
      <c r="AM32" s="61"/>
      <c r="AN32" s="324" t="str">
        <f t="shared" si="22"/>
        <v/>
      </c>
      <c r="AO32" s="74" t="str">
        <f t="shared" si="23"/>
        <v/>
      </c>
      <c r="AP32" s="62" t="str">
        <f t="shared" si="23"/>
        <v/>
      </c>
      <c r="AQ32" s="324" t="str">
        <f t="shared" si="24"/>
        <v/>
      </c>
      <c r="AR32" s="74" t="str">
        <f t="shared" si="6"/>
        <v/>
      </c>
      <c r="AS32" s="62" t="str">
        <f t="shared" si="7"/>
        <v/>
      </c>
      <c r="AT32" s="324" t="str">
        <f t="shared" si="25"/>
        <v/>
      </c>
    </row>
    <row r="33" spans="1:46" ht="18" customHeight="1" x14ac:dyDescent="0.2">
      <c r="A33" s="77" t="str">
        <f>IF($C$9="Data Not Entered On Set-Up Worksheet","",IF(OR(VLOOKUP($C$9,County_Lookup,18,FALSE)="",VLOOKUP($C$9,County_Lookup,18,FALSE)=0),"",VLOOKUP($C$9,County_Lookup,18,FALSE)))</f>
        <v/>
      </c>
      <c r="B33" s="69"/>
      <c r="C33" s="61"/>
      <c r="D33" s="324" t="str">
        <f t="shared" si="8"/>
        <v/>
      </c>
      <c r="E33" s="69"/>
      <c r="F33" s="61"/>
      <c r="G33" s="324" t="str">
        <f t="shared" si="9"/>
        <v/>
      </c>
      <c r="H33" s="69"/>
      <c r="I33" s="61"/>
      <c r="J33" s="324" t="str">
        <f t="shared" si="10"/>
        <v/>
      </c>
      <c r="K33" s="74" t="str">
        <f t="shared" si="11"/>
        <v/>
      </c>
      <c r="L33" s="62" t="str">
        <f t="shared" si="11"/>
        <v/>
      </c>
      <c r="M33" s="324" t="str">
        <f t="shared" si="12"/>
        <v/>
      </c>
      <c r="N33" s="74" t="str">
        <f t="shared" si="2"/>
        <v/>
      </c>
      <c r="O33" s="62" t="str">
        <f t="shared" si="3"/>
        <v/>
      </c>
      <c r="P33" s="324" t="str">
        <f t="shared" si="13"/>
        <v/>
      </c>
      <c r="Q33" s="69"/>
      <c r="R33" s="61"/>
      <c r="S33" s="324" t="str">
        <f t="shared" si="14"/>
        <v/>
      </c>
      <c r="T33" s="69"/>
      <c r="U33" s="61"/>
      <c r="V33" s="324" t="str">
        <f t="shared" si="15"/>
        <v/>
      </c>
      <c r="W33" s="69"/>
      <c r="X33" s="61"/>
      <c r="Y33" s="324" t="str">
        <f t="shared" si="16"/>
        <v/>
      </c>
      <c r="Z33" s="74" t="str">
        <f t="shared" si="17"/>
        <v/>
      </c>
      <c r="AA33" s="62" t="str">
        <f t="shared" si="17"/>
        <v/>
      </c>
      <c r="AB33" s="324" t="str">
        <f t="shared" si="18"/>
        <v/>
      </c>
      <c r="AC33" s="74" t="str">
        <f t="shared" si="4"/>
        <v/>
      </c>
      <c r="AD33" s="62" t="str">
        <f t="shared" si="5"/>
        <v/>
      </c>
      <c r="AE33" s="324" t="str">
        <f t="shared" si="19"/>
        <v/>
      </c>
      <c r="AF33" s="69"/>
      <c r="AG33" s="61"/>
      <c r="AH33" s="324" t="str">
        <f t="shared" si="20"/>
        <v/>
      </c>
      <c r="AI33" s="69"/>
      <c r="AJ33" s="61"/>
      <c r="AK33" s="324" t="str">
        <f t="shared" si="21"/>
        <v/>
      </c>
      <c r="AL33" s="69"/>
      <c r="AM33" s="61"/>
      <c r="AN33" s="324" t="str">
        <f t="shared" si="22"/>
        <v/>
      </c>
      <c r="AO33" s="74" t="str">
        <f t="shared" si="23"/>
        <v/>
      </c>
      <c r="AP33" s="62" t="str">
        <f t="shared" si="23"/>
        <v/>
      </c>
      <c r="AQ33" s="324" t="str">
        <f t="shared" si="24"/>
        <v/>
      </c>
      <c r="AR33" s="74" t="str">
        <f t="shared" si="6"/>
        <v/>
      </c>
      <c r="AS33" s="62" t="str">
        <f t="shared" si="7"/>
        <v/>
      </c>
      <c r="AT33" s="324" t="str">
        <f t="shared" si="25"/>
        <v/>
      </c>
    </row>
    <row r="34" spans="1:46" ht="18" customHeight="1" x14ac:dyDescent="0.2">
      <c r="A34" s="77" t="str">
        <f>IF($C$9="Data Not Entered On Set-Up Worksheet","",IF(OR(VLOOKUP($C$9,County_Lookup,19,FALSE)="",VLOOKUP($C$9,County_Lookup,19,FALSE)=0),"",VLOOKUP($C$9,County_Lookup,19,FALSE)))</f>
        <v/>
      </c>
      <c r="B34" s="69"/>
      <c r="C34" s="61"/>
      <c r="D34" s="324" t="str">
        <f t="shared" si="8"/>
        <v/>
      </c>
      <c r="E34" s="69"/>
      <c r="F34" s="61"/>
      <c r="G34" s="324" t="str">
        <f t="shared" si="9"/>
        <v/>
      </c>
      <c r="H34" s="69"/>
      <c r="I34" s="61"/>
      <c r="J34" s="324" t="str">
        <f t="shared" si="10"/>
        <v/>
      </c>
      <c r="K34" s="74" t="str">
        <f t="shared" si="11"/>
        <v/>
      </c>
      <c r="L34" s="62" t="str">
        <f t="shared" si="11"/>
        <v/>
      </c>
      <c r="M34" s="324" t="str">
        <f t="shared" si="12"/>
        <v/>
      </c>
      <c r="N34" s="74" t="str">
        <f t="shared" si="2"/>
        <v/>
      </c>
      <c r="O34" s="62" t="str">
        <f t="shared" si="3"/>
        <v/>
      </c>
      <c r="P34" s="324" t="str">
        <f t="shared" si="13"/>
        <v/>
      </c>
      <c r="Q34" s="69"/>
      <c r="R34" s="61"/>
      <c r="S34" s="324" t="str">
        <f t="shared" si="14"/>
        <v/>
      </c>
      <c r="T34" s="69"/>
      <c r="U34" s="61"/>
      <c r="V34" s="324" t="str">
        <f t="shared" si="15"/>
        <v/>
      </c>
      <c r="W34" s="69"/>
      <c r="X34" s="61"/>
      <c r="Y34" s="324" t="str">
        <f t="shared" si="16"/>
        <v/>
      </c>
      <c r="Z34" s="74" t="str">
        <f t="shared" si="17"/>
        <v/>
      </c>
      <c r="AA34" s="62" t="str">
        <f t="shared" si="17"/>
        <v/>
      </c>
      <c r="AB34" s="324" t="str">
        <f t="shared" si="18"/>
        <v/>
      </c>
      <c r="AC34" s="74" t="str">
        <f t="shared" si="4"/>
        <v/>
      </c>
      <c r="AD34" s="62" t="str">
        <f t="shared" si="5"/>
        <v/>
      </c>
      <c r="AE34" s="324" t="str">
        <f t="shared" si="19"/>
        <v/>
      </c>
      <c r="AF34" s="69"/>
      <c r="AG34" s="61"/>
      <c r="AH34" s="324" t="str">
        <f t="shared" si="20"/>
        <v/>
      </c>
      <c r="AI34" s="69"/>
      <c r="AJ34" s="61"/>
      <c r="AK34" s="324" t="str">
        <f t="shared" si="21"/>
        <v/>
      </c>
      <c r="AL34" s="69"/>
      <c r="AM34" s="61"/>
      <c r="AN34" s="324" t="str">
        <f t="shared" si="22"/>
        <v/>
      </c>
      <c r="AO34" s="74" t="str">
        <f t="shared" si="23"/>
        <v/>
      </c>
      <c r="AP34" s="62" t="str">
        <f t="shared" si="23"/>
        <v/>
      </c>
      <c r="AQ34" s="324" t="str">
        <f t="shared" si="24"/>
        <v/>
      </c>
      <c r="AR34" s="74" t="str">
        <f t="shared" si="6"/>
        <v/>
      </c>
      <c r="AS34" s="62" t="str">
        <f t="shared" si="7"/>
        <v/>
      </c>
      <c r="AT34" s="324" t="str">
        <f t="shared" si="25"/>
        <v/>
      </c>
    </row>
    <row r="35" spans="1:46" ht="18" customHeight="1" x14ac:dyDescent="0.2">
      <c r="A35" s="77" t="str">
        <f>IF($C$9="Data Not Entered On Set-Up Worksheet","",IF(OR(VLOOKUP($C$9,County_Lookup,20,FALSE)="",VLOOKUP($C$9,County_Lookup,20,FALSE)=0),"",VLOOKUP($C$9,County_Lookup,20,FALSE)))</f>
        <v/>
      </c>
      <c r="B35" s="69"/>
      <c r="C35" s="61"/>
      <c r="D35" s="324" t="str">
        <f t="shared" si="8"/>
        <v/>
      </c>
      <c r="E35" s="69"/>
      <c r="F35" s="61"/>
      <c r="G35" s="324" t="str">
        <f t="shared" si="9"/>
        <v/>
      </c>
      <c r="H35" s="69"/>
      <c r="I35" s="61"/>
      <c r="J35" s="324" t="str">
        <f t="shared" si="10"/>
        <v/>
      </c>
      <c r="K35" s="74" t="str">
        <f t="shared" si="11"/>
        <v/>
      </c>
      <c r="L35" s="62" t="str">
        <f t="shared" si="11"/>
        <v/>
      </c>
      <c r="M35" s="324" t="str">
        <f t="shared" si="12"/>
        <v/>
      </c>
      <c r="N35" s="74" t="str">
        <f t="shared" si="2"/>
        <v/>
      </c>
      <c r="O35" s="62" t="str">
        <f t="shared" si="3"/>
        <v/>
      </c>
      <c r="P35" s="324" t="str">
        <f t="shared" si="13"/>
        <v/>
      </c>
      <c r="Q35" s="69"/>
      <c r="R35" s="61"/>
      <c r="S35" s="324" t="str">
        <f t="shared" si="14"/>
        <v/>
      </c>
      <c r="T35" s="69"/>
      <c r="U35" s="61"/>
      <c r="V35" s="324" t="str">
        <f t="shared" si="15"/>
        <v/>
      </c>
      <c r="W35" s="69"/>
      <c r="X35" s="61"/>
      <c r="Y35" s="324" t="str">
        <f t="shared" si="16"/>
        <v/>
      </c>
      <c r="Z35" s="74" t="str">
        <f t="shared" si="17"/>
        <v/>
      </c>
      <c r="AA35" s="62" t="str">
        <f t="shared" si="17"/>
        <v/>
      </c>
      <c r="AB35" s="324" t="str">
        <f t="shared" si="18"/>
        <v/>
      </c>
      <c r="AC35" s="74" t="str">
        <f t="shared" si="4"/>
        <v/>
      </c>
      <c r="AD35" s="62" t="str">
        <f t="shared" si="5"/>
        <v/>
      </c>
      <c r="AE35" s="324" t="str">
        <f t="shared" si="19"/>
        <v/>
      </c>
      <c r="AF35" s="69"/>
      <c r="AG35" s="61"/>
      <c r="AH35" s="324" t="str">
        <f t="shared" si="20"/>
        <v/>
      </c>
      <c r="AI35" s="69"/>
      <c r="AJ35" s="61"/>
      <c r="AK35" s="324" t="str">
        <f t="shared" si="21"/>
        <v/>
      </c>
      <c r="AL35" s="69"/>
      <c r="AM35" s="61"/>
      <c r="AN35" s="324" t="str">
        <f t="shared" si="22"/>
        <v/>
      </c>
      <c r="AO35" s="74" t="str">
        <f t="shared" si="23"/>
        <v/>
      </c>
      <c r="AP35" s="62" t="str">
        <f t="shared" si="23"/>
        <v/>
      </c>
      <c r="AQ35" s="324" t="str">
        <f t="shared" si="24"/>
        <v/>
      </c>
      <c r="AR35" s="74" t="str">
        <f t="shared" si="6"/>
        <v/>
      </c>
      <c r="AS35" s="62" t="str">
        <f t="shared" si="7"/>
        <v/>
      </c>
      <c r="AT35" s="324" t="str">
        <f t="shared" si="25"/>
        <v/>
      </c>
    </row>
    <row r="36" spans="1:46" ht="18" customHeight="1" x14ac:dyDescent="0.2">
      <c r="A36" s="77" t="str">
        <f>IF($C$9="Data Not Entered On Set-Up Worksheet","",IF(OR(VLOOKUP($C$9,County_Lookup,21,FALSE)="",VLOOKUP($C$9,County_Lookup,21,FALSE)=0),"",VLOOKUP($C$9,County_Lookup,21,FALSE)))</f>
        <v/>
      </c>
      <c r="B36" s="69"/>
      <c r="C36" s="61"/>
      <c r="D36" s="324" t="str">
        <f t="shared" si="8"/>
        <v/>
      </c>
      <c r="E36" s="69"/>
      <c r="F36" s="61"/>
      <c r="G36" s="324" t="str">
        <f t="shared" si="9"/>
        <v/>
      </c>
      <c r="H36" s="69"/>
      <c r="I36" s="61"/>
      <c r="J36" s="324" t="str">
        <f t="shared" si="10"/>
        <v/>
      </c>
      <c r="K36" s="74" t="str">
        <f t="shared" si="11"/>
        <v/>
      </c>
      <c r="L36" s="62" t="str">
        <f t="shared" si="11"/>
        <v/>
      </c>
      <c r="M36" s="324" t="str">
        <f t="shared" si="12"/>
        <v/>
      </c>
      <c r="N36" s="74" t="str">
        <f t="shared" si="2"/>
        <v/>
      </c>
      <c r="O36" s="62" t="str">
        <f t="shared" si="3"/>
        <v/>
      </c>
      <c r="P36" s="324" t="str">
        <f t="shared" si="13"/>
        <v/>
      </c>
      <c r="Q36" s="69"/>
      <c r="R36" s="61"/>
      <c r="S36" s="324" t="str">
        <f t="shared" si="14"/>
        <v/>
      </c>
      <c r="T36" s="69"/>
      <c r="U36" s="61"/>
      <c r="V36" s="324" t="str">
        <f t="shared" si="15"/>
        <v/>
      </c>
      <c r="W36" s="69"/>
      <c r="X36" s="61"/>
      <c r="Y36" s="324" t="str">
        <f t="shared" si="16"/>
        <v/>
      </c>
      <c r="Z36" s="74" t="str">
        <f t="shared" si="17"/>
        <v/>
      </c>
      <c r="AA36" s="62" t="str">
        <f t="shared" si="17"/>
        <v/>
      </c>
      <c r="AB36" s="324" t="str">
        <f t="shared" si="18"/>
        <v/>
      </c>
      <c r="AC36" s="74" t="str">
        <f t="shared" si="4"/>
        <v/>
      </c>
      <c r="AD36" s="62" t="str">
        <f t="shared" si="5"/>
        <v/>
      </c>
      <c r="AE36" s="324" t="str">
        <f t="shared" si="19"/>
        <v/>
      </c>
      <c r="AF36" s="69"/>
      <c r="AG36" s="61"/>
      <c r="AH36" s="324" t="str">
        <f t="shared" si="20"/>
        <v/>
      </c>
      <c r="AI36" s="69"/>
      <c r="AJ36" s="61"/>
      <c r="AK36" s="324" t="str">
        <f t="shared" si="21"/>
        <v/>
      </c>
      <c r="AL36" s="69"/>
      <c r="AM36" s="61"/>
      <c r="AN36" s="324" t="str">
        <f t="shared" si="22"/>
        <v/>
      </c>
      <c r="AO36" s="74" t="str">
        <f t="shared" si="23"/>
        <v/>
      </c>
      <c r="AP36" s="62" t="str">
        <f t="shared" si="23"/>
        <v/>
      </c>
      <c r="AQ36" s="324" t="str">
        <f t="shared" si="24"/>
        <v/>
      </c>
      <c r="AR36" s="74" t="str">
        <f t="shared" si="6"/>
        <v/>
      </c>
      <c r="AS36" s="62" t="str">
        <f t="shared" si="7"/>
        <v/>
      </c>
      <c r="AT36" s="324" t="str">
        <f t="shared" si="25"/>
        <v/>
      </c>
    </row>
    <row r="37" spans="1:46" ht="18" customHeight="1" x14ac:dyDescent="0.2">
      <c r="A37" s="76" t="str">
        <f>IF($C$9="Data Not Entered On Set-Up Worksheet","",IF(OR(VLOOKUP($C$9,County_Lookup,22,FALSE)="",VLOOKUP($C$9,County_Lookup,22,FALSE)=0),"",VLOOKUP($C$9,County_Lookup,22,FALSE)))</f>
        <v/>
      </c>
      <c r="B37" s="69"/>
      <c r="C37" s="61"/>
      <c r="D37" s="324" t="str">
        <f t="shared" si="8"/>
        <v/>
      </c>
      <c r="E37" s="69"/>
      <c r="F37" s="61"/>
      <c r="G37" s="324" t="str">
        <f t="shared" si="9"/>
        <v/>
      </c>
      <c r="H37" s="69"/>
      <c r="I37" s="61"/>
      <c r="J37" s="324" t="str">
        <f t="shared" si="10"/>
        <v/>
      </c>
      <c r="K37" s="74" t="str">
        <f t="shared" si="11"/>
        <v/>
      </c>
      <c r="L37" s="62" t="str">
        <f t="shared" si="11"/>
        <v/>
      </c>
      <c r="M37" s="324" t="str">
        <f t="shared" si="12"/>
        <v/>
      </c>
      <c r="N37" s="74" t="str">
        <f t="shared" si="2"/>
        <v/>
      </c>
      <c r="O37" s="62" t="str">
        <f t="shared" si="3"/>
        <v/>
      </c>
      <c r="P37" s="324" t="str">
        <f t="shared" si="13"/>
        <v/>
      </c>
      <c r="Q37" s="69"/>
      <c r="R37" s="61"/>
      <c r="S37" s="324" t="str">
        <f t="shared" si="14"/>
        <v/>
      </c>
      <c r="T37" s="69"/>
      <c r="U37" s="61"/>
      <c r="V37" s="324" t="str">
        <f t="shared" si="15"/>
        <v/>
      </c>
      <c r="W37" s="69"/>
      <c r="X37" s="61"/>
      <c r="Y37" s="324" t="str">
        <f t="shared" si="16"/>
        <v/>
      </c>
      <c r="Z37" s="74" t="str">
        <f t="shared" si="17"/>
        <v/>
      </c>
      <c r="AA37" s="62" t="str">
        <f t="shared" si="17"/>
        <v/>
      </c>
      <c r="AB37" s="324" t="str">
        <f t="shared" si="18"/>
        <v/>
      </c>
      <c r="AC37" s="74" t="str">
        <f t="shared" si="4"/>
        <v/>
      </c>
      <c r="AD37" s="62" t="str">
        <f t="shared" si="5"/>
        <v/>
      </c>
      <c r="AE37" s="324" t="str">
        <f t="shared" si="19"/>
        <v/>
      </c>
      <c r="AF37" s="69"/>
      <c r="AG37" s="61"/>
      <c r="AH37" s="324" t="str">
        <f t="shared" si="20"/>
        <v/>
      </c>
      <c r="AI37" s="69"/>
      <c r="AJ37" s="61"/>
      <c r="AK37" s="324" t="str">
        <f t="shared" si="21"/>
        <v/>
      </c>
      <c r="AL37" s="69"/>
      <c r="AM37" s="61"/>
      <c r="AN37" s="324" t="str">
        <f t="shared" si="22"/>
        <v/>
      </c>
      <c r="AO37" s="74" t="str">
        <f t="shared" si="23"/>
        <v/>
      </c>
      <c r="AP37" s="62" t="str">
        <f t="shared" si="23"/>
        <v/>
      </c>
      <c r="AQ37" s="324" t="str">
        <f t="shared" si="24"/>
        <v/>
      </c>
      <c r="AR37" s="74" t="str">
        <f t="shared" si="6"/>
        <v/>
      </c>
      <c r="AS37" s="62" t="str">
        <f t="shared" si="7"/>
        <v/>
      </c>
      <c r="AT37" s="324" t="str">
        <f t="shared" si="25"/>
        <v/>
      </c>
    </row>
    <row r="38" spans="1:46" ht="18" customHeight="1" x14ac:dyDescent="0.2">
      <c r="A38" s="77" t="str">
        <f>IF($C$9="Data Not Entered On Set-Up Worksheet","",IF(OR(VLOOKUP($C$9,County_Lookup,23,FALSE)="",VLOOKUP($C$9,County_Lookup,23,FALSE)=0),"",VLOOKUP($C$9,County_Lookup,23,FALSE)))</f>
        <v/>
      </c>
      <c r="B38" s="69"/>
      <c r="C38" s="61"/>
      <c r="D38" s="324" t="str">
        <f t="shared" si="8"/>
        <v/>
      </c>
      <c r="E38" s="69"/>
      <c r="F38" s="61"/>
      <c r="G38" s="324" t="str">
        <f t="shared" si="9"/>
        <v/>
      </c>
      <c r="H38" s="69"/>
      <c r="I38" s="61"/>
      <c r="J38" s="324" t="str">
        <f t="shared" si="10"/>
        <v/>
      </c>
      <c r="K38" s="74" t="str">
        <f t="shared" si="11"/>
        <v/>
      </c>
      <c r="L38" s="62" t="str">
        <f t="shared" si="11"/>
        <v/>
      </c>
      <c r="M38" s="324" t="str">
        <f t="shared" si="12"/>
        <v/>
      </c>
      <c r="N38" s="74" t="str">
        <f t="shared" si="2"/>
        <v/>
      </c>
      <c r="O38" s="62" t="str">
        <f t="shared" si="3"/>
        <v/>
      </c>
      <c r="P38" s="324" t="str">
        <f t="shared" si="13"/>
        <v/>
      </c>
      <c r="Q38" s="69"/>
      <c r="R38" s="61"/>
      <c r="S38" s="324" t="str">
        <f t="shared" si="14"/>
        <v/>
      </c>
      <c r="T38" s="69"/>
      <c r="U38" s="61"/>
      <c r="V38" s="324" t="str">
        <f t="shared" si="15"/>
        <v/>
      </c>
      <c r="W38" s="69"/>
      <c r="X38" s="61"/>
      <c r="Y38" s="324" t="str">
        <f t="shared" si="16"/>
        <v/>
      </c>
      <c r="Z38" s="74" t="str">
        <f t="shared" si="17"/>
        <v/>
      </c>
      <c r="AA38" s="62" t="str">
        <f t="shared" si="17"/>
        <v/>
      </c>
      <c r="AB38" s="324" t="str">
        <f t="shared" si="18"/>
        <v/>
      </c>
      <c r="AC38" s="74" t="str">
        <f t="shared" si="4"/>
        <v/>
      </c>
      <c r="AD38" s="62" t="str">
        <f t="shared" si="5"/>
        <v/>
      </c>
      <c r="AE38" s="324" t="str">
        <f t="shared" si="19"/>
        <v/>
      </c>
      <c r="AF38" s="69"/>
      <c r="AG38" s="61"/>
      <c r="AH38" s="324" t="str">
        <f t="shared" si="20"/>
        <v/>
      </c>
      <c r="AI38" s="69"/>
      <c r="AJ38" s="61"/>
      <c r="AK38" s="324" t="str">
        <f t="shared" si="21"/>
        <v/>
      </c>
      <c r="AL38" s="69"/>
      <c r="AM38" s="61"/>
      <c r="AN38" s="324" t="str">
        <f t="shared" si="22"/>
        <v/>
      </c>
      <c r="AO38" s="74" t="str">
        <f t="shared" si="23"/>
        <v/>
      </c>
      <c r="AP38" s="62" t="str">
        <f t="shared" si="23"/>
        <v/>
      </c>
      <c r="AQ38" s="324" t="str">
        <f t="shared" si="24"/>
        <v/>
      </c>
      <c r="AR38" s="74" t="str">
        <f t="shared" si="6"/>
        <v/>
      </c>
      <c r="AS38" s="62" t="str">
        <f t="shared" si="7"/>
        <v/>
      </c>
      <c r="AT38" s="324" t="str">
        <f t="shared" si="25"/>
        <v/>
      </c>
    </row>
    <row r="39" spans="1:46" ht="18" customHeight="1" x14ac:dyDescent="0.2">
      <c r="A39" s="77" t="str">
        <f>IF($C$9="Data Not Entered On Set-Up Worksheet","",IF(OR(VLOOKUP($C$9,County_Lookup,24,FALSE)="",VLOOKUP($C$9,County_Lookup,24,FALSE)=0),"",VLOOKUP($C$9,County_Lookup,24,FALSE)))</f>
        <v/>
      </c>
      <c r="B39" s="69"/>
      <c r="C39" s="61"/>
      <c r="D39" s="324" t="str">
        <f t="shared" ref="D39:D41" si="26">IF($A39="","",IF(C39=0,0,B39/C39))</f>
        <v/>
      </c>
      <c r="E39" s="69"/>
      <c r="F39" s="61"/>
      <c r="G39" s="324" t="str">
        <f t="shared" ref="G39:G41" si="27">IF($A39="","",IF(F39=0,0,E39/F39))</f>
        <v/>
      </c>
      <c r="H39" s="69"/>
      <c r="I39" s="61"/>
      <c r="J39" s="324" t="str">
        <f t="shared" ref="J39:J41" si="28">IF($A39="","",IF(I39=0,0,H39/I39))</f>
        <v/>
      </c>
      <c r="K39" s="74" t="str">
        <f t="shared" ref="K39:K41" si="29">IF($A39="","",SUM(E39,H39))</f>
        <v/>
      </c>
      <c r="L39" s="62" t="str">
        <f t="shared" ref="L39:L41" si="30">IF($A39="","",SUM(F39,I39))</f>
        <v/>
      </c>
      <c r="M39" s="324" t="str">
        <f t="shared" ref="M39:M41" si="31">IF($A39="","",IF(L39=0,0,K39/L39))</f>
        <v/>
      </c>
      <c r="N39" s="74" t="str">
        <f t="shared" ref="N39:N41" si="32">IF($A39="","",SUM(B39,E39,H39))</f>
        <v/>
      </c>
      <c r="O39" s="62" t="str">
        <f t="shared" ref="O39:O41" si="33">IF($A39="","",SUM(C39,F39,I39))</f>
        <v/>
      </c>
      <c r="P39" s="324" t="str">
        <f t="shared" ref="P39:P41" si="34">IF($A39="","",IF(O39=0,0,N39/O39))</f>
        <v/>
      </c>
      <c r="Q39" s="69"/>
      <c r="R39" s="61"/>
      <c r="S39" s="324" t="str">
        <f t="shared" ref="S39:S41" si="35">IF($A39="","",IF(R39=0,0,Q39/R39))</f>
        <v/>
      </c>
      <c r="T39" s="69"/>
      <c r="U39" s="61"/>
      <c r="V39" s="324" t="str">
        <f t="shared" ref="V39:V41" si="36">IF($A39="","",IF(U39=0,0,T39/U39))</f>
        <v/>
      </c>
      <c r="W39" s="69"/>
      <c r="X39" s="61"/>
      <c r="Y39" s="324" t="str">
        <f t="shared" ref="Y39:Y41" si="37">IF($A39="","",IF(X39=0,0,W39/X39))</f>
        <v/>
      </c>
      <c r="Z39" s="74" t="str">
        <f t="shared" ref="Z39:Z41" si="38">IF($A39="","",SUM(T39,W39))</f>
        <v/>
      </c>
      <c r="AA39" s="62" t="str">
        <f t="shared" ref="AA39:AA41" si="39">IF($A39="","",SUM(U39,X39))</f>
        <v/>
      </c>
      <c r="AB39" s="324" t="str">
        <f t="shared" ref="AB39:AB41" si="40">IF($A39="","",IF(AA39=0,0,Z39/AA39))</f>
        <v/>
      </c>
      <c r="AC39" s="74" t="str">
        <f t="shared" ref="AC39:AC41" si="41">IF($A39="","",SUM(Q39,T39,W39))</f>
        <v/>
      </c>
      <c r="AD39" s="62" t="str">
        <f t="shared" ref="AD39:AD41" si="42">IF($A39="","",SUM(R39,U39,X39))</f>
        <v/>
      </c>
      <c r="AE39" s="324" t="str">
        <f t="shared" ref="AE39:AE41" si="43">IF($A39="","",IF(AD39=0,0,AC39/AD39))</f>
        <v/>
      </c>
      <c r="AF39" s="69"/>
      <c r="AG39" s="61"/>
      <c r="AH39" s="324" t="str">
        <f t="shared" ref="AH39:AH41" si="44">IF($A39="","",IF(AG39=0,0,AF39/AG39))</f>
        <v/>
      </c>
      <c r="AI39" s="69"/>
      <c r="AJ39" s="61"/>
      <c r="AK39" s="324" t="str">
        <f t="shared" ref="AK39:AK41" si="45">IF($A39="","",IF(AJ39=0,0,AI39/AJ39))</f>
        <v/>
      </c>
      <c r="AL39" s="69"/>
      <c r="AM39" s="61"/>
      <c r="AN39" s="324" t="str">
        <f t="shared" ref="AN39:AN41" si="46">IF($A39="","",IF(AM39=0,0,AL39/AM39))</f>
        <v/>
      </c>
      <c r="AO39" s="74" t="str">
        <f t="shared" ref="AO39:AO41" si="47">IF($A39="","",SUM(AI39,AL39))</f>
        <v/>
      </c>
      <c r="AP39" s="62" t="str">
        <f t="shared" ref="AP39:AP41" si="48">IF($A39="","",SUM(AJ39,AM39))</f>
        <v/>
      </c>
      <c r="AQ39" s="324" t="str">
        <f t="shared" ref="AQ39:AQ41" si="49">IF($A39="","",IF(AP39=0,0,AO39/AP39))</f>
        <v/>
      </c>
      <c r="AR39" s="74" t="str">
        <f t="shared" ref="AR39:AR41" si="50">IF($A39="","",SUM(AF39,AI39,AL39))</f>
        <v/>
      </c>
      <c r="AS39" s="62" t="str">
        <f t="shared" ref="AS39:AS41" si="51">IF($A39="","",SUM(AG39,AJ39,AM39))</f>
        <v/>
      </c>
      <c r="AT39" s="324" t="str">
        <f t="shared" ref="AT39:AT41" si="52">IF($A39="","",IF(AS39=0,0,AR39/AS39))</f>
        <v/>
      </c>
    </row>
    <row r="40" spans="1:46" ht="18" customHeight="1" x14ac:dyDescent="0.2">
      <c r="A40" s="77" t="str">
        <f>IF($C$9="Data Not Entered On Set-Up Worksheet","",IF(OR(VLOOKUP($C$9,County_Lookup,25,FALSE)="",VLOOKUP($C$9,County_Lookup,25,FALSE)=0),"",VLOOKUP($C$9,County_Lookup,25,FALSE)))</f>
        <v/>
      </c>
      <c r="B40" s="69"/>
      <c r="C40" s="61"/>
      <c r="D40" s="324" t="str">
        <f t="shared" si="26"/>
        <v/>
      </c>
      <c r="E40" s="69"/>
      <c r="F40" s="61"/>
      <c r="G40" s="324" t="str">
        <f t="shared" si="27"/>
        <v/>
      </c>
      <c r="H40" s="69"/>
      <c r="I40" s="61"/>
      <c r="J40" s="324" t="str">
        <f t="shared" si="28"/>
        <v/>
      </c>
      <c r="K40" s="74" t="str">
        <f t="shared" si="29"/>
        <v/>
      </c>
      <c r="L40" s="62" t="str">
        <f t="shared" si="30"/>
        <v/>
      </c>
      <c r="M40" s="324" t="str">
        <f t="shared" si="31"/>
        <v/>
      </c>
      <c r="N40" s="74" t="str">
        <f t="shared" si="32"/>
        <v/>
      </c>
      <c r="O40" s="62" t="str">
        <f t="shared" si="33"/>
        <v/>
      </c>
      <c r="P40" s="324" t="str">
        <f t="shared" si="34"/>
        <v/>
      </c>
      <c r="Q40" s="69"/>
      <c r="R40" s="61"/>
      <c r="S40" s="324" t="str">
        <f t="shared" si="35"/>
        <v/>
      </c>
      <c r="T40" s="69"/>
      <c r="U40" s="61"/>
      <c r="V40" s="324" t="str">
        <f t="shared" si="36"/>
        <v/>
      </c>
      <c r="W40" s="69"/>
      <c r="X40" s="61"/>
      <c r="Y40" s="324" t="str">
        <f t="shared" si="37"/>
        <v/>
      </c>
      <c r="Z40" s="74" t="str">
        <f t="shared" si="38"/>
        <v/>
      </c>
      <c r="AA40" s="62" t="str">
        <f t="shared" si="39"/>
        <v/>
      </c>
      <c r="AB40" s="324" t="str">
        <f t="shared" si="40"/>
        <v/>
      </c>
      <c r="AC40" s="74" t="str">
        <f t="shared" si="41"/>
        <v/>
      </c>
      <c r="AD40" s="62" t="str">
        <f t="shared" si="42"/>
        <v/>
      </c>
      <c r="AE40" s="324" t="str">
        <f t="shared" si="43"/>
        <v/>
      </c>
      <c r="AF40" s="69"/>
      <c r="AG40" s="61"/>
      <c r="AH40" s="324" t="str">
        <f t="shared" si="44"/>
        <v/>
      </c>
      <c r="AI40" s="69"/>
      <c r="AJ40" s="61"/>
      <c r="AK40" s="324" t="str">
        <f t="shared" si="45"/>
        <v/>
      </c>
      <c r="AL40" s="69"/>
      <c r="AM40" s="61"/>
      <c r="AN40" s="324" t="str">
        <f t="shared" si="46"/>
        <v/>
      </c>
      <c r="AO40" s="74" t="str">
        <f t="shared" si="47"/>
        <v/>
      </c>
      <c r="AP40" s="62" t="str">
        <f t="shared" si="48"/>
        <v/>
      </c>
      <c r="AQ40" s="324" t="str">
        <f t="shared" si="49"/>
        <v/>
      </c>
      <c r="AR40" s="74" t="str">
        <f t="shared" si="50"/>
        <v/>
      </c>
      <c r="AS40" s="62" t="str">
        <f t="shared" si="51"/>
        <v/>
      </c>
      <c r="AT40" s="324" t="str">
        <f t="shared" si="52"/>
        <v/>
      </c>
    </row>
    <row r="41" spans="1:46" ht="18" customHeight="1" x14ac:dyDescent="0.2">
      <c r="A41" s="77" t="str">
        <f>IF($C$9="Data Not Entered On Set-Up Worksheet","",IF(OR(VLOOKUP($C$9,County_Lookup,26,FALSE)="",VLOOKUP($C$9,County_Lookup,26,FALSE)=0),"",VLOOKUP($C$9,County_Lookup,26,FALSE)))</f>
        <v/>
      </c>
      <c r="B41" s="69"/>
      <c r="C41" s="61"/>
      <c r="D41" s="324" t="str">
        <f t="shared" si="26"/>
        <v/>
      </c>
      <c r="E41" s="69"/>
      <c r="F41" s="61"/>
      <c r="G41" s="324" t="str">
        <f t="shared" si="27"/>
        <v/>
      </c>
      <c r="H41" s="69"/>
      <c r="I41" s="61"/>
      <c r="J41" s="324" t="str">
        <f t="shared" si="28"/>
        <v/>
      </c>
      <c r="K41" s="74" t="str">
        <f t="shared" si="29"/>
        <v/>
      </c>
      <c r="L41" s="62" t="str">
        <f t="shared" si="30"/>
        <v/>
      </c>
      <c r="M41" s="324" t="str">
        <f t="shared" si="31"/>
        <v/>
      </c>
      <c r="N41" s="74" t="str">
        <f t="shared" si="32"/>
        <v/>
      </c>
      <c r="O41" s="62" t="str">
        <f t="shared" si="33"/>
        <v/>
      </c>
      <c r="P41" s="324" t="str">
        <f t="shared" si="34"/>
        <v/>
      </c>
      <c r="Q41" s="69"/>
      <c r="R41" s="61"/>
      <c r="S41" s="324" t="str">
        <f t="shared" si="35"/>
        <v/>
      </c>
      <c r="T41" s="69"/>
      <c r="U41" s="61"/>
      <c r="V41" s="324" t="str">
        <f t="shared" si="36"/>
        <v/>
      </c>
      <c r="W41" s="69"/>
      <c r="X41" s="61"/>
      <c r="Y41" s="324" t="str">
        <f t="shared" si="37"/>
        <v/>
      </c>
      <c r="Z41" s="74" t="str">
        <f t="shared" si="38"/>
        <v/>
      </c>
      <c r="AA41" s="62" t="str">
        <f t="shared" si="39"/>
        <v/>
      </c>
      <c r="AB41" s="324" t="str">
        <f t="shared" si="40"/>
        <v/>
      </c>
      <c r="AC41" s="74" t="str">
        <f t="shared" si="41"/>
        <v/>
      </c>
      <c r="AD41" s="62" t="str">
        <f t="shared" si="42"/>
        <v/>
      </c>
      <c r="AE41" s="324" t="str">
        <f t="shared" si="43"/>
        <v/>
      </c>
      <c r="AF41" s="69"/>
      <c r="AG41" s="61"/>
      <c r="AH41" s="324" t="str">
        <f t="shared" si="44"/>
        <v/>
      </c>
      <c r="AI41" s="69"/>
      <c r="AJ41" s="61"/>
      <c r="AK41" s="324" t="str">
        <f t="shared" si="45"/>
        <v/>
      </c>
      <c r="AL41" s="69"/>
      <c r="AM41" s="61"/>
      <c r="AN41" s="324" t="str">
        <f t="shared" si="46"/>
        <v/>
      </c>
      <c r="AO41" s="74" t="str">
        <f t="shared" si="47"/>
        <v/>
      </c>
      <c r="AP41" s="62" t="str">
        <f t="shared" si="48"/>
        <v/>
      </c>
      <c r="AQ41" s="324" t="str">
        <f t="shared" si="49"/>
        <v/>
      </c>
      <c r="AR41" s="74" t="str">
        <f t="shared" si="50"/>
        <v/>
      </c>
      <c r="AS41" s="62" t="str">
        <f t="shared" si="51"/>
        <v/>
      </c>
      <c r="AT41" s="324" t="str">
        <f t="shared" si="52"/>
        <v/>
      </c>
    </row>
    <row r="42" spans="1:46" ht="18" customHeight="1" x14ac:dyDescent="0.2">
      <c r="A42" s="77" t="str">
        <f>IF($C$9="Data Not Entered On Set-Up Worksheet","",IF(OR(VLOOKUP($C$9,County_Lookup,27,FALSE)="",VLOOKUP($C$9,County_Lookup,27,FALSE)=0),"",VLOOKUP($C$9,County_Lookup,27,FALSE)))</f>
        <v/>
      </c>
      <c r="B42" s="69"/>
      <c r="C42" s="61"/>
      <c r="D42" s="324" t="str">
        <f t="shared" si="8"/>
        <v/>
      </c>
      <c r="E42" s="69"/>
      <c r="F42" s="61"/>
      <c r="G42" s="324" t="str">
        <f t="shared" si="9"/>
        <v/>
      </c>
      <c r="H42" s="69"/>
      <c r="I42" s="61"/>
      <c r="J42" s="324" t="str">
        <f t="shared" si="10"/>
        <v/>
      </c>
      <c r="K42" s="74" t="str">
        <f t="shared" si="11"/>
        <v/>
      </c>
      <c r="L42" s="62" t="str">
        <f t="shared" si="11"/>
        <v/>
      </c>
      <c r="M42" s="324" t="str">
        <f t="shared" si="12"/>
        <v/>
      </c>
      <c r="N42" s="74" t="str">
        <f t="shared" si="2"/>
        <v/>
      </c>
      <c r="O42" s="62" t="str">
        <f t="shared" si="3"/>
        <v/>
      </c>
      <c r="P42" s="324" t="str">
        <f t="shared" si="13"/>
        <v/>
      </c>
      <c r="Q42" s="69"/>
      <c r="R42" s="61"/>
      <c r="S42" s="324" t="str">
        <f t="shared" si="14"/>
        <v/>
      </c>
      <c r="T42" s="69"/>
      <c r="U42" s="61"/>
      <c r="V42" s="324" t="str">
        <f t="shared" si="15"/>
        <v/>
      </c>
      <c r="W42" s="69"/>
      <c r="X42" s="61"/>
      <c r="Y42" s="324" t="str">
        <f t="shared" si="16"/>
        <v/>
      </c>
      <c r="Z42" s="74" t="str">
        <f t="shared" si="17"/>
        <v/>
      </c>
      <c r="AA42" s="62" t="str">
        <f t="shared" si="17"/>
        <v/>
      </c>
      <c r="AB42" s="324" t="str">
        <f t="shared" si="18"/>
        <v/>
      </c>
      <c r="AC42" s="74" t="str">
        <f t="shared" si="4"/>
        <v/>
      </c>
      <c r="AD42" s="62" t="str">
        <f t="shared" si="5"/>
        <v/>
      </c>
      <c r="AE42" s="324" t="str">
        <f t="shared" si="19"/>
        <v/>
      </c>
      <c r="AF42" s="69"/>
      <c r="AG42" s="61"/>
      <c r="AH42" s="324" t="str">
        <f t="shared" si="20"/>
        <v/>
      </c>
      <c r="AI42" s="69"/>
      <c r="AJ42" s="61"/>
      <c r="AK42" s="324" t="str">
        <f t="shared" si="21"/>
        <v/>
      </c>
      <c r="AL42" s="69"/>
      <c r="AM42" s="61"/>
      <c r="AN42" s="324" t="str">
        <f t="shared" si="22"/>
        <v/>
      </c>
      <c r="AO42" s="74" t="str">
        <f t="shared" si="23"/>
        <v/>
      </c>
      <c r="AP42" s="62" t="str">
        <f t="shared" si="23"/>
        <v/>
      </c>
      <c r="AQ42" s="324" t="str">
        <f t="shared" si="24"/>
        <v/>
      </c>
      <c r="AR42" s="74" t="str">
        <f t="shared" si="6"/>
        <v/>
      </c>
      <c r="AS42" s="62" t="str">
        <f t="shared" si="7"/>
        <v/>
      </c>
      <c r="AT42" s="324" t="str">
        <f t="shared" si="25"/>
        <v/>
      </c>
    </row>
    <row r="43" spans="1:46" ht="18" customHeight="1" thickBot="1" x14ac:dyDescent="0.25">
      <c r="A43" s="78" t="s">
        <v>0</v>
      </c>
      <c r="B43" s="71">
        <f>SUM(B17:B42)</f>
        <v>0</v>
      </c>
      <c r="C43" s="72">
        <f>SUM(C17:C42)</f>
        <v>0</v>
      </c>
      <c r="D43" s="325">
        <f t="shared" ref="D43" si="53">IF(C43=0,0,B43/C43)</f>
        <v>0</v>
      </c>
      <c r="E43" s="71">
        <f>SUM(E17:E42)</f>
        <v>0</v>
      </c>
      <c r="F43" s="72">
        <f>SUM(F17:F42)</f>
        <v>0</v>
      </c>
      <c r="G43" s="325">
        <f t="shared" ref="G43" si="54">IF(F43=0,0,E43/F43)</f>
        <v>0</v>
      </c>
      <c r="H43" s="71">
        <f>SUM(H17:H42)</f>
        <v>0</v>
      </c>
      <c r="I43" s="72">
        <f>SUM(I17:I42)</f>
        <v>0</v>
      </c>
      <c r="J43" s="325">
        <f t="shared" ref="J43" si="55">IF(I43=0,0,H43/I43)</f>
        <v>0</v>
      </c>
      <c r="K43" s="71">
        <f>SUM(K17:K42)</f>
        <v>0</v>
      </c>
      <c r="L43" s="72">
        <f>SUM(L17:L42)</f>
        <v>0</v>
      </c>
      <c r="M43" s="325">
        <f t="shared" ref="M43" si="56">IF(L43=0,0,K43/L43)</f>
        <v>0</v>
      </c>
      <c r="N43" s="71">
        <f>SUM(N17:N42)</f>
        <v>0</v>
      </c>
      <c r="O43" s="72">
        <f>SUM(O17:O42)</f>
        <v>0</v>
      </c>
      <c r="P43" s="325">
        <f t="shared" ref="P43" si="57">IF(O43=0,0,N43/O43)</f>
        <v>0</v>
      </c>
      <c r="Q43" s="71">
        <f>SUM(Q17:Q42)</f>
        <v>0</v>
      </c>
      <c r="R43" s="72">
        <f>SUM(R17:R42)</f>
        <v>0</v>
      </c>
      <c r="S43" s="325">
        <f t="shared" ref="S43" si="58">IF(R43=0,0,Q43/R43)</f>
        <v>0</v>
      </c>
      <c r="T43" s="71">
        <f>SUM(T17:T42)</f>
        <v>0</v>
      </c>
      <c r="U43" s="72">
        <f>SUM(U17:U42)</f>
        <v>0</v>
      </c>
      <c r="V43" s="325">
        <f t="shared" ref="V43" si="59">IF(U43=0,0,T43/U43)</f>
        <v>0</v>
      </c>
      <c r="W43" s="71">
        <f>SUM(W17:W42)</f>
        <v>0</v>
      </c>
      <c r="X43" s="72">
        <f>SUM(X17:X42)</f>
        <v>0</v>
      </c>
      <c r="Y43" s="325">
        <f t="shared" ref="Y43" si="60">IF(X43=0,0,W43/X43)</f>
        <v>0</v>
      </c>
      <c r="Z43" s="71">
        <f>SUM(Z17:Z42)</f>
        <v>0</v>
      </c>
      <c r="AA43" s="72">
        <f>SUM(AA17:AA42)</f>
        <v>0</v>
      </c>
      <c r="AB43" s="325">
        <f t="shared" ref="AB43" si="61">IF(AA43=0,0,Z43/AA43)</f>
        <v>0</v>
      </c>
      <c r="AC43" s="71">
        <f>SUM(AC17:AC42)</f>
        <v>0</v>
      </c>
      <c r="AD43" s="72">
        <f>SUM(AD17:AD42)</f>
        <v>0</v>
      </c>
      <c r="AE43" s="325">
        <f t="shared" ref="AE43" si="62">IF(AD43=0,0,AC43/AD43)</f>
        <v>0</v>
      </c>
      <c r="AF43" s="71">
        <f>SUM(AF17:AF42)</f>
        <v>0</v>
      </c>
      <c r="AG43" s="72">
        <f>SUM(AG17:AG42)</f>
        <v>0</v>
      </c>
      <c r="AH43" s="325">
        <f t="shared" ref="AH43" si="63">IF(AG43=0,0,AF43/AG43)</f>
        <v>0</v>
      </c>
      <c r="AI43" s="71">
        <f>SUM(AI17:AI42)</f>
        <v>0</v>
      </c>
      <c r="AJ43" s="72">
        <f>SUM(AJ17:AJ42)</f>
        <v>0</v>
      </c>
      <c r="AK43" s="325">
        <f t="shared" ref="AK43" si="64">IF(AJ43=0,0,AI43/AJ43)</f>
        <v>0</v>
      </c>
      <c r="AL43" s="71">
        <f>SUM(AL17:AL42)</f>
        <v>0</v>
      </c>
      <c r="AM43" s="72">
        <f>SUM(AM17:AM42)</f>
        <v>0</v>
      </c>
      <c r="AN43" s="325">
        <f t="shared" ref="AN43" si="65">IF(AM43=0,0,AL43/AM43)</f>
        <v>0</v>
      </c>
      <c r="AO43" s="71">
        <f>SUM(AO17:AO42)</f>
        <v>0</v>
      </c>
      <c r="AP43" s="72">
        <f>SUM(AP17:AP42)</f>
        <v>0</v>
      </c>
      <c r="AQ43" s="325">
        <f t="shared" ref="AQ43" si="66">IF(AP43=0,0,AO43/AP43)</f>
        <v>0</v>
      </c>
      <c r="AR43" s="71">
        <f>SUM(AR17:AR42)</f>
        <v>0</v>
      </c>
      <c r="AS43" s="72">
        <f>SUM(AS17:AS42)</f>
        <v>0</v>
      </c>
      <c r="AT43" s="325">
        <f t="shared" ref="AT43" si="67">IF(AS43=0,0,AR43/AS43)</f>
        <v>0</v>
      </c>
    </row>
  </sheetData>
  <sheetProtection sheet="1" objects="1" scenarios="1"/>
  <conditionalFormatting sqref="C3:C4">
    <cfRule type="expression" dxfId="632" priority="104">
      <formula>C3="Data Not Entered On Set-Up Worksheet"</formula>
    </cfRule>
  </conditionalFormatting>
  <conditionalFormatting sqref="C9">
    <cfRule type="expression" dxfId="631" priority="103">
      <formula>C9="Data Not Entered On Set-Up Worksheet"</formula>
    </cfRule>
  </conditionalFormatting>
  <conditionalFormatting sqref="C12">
    <cfRule type="expression" dxfId="630" priority="102">
      <formula>C12="Data Not Entered On Set-Up Worksheet"</formula>
    </cfRule>
  </conditionalFormatting>
  <conditionalFormatting sqref="B17:C39 B42:C42">
    <cfRule type="expression" dxfId="629" priority="27">
      <formula>$A17="Other"</formula>
    </cfRule>
    <cfRule type="expression" dxfId="628" priority="101">
      <formula>AND($A17&lt;&gt;"",B17="")</formula>
    </cfRule>
  </conditionalFormatting>
  <conditionalFormatting sqref="F3">
    <cfRule type="expression" dxfId="627" priority="100">
      <formula>F3="Data Not Entered On Set-Up Worksheet"</formula>
    </cfRule>
  </conditionalFormatting>
  <conditionalFormatting sqref="F12">
    <cfRule type="expression" dxfId="626" priority="99">
      <formula>F12="Data Not Entered On Set-Up Worksheet"</formula>
    </cfRule>
  </conditionalFormatting>
  <conditionalFormatting sqref="I3">
    <cfRule type="expression" dxfId="625" priority="98">
      <formula>I3="Data Not Entered On Set-Up Worksheet"</formula>
    </cfRule>
  </conditionalFormatting>
  <conditionalFormatting sqref="I9">
    <cfRule type="expression" dxfId="624" priority="97">
      <formula>I9="Data Not Entered On Set-Up Worksheet"</formula>
    </cfRule>
  </conditionalFormatting>
  <conditionalFormatting sqref="I11:I12">
    <cfRule type="expression" dxfId="623" priority="96">
      <formula>I11="Data Not Entered On Set-Up Worksheet"</formula>
    </cfRule>
  </conditionalFormatting>
  <conditionalFormatting sqref="L3">
    <cfRule type="expression" dxfId="622" priority="95">
      <formula>L3="Data Not Entered On Set-Up Worksheet"</formula>
    </cfRule>
  </conditionalFormatting>
  <conditionalFormatting sqref="L9">
    <cfRule type="expression" dxfId="621" priority="94">
      <formula>L9="Data Not Entered On Set-Up Worksheet"</formula>
    </cfRule>
  </conditionalFormatting>
  <conditionalFormatting sqref="L11:L12">
    <cfRule type="expression" dxfId="620" priority="93">
      <formula>L11="Data Not Entered On Set-Up Worksheet"</formula>
    </cfRule>
  </conditionalFormatting>
  <conditionalFormatting sqref="R3">
    <cfRule type="expression" dxfId="619" priority="92">
      <formula>R3="Data Not Entered On Set-Up Worksheet"</formula>
    </cfRule>
  </conditionalFormatting>
  <conditionalFormatting sqref="R9">
    <cfRule type="expression" dxfId="618" priority="91">
      <formula>R9="Data Not Entered On Set-Up Worksheet"</formula>
    </cfRule>
  </conditionalFormatting>
  <conditionalFormatting sqref="R11:R12">
    <cfRule type="expression" dxfId="617" priority="90">
      <formula>R11="Data Not Entered On Set-Up Worksheet"</formula>
    </cfRule>
  </conditionalFormatting>
  <conditionalFormatting sqref="U3">
    <cfRule type="expression" dxfId="616" priority="89">
      <formula>U3="Data Not Entered On Set-Up Worksheet"</formula>
    </cfRule>
  </conditionalFormatting>
  <conditionalFormatting sqref="U9">
    <cfRule type="expression" dxfId="615" priority="88">
      <formula>U9="Data Not Entered On Set-Up Worksheet"</formula>
    </cfRule>
  </conditionalFormatting>
  <conditionalFormatting sqref="U11:U12">
    <cfRule type="expression" dxfId="614" priority="87">
      <formula>U11="Data Not Entered On Set-Up Worksheet"</formula>
    </cfRule>
  </conditionalFormatting>
  <conditionalFormatting sqref="X3">
    <cfRule type="expression" dxfId="613" priority="86">
      <formula>X3="Data Not Entered On Set-Up Worksheet"</formula>
    </cfRule>
  </conditionalFormatting>
  <conditionalFormatting sqref="X9">
    <cfRule type="expression" dxfId="612" priority="85">
      <formula>X9="Data Not Entered On Set-Up Worksheet"</formula>
    </cfRule>
  </conditionalFormatting>
  <conditionalFormatting sqref="X11:X12">
    <cfRule type="expression" dxfId="611" priority="84">
      <formula>X11="Data Not Entered On Set-Up Worksheet"</formula>
    </cfRule>
  </conditionalFormatting>
  <conditionalFormatting sqref="E17:F39 E42:F42">
    <cfRule type="expression" dxfId="610" priority="26">
      <formula>$A17="Other"</formula>
    </cfRule>
    <cfRule type="expression" dxfId="609" priority="80">
      <formula>AND($A17&lt;&gt;"",E17="")</formula>
    </cfRule>
  </conditionalFormatting>
  <conditionalFormatting sqref="H17:I39 H42:I42">
    <cfRule type="expression" dxfId="608" priority="25">
      <formula>$A17="Other"</formula>
    </cfRule>
    <cfRule type="expression" dxfId="607" priority="79">
      <formula>AND($A17&lt;&gt;"",H17="")</formula>
    </cfRule>
  </conditionalFormatting>
  <conditionalFormatting sqref="Q17:R39 Q42:R42">
    <cfRule type="expression" dxfId="606" priority="78">
      <formula>AND($A17&lt;&gt;"",Q17="")</formula>
    </cfRule>
  </conditionalFormatting>
  <conditionalFormatting sqref="T17:U39 T42:U42">
    <cfRule type="expression" dxfId="605" priority="77">
      <formula>AND($A17&lt;&gt;"",T17="")</formula>
    </cfRule>
  </conditionalFormatting>
  <conditionalFormatting sqref="W17:X39 W42:X42">
    <cfRule type="expression" dxfId="604" priority="76">
      <formula>AND($A17&lt;&gt;"",W17="")</formula>
    </cfRule>
  </conditionalFormatting>
  <conditionalFormatting sqref="AA3">
    <cfRule type="expression" dxfId="603" priority="74">
      <formula>AA3="Data Not Entered On Set-Up Worksheet"</formula>
    </cfRule>
  </conditionalFormatting>
  <conditionalFormatting sqref="AG3">
    <cfRule type="expression" dxfId="602" priority="71">
      <formula>AG3="Data Not Entered On Set-Up Worksheet"</formula>
    </cfRule>
  </conditionalFormatting>
  <conditionalFormatting sqref="AA9">
    <cfRule type="expression" dxfId="601" priority="73">
      <formula>AA9="Data Not Entered On Set-Up Worksheet"</formula>
    </cfRule>
  </conditionalFormatting>
  <conditionalFormatting sqref="AA11:AA12">
    <cfRule type="expression" dxfId="600" priority="72">
      <formula>AA11="Data Not Entered On Set-Up Worksheet"</formula>
    </cfRule>
  </conditionalFormatting>
  <conditionalFormatting sqref="AJ3">
    <cfRule type="expression" dxfId="599" priority="68">
      <formula>AJ3="Data Not Entered On Set-Up Worksheet"</formula>
    </cfRule>
  </conditionalFormatting>
  <conditionalFormatting sqref="AG9">
    <cfRule type="expression" dxfId="598" priority="70">
      <formula>AG9="Data Not Entered On Set-Up Worksheet"</formula>
    </cfRule>
  </conditionalFormatting>
  <conditionalFormatting sqref="AG11:AG12">
    <cfRule type="expression" dxfId="597" priority="69">
      <formula>AG11="Data Not Entered On Set-Up Worksheet"</formula>
    </cfRule>
  </conditionalFormatting>
  <conditionalFormatting sqref="AM3">
    <cfRule type="expression" dxfId="596" priority="65">
      <formula>AM3="Data Not Entered On Set-Up Worksheet"</formula>
    </cfRule>
  </conditionalFormatting>
  <conditionalFormatting sqref="AJ9">
    <cfRule type="expression" dxfId="595" priority="67">
      <formula>AJ9="Data Not Entered On Set-Up Worksheet"</formula>
    </cfRule>
  </conditionalFormatting>
  <conditionalFormatting sqref="AJ11:AJ12">
    <cfRule type="expression" dxfId="594" priority="66">
      <formula>AJ11="Data Not Entered On Set-Up Worksheet"</formula>
    </cfRule>
  </conditionalFormatting>
  <conditionalFormatting sqref="AM9">
    <cfRule type="expression" dxfId="593" priority="64">
      <formula>AM9="Data Not Entered On Set-Up Worksheet"</formula>
    </cfRule>
  </conditionalFormatting>
  <conditionalFormatting sqref="AM11:AM12">
    <cfRule type="expression" dxfId="592" priority="63">
      <formula>AM11="Data Not Entered On Set-Up Worksheet"</formula>
    </cfRule>
  </conditionalFormatting>
  <conditionalFormatting sqref="AF17:AG39 AF42:AG42">
    <cfRule type="expression" dxfId="591" priority="62">
      <formula>AND($A17&lt;&gt;"",AF17="")</formula>
    </cfRule>
  </conditionalFormatting>
  <conditionalFormatting sqref="AI17:AJ39 AI42:AJ42">
    <cfRule type="expression" dxfId="590" priority="61">
      <formula>AND($A17&lt;&gt;"",AI17="")</formula>
    </cfRule>
  </conditionalFormatting>
  <conditionalFormatting sqref="AL17:AM39 AL42:AM42">
    <cfRule type="expression" dxfId="589" priority="60">
      <formula>AND($A17&lt;&gt;"",AL17="")</formula>
    </cfRule>
  </conditionalFormatting>
  <conditionalFormatting sqref="AP3">
    <cfRule type="expression" dxfId="588" priority="59">
      <formula>AP3="Data Not Entered On Set-Up Worksheet"</formula>
    </cfRule>
  </conditionalFormatting>
  <conditionalFormatting sqref="AP9">
    <cfRule type="expression" dxfId="587" priority="58">
      <formula>AP9="Data Not Entered On Set-Up Worksheet"</formula>
    </cfRule>
  </conditionalFormatting>
  <conditionalFormatting sqref="AP11:AP12">
    <cfRule type="expression" dxfId="586" priority="57">
      <formula>AP11="Data Not Entered On Set-Up Worksheet"</formula>
    </cfRule>
  </conditionalFormatting>
  <conditionalFormatting sqref="F10:F11">
    <cfRule type="expression" dxfId="585" priority="47">
      <formula>F10="Data Not Entered On Set-Up Worksheet"</formula>
    </cfRule>
  </conditionalFormatting>
  <conditionalFormatting sqref="C11">
    <cfRule type="expression" dxfId="584" priority="46">
      <formula>C11="Data Not Entered On Set-Up Worksheet"</formula>
    </cfRule>
  </conditionalFormatting>
  <conditionalFormatting sqref="O3">
    <cfRule type="expression" dxfId="583" priority="45">
      <formula>O3="Data Not Entered On Set-Up Worksheet"</formula>
    </cfRule>
  </conditionalFormatting>
  <conditionalFormatting sqref="O9">
    <cfRule type="expression" dxfId="582" priority="44">
      <formula>O9="Data Not Entered On Set-Up Worksheet"</formula>
    </cfRule>
  </conditionalFormatting>
  <conditionalFormatting sqref="O11:O12">
    <cfRule type="expression" dxfId="581" priority="43">
      <formula>O11="Data Not Entered On Set-Up Worksheet"</formula>
    </cfRule>
  </conditionalFormatting>
  <conditionalFormatting sqref="AD3">
    <cfRule type="expression" dxfId="580" priority="42">
      <formula>AD3="Data Not Entered On Set-Up Worksheet"</formula>
    </cfRule>
  </conditionalFormatting>
  <conditionalFormatting sqref="AD9">
    <cfRule type="expression" dxfId="579" priority="41">
      <formula>AD9="Data Not Entered On Set-Up Worksheet"</formula>
    </cfRule>
  </conditionalFormatting>
  <conditionalFormatting sqref="AD11:AD12">
    <cfRule type="expression" dxfId="578" priority="40">
      <formula>AD11="Data Not Entered On Set-Up Worksheet"</formula>
    </cfRule>
  </conditionalFormatting>
  <conditionalFormatting sqref="AS3">
    <cfRule type="expression" dxfId="577" priority="39">
      <formula>AS3="Data Not Entered On Set-Up Worksheet"</formula>
    </cfRule>
  </conditionalFormatting>
  <conditionalFormatting sqref="AS9">
    <cfRule type="expression" dxfId="576" priority="38">
      <formula>AS9="Data Not Entered On Set-Up Worksheet"</formula>
    </cfRule>
  </conditionalFormatting>
  <conditionalFormatting sqref="AS11:AS12">
    <cfRule type="expression" dxfId="575" priority="37">
      <formula>AS11="Data Not Entered On Set-Up Worksheet"</formula>
    </cfRule>
  </conditionalFormatting>
  <conditionalFormatting sqref="B40:C40">
    <cfRule type="expression" dxfId="574" priority="15">
      <formula>$A40="Other"</formula>
    </cfRule>
    <cfRule type="expression" dxfId="573" priority="24">
      <formula>AND($A40&lt;&gt;"",B40="")</formula>
    </cfRule>
  </conditionalFormatting>
  <conditionalFormatting sqref="E40:F40">
    <cfRule type="expression" dxfId="572" priority="14">
      <formula>$A40="Other"</formula>
    </cfRule>
    <cfRule type="expression" dxfId="571" priority="23">
      <formula>AND($A40&lt;&gt;"",E40="")</formula>
    </cfRule>
  </conditionalFormatting>
  <conditionalFormatting sqref="H40:I40">
    <cfRule type="expression" dxfId="570" priority="13">
      <formula>$A40="Other"</formula>
    </cfRule>
    <cfRule type="expression" dxfId="569" priority="22">
      <formula>AND($A40&lt;&gt;"",H40="")</formula>
    </cfRule>
  </conditionalFormatting>
  <conditionalFormatting sqref="Q40:R40">
    <cfRule type="expression" dxfId="568" priority="21">
      <formula>AND($A40&lt;&gt;"",Q40="")</formula>
    </cfRule>
  </conditionalFormatting>
  <conditionalFormatting sqref="T40:U40">
    <cfRule type="expression" dxfId="567" priority="20">
      <formula>AND($A40&lt;&gt;"",T40="")</formula>
    </cfRule>
  </conditionalFormatting>
  <conditionalFormatting sqref="W40:X40">
    <cfRule type="expression" dxfId="566" priority="19">
      <formula>AND($A40&lt;&gt;"",W40="")</formula>
    </cfRule>
  </conditionalFormatting>
  <conditionalFormatting sqref="AF40:AG40">
    <cfRule type="expression" dxfId="565" priority="18">
      <formula>AND($A40&lt;&gt;"",AF40="")</formula>
    </cfRule>
  </conditionalFormatting>
  <conditionalFormatting sqref="AI40:AJ40">
    <cfRule type="expression" dxfId="564" priority="17">
      <formula>AND($A40&lt;&gt;"",AI40="")</formula>
    </cfRule>
  </conditionalFormatting>
  <conditionalFormatting sqref="AL40:AM40">
    <cfRule type="expression" dxfId="563" priority="16">
      <formula>AND($A40&lt;&gt;"",AL40="")</formula>
    </cfRule>
  </conditionalFormatting>
  <conditionalFormatting sqref="B41:C41">
    <cfRule type="expression" dxfId="562" priority="3">
      <formula>$A41="Other"</formula>
    </cfRule>
    <cfRule type="expression" dxfId="561" priority="12">
      <formula>AND($A41&lt;&gt;"",B41="")</formula>
    </cfRule>
  </conditionalFormatting>
  <conditionalFormatting sqref="E41:F41">
    <cfRule type="expression" dxfId="560" priority="2">
      <formula>$A41="Other"</formula>
    </cfRule>
    <cfRule type="expression" dxfId="559" priority="11">
      <formula>AND($A41&lt;&gt;"",E41="")</formula>
    </cfRule>
  </conditionalFormatting>
  <conditionalFormatting sqref="H41:I41">
    <cfRule type="expression" dxfId="558" priority="1">
      <formula>$A41="Other"</formula>
    </cfRule>
    <cfRule type="expression" dxfId="557" priority="10">
      <formula>AND($A41&lt;&gt;"",H41="")</formula>
    </cfRule>
  </conditionalFormatting>
  <conditionalFormatting sqref="Q41:R41">
    <cfRule type="expression" dxfId="556" priority="9">
      <formula>AND($A41&lt;&gt;"",Q41="")</formula>
    </cfRule>
  </conditionalFormatting>
  <conditionalFormatting sqref="T41:U41">
    <cfRule type="expression" dxfId="555" priority="8">
      <formula>AND($A41&lt;&gt;"",T41="")</formula>
    </cfRule>
  </conditionalFormatting>
  <conditionalFormatting sqref="W41:X41">
    <cfRule type="expression" dxfId="554" priority="7">
      <formula>AND($A41&lt;&gt;"",W41="")</formula>
    </cfRule>
  </conditionalFormatting>
  <conditionalFormatting sqref="AF41:AG41">
    <cfRule type="expression" dxfId="553" priority="6">
      <formula>AND($A41&lt;&gt;"",AF41="")</formula>
    </cfRule>
  </conditionalFormatting>
  <conditionalFormatting sqref="AI41:AJ41">
    <cfRule type="expression" dxfId="552" priority="5">
      <formula>AND($A41&lt;&gt;"",AI41="")</formula>
    </cfRule>
  </conditionalFormatting>
  <conditionalFormatting sqref="AL41:AM41">
    <cfRule type="expression" dxfId="551" priority="4">
      <formula>AND($A41&lt;&gt;"",AL41="")</formula>
    </cfRule>
  </conditionalFormatting>
  <pageMargins left="0.5" right="0.5" top="0.5" bottom="0.5" header="0.3" footer="0.3"/>
  <pageSetup scale="53" orientation="landscape" r:id="rId1"/>
  <headerFooter>
    <oddFooter>&amp;LNC DHHS LME-MCO Performance Measures Report Part II DMH/DD/SAS Measures&amp;C&amp;P&amp;R&amp;F</oddFooter>
  </headerFooter>
  <colBreaks count="2" manualBreakCount="2">
    <brk id="16" max="1048575" man="1"/>
    <brk id="31"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BF43"/>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x14ac:dyDescent="0.2"/>
  <cols>
    <col min="1" max="1" width="22.42578125" style="22" customWidth="1"/>
    <col min="2" max="46" width="14.7109375" style="22" customWidth="1"/>
    <col min="47" max="47" width="8.85546875" style="22" bestFit="1" customWidth="1"/>
    <col min="48" max="16384" width="9.140625" style="22"/>
  </cols>
  <sheetData>
    <row r="1" spans="1:58" ht="15" customHeight="1" x14ac:dyDescent="0.2">
      <c r="A1" s="36" t="s">
        <v>28</v>
      </c>
      <c r="N1" s="30"/>
      <c r="Q1" s="30" t="s">
        <v>329</v>
      </c>
      <c r="AC1" s="30"/>
      <c r="AF1" s="30" t="s">
        <v>329</v>
      </c>
      <c r="AR1" s="30"/>
    </row>
    <row r="2" spans="1:58" ht="15" customHeight="1" x14ac:dyDescent="0.2">
      <c r="A2" s="36" t="s">
        <v>196</v>
      </c>
      <c r="N2" s="321"/>
      <c r="Q2" s="321" t="s">
        <v>330</v>
      </c>
      <c r="AC2" s="321"/>
      <c r="AF2" s="321" t="s">
        <v>330</v>
      </c>
      <c r="AR2" s="321"/>
    </row>
    <row r="3" spans="1:58" ht="15" customHeight="1" x14ac:dyDescent="0.2">
      <c r="A3" s="30" t="s">
        <v>194</v>
      </c>
      <c r="C3" s="147">
        <f>IF('Set-Up Worksheet'!F3="","Data Not Entered On Set-Up Worksheet",'Set-Up Worksheet'!F3)</f>
        <v>2018</v>
      </c>
      <c r="F3" s="38"/>
      <c r="I3" s="38"/>
      <c r="L3" s="38"/>
      <c r="O3" s="147"/>
      <c r="R3" s="147">
        <f t="shared" ref="R3:R11" si="0">C3</f>
        <v>2018</v>
      </c>
      <c r="U3" s="38"/>
      <c r="X3" s="38"/>
      <c r="AA3" s="38"/>
      <c r="AD3" s="147"/>
      <c r="AG3" s="147">
        <f t="shared" ref="AG3:AG11" si="1">C3</f>
        <v>2018</v>
      </c>
      <c r="AJ3" s="38"/>
      <c r="AM3" s="38"/>
      <c r="AP3" s="38"/>
      <c r="AS3" s="147"/>
    </row>
    <row r="4" spans="1:58" ht="15" customHeight="1" x14ac:dyDescent="0.2">
      <c r="A4" s="30" t="s">
        <v>195</v>
      </c>
      <c r="C4" s="147" t="str">
        <f>IF('Set-Up Worksheet'!F4="","Data Not Entered On Set-Up Worksheet",'Set-Up Worksheet'!F4)</f>
        <v>1st Quarter</v>
      </c>
      <c r="F4" s="32"/>
      <c r="I4" s="32"/>
      <c r="L4" s="32"/>
      <c r="O4" s="147"/>
      <c r="R4" s="147" t="str">
        <f t="shared" si="0"/>
        <v>1st Quarter</v>
      </c>
      <c r="U4" s="32"/>
      <c r="X4" s="32"/>
      <c r="AA4" s="32"/>
      <c r="AD4" s="147"/>
      <c r="AG4" s="147" t="str">
        <f t="shared" si="1"/>
        <v>1st Quarter</v>
      </c>
      <c r="AJ4" s="32"/>
      <c r="AM4" s="32"/>
      <c r="AP4" s="32"/>
      <c r="AS4" s="147"/>
    </row>
    <row r="5" spans="1:58" ht="15" customHeight="1" x14ac:dyDescent="0.2">
      <c r="A5" s="30"/>
      <c r="C5" s="32"/>
      <c r="F5" s="32"/>
      <c r="I5" s="32"/>
      <c r="L5" s="32"/>
      <c r="O5" s="39"/>
      <c r="R5" s="39"/>
      <c r="U5" s="32"/>
      <c r="X5" s="32"/>
      <c r="AA5" s="32"/>
      <c r="AD5" s="39"/>
      <c r="AG5" s="39"/>
      <c r="AJ5" s="32"/>
      <c r="AM5" s="32"/>
      <c r="AP5" s="32"/>
      <c r="AS5" s="39"/>
    </row>
    <row r="6" spans="1:58" ht="15" customHeight="1" x14ac:dyDescent="0.2">
      <c r="A6" s="30" t="s">
        <v>337</v>
      </c>
      <c r="C6" s="32"/>
      <c r="F6" s="32"/>
      <c r="I6" s="32"/>
      <c r="L6" s="32"/>
      <c r="N6" s="30"/>
      <c r="O6" s="39"/>
      <c r="Q6" s="30" t="s">
        <v>344</v>
      </c>
      <c r="R6" s="39"/>
      <c r="U6" s="32"/>
      <c r="X6" s="32"/>
      <c r="AA6" s="32"/>
      <c r="AC6" s="30"/>
      <c r="AD6" s="39"/>
      <c r="AF6" s="30" t="s">
        <v>344</v>
      </c>
      <c r="AG6" s="39"/>
      <c r="AJ6" s="32"/>
      <c r="AM6" s="32"/>
      <c r="AP6" s="32"/>
      <c r="AR6" s="30"/>
      <c r="AS6" s="39"/>
    </row>
    <row r="7" spans="1:58" ht="15" customHeight="1" x14ac:dyDescent="0.2">
      <c r="A7" s="30" t="s">
        <v>345</v>
      </c>
      <c r="C7" s="32"/>
      <c r="F7" s="32"/>
      <c r="I7" s="32"/>
      <c r="L7" s="32"/>
      <c r="N7" s="321"/>
      <c r="O7" s="39"/>
      <c r="Q7" s="321" t="s">
        <v>346</v>
      </c>
      <c r="R7" s="39"/>
      <c r="U7" s="32"/>
      <c r="X7" s="32"/>
      <c r="AA7" s="32"/>
      <c r="AC7" s="321"/>
      <c r="AD7" s="39"/>
      <c r="AF7" s="321" t="s">
        <v>346</v>
      </c>
      <c r="AG7" s="39"/>
      <c r="AJ7" s="32"/>
      <c r="AM7" s="32"/>
      <c r="AP7" s="32"/>
      <c r="AR7" s="321"/>
      <c r="AS7" s="39"/>
    </row>
    <row r="8" spans="1:58" ht="15" customHeight="1" x14ac:dyDescent="0.2">
      <c r="A8" s="30"/>
      <c r="C8" s="32"/>
      <c r="F8" s="32"/>
      <c r="I8" s="32"/>
      <c r="L8" s="32"/>
      <c r="O8" s="39"/>
      <c r="R8" s="39"/>
      <c r="U8" s="32"/>
      <c r="X8" s="32"/>
      <c r="AA8" s="32"/>
      <c r="AD8" s="39"/>
      <c r="AG8" s="39"/>
      <c r="AJ8" s="32"/>
      <c r="AM8" s="32"/>
      <c r="AP8" s="32"/>
      <c r="AS8" s="39"/>
      <c r="AX8" s="54"/>
      <c r="AY8" s="54"/>
      <c r="AZ8" s="55"/>
      <c r="BA8" s="54"/>
      <c r="BB8" s="54"/>
      <c r="BC8" s="54"/>
      <c r="BD8" s="54"/>
      <c r="BE8" s="30"/>
      <c r="BF8" s="35"/>
    </row>
    <row r="9" spans="1:58" ht="15" customHeight="1" x14ac:dyDescent="0.2">
      <c r="A9" s="30" t="s">
        <v>29</v>
      </c>
      <c r="C9" s="39" t="str">
        <f>IF('Set-Up Worksheet'!E7="","Data Not Entered On Set-Up Worksheet",'Set-Up Worksheet'!E7)</f>
        <v>Data Not Entered On Set-Up Worksheet</v>
      </c>
      <c r="I9" s="39"/>
      <c r="L9" s="39"/>
      <c r="O9" s="39"/>
      <c r="R9" s="39" t="str">
        <f t="shared" si="0"/>
        <v>Data Not Entered On Set-Up Worksheet</v>
      </c>
      <c r="U9" s="39"/>
      <c r="X9" s="39"/>
      <c r="AA9" s="39"/>
      <c r="AD9" s="39"/>
      <c r="AG9" s="39" t="str">
        <f t="shared" si="1"/>
        <v>Data Not Entered On Set-Up Worksheet</v>
      </c>
      <c r="AJ9" s="39"/>
      <c r="AM9" s="39"/>
      <c r="AP9" s="39"/>
      <c r="AS9" s="39"/>
    </row>
    <row r="10" spans="1:58" ht="15" customHeight="1" x14ac:dyDescent="0.2">
      <c r="A10" s="30" t="s">
        <v>9</v>
      </c>
      <c r="C10" s="32" t="s">
        <v>10</v>
      </c>
      <c r="F10" s="79" t="s">
        <v>444</v>
      </c>
      <c r="I10" s="32"/>
      <c r="L10" s="32"/>
      <c r="O10" s="39"/>
      <c r="R10" s="39" t="str">
        <f t="shared" si="0"/>
        <v>Behavioral Health</v>
      </c>
      <c r="U10" s="32"/>
      <c r="X10" s="32"/>
      <c r="AA10" s="32"/>
      <c r="AD10" s="39"/>
      <c r="AG10" s="39" t="str">
        <f t="shared" si="1"/>
        <v>Behavioral Health</v>
      </c>
      <c r="AJ10" s="32"/>
      <c r="AM10" s="32"/>
      <c r="AP10" s="32"/>
      <c r="AS10" s="39"/>
    </row>
    <row r="11" spans="1:58" ht="15" customHeight="1" x14ac:dyDescent="0.2">
      <c r="A11" s="30" t="s">
        <v>197</v>
      </c>
      <c r="C11" s="40" t="str">
        <f>IF(C4="Data Not Entered On Set-Up Worksheet","Data Not Entered On Set-Up Worksheet",IF(C4="1st Quarter",'Report Schedule'!D31,IF(C4="2nd Quarter",'Report Schedule'!E31,IF(C4="3rd Quarter",'Report Schedule'!F31,IF(C4="4th Quarter",'Report Schedule'!G31,"")))))</f>
        <v>Apr - Jun 2017</v>
      </c>
      <c r="F11" s="79"/>
      <c r="I11" s="40"/>
      <c r="L11" s="40"/>
      <c r="O11" s="40"/>
      <c r="R11" s="40" t="str">
        <f t="shared" si="0"/>
        <v>Apr - Jun 2017</v>
      </c>
      <c r="U11" s="40"/>
      <c r="X11" s="40"/>
      <c r="AA11" s="40"/>
      <c r="AD11" s="40"/>
      <c r="AG11" s="40" t="str">
        <f t="shared" si="1"/>
        <v>Apr - Jun 2017</v>
      </c>
      <c r="AJ11" s="40"/>
      <c r="AM11" s="40"/>
      <c r="AP11" s="40"/>
      <c r="AS11" s="40"/>
    </row>
    <row r="12" spans="1:58" ht="15" customHeight="1" thickBot="1" x14ac:dyDescent="0.25">
      <c r="A12" s="30"/>
      <c r="C12" s="40"/>
      <c r="F12" s="79"/>
      <c r="I12" s="40"/>
      <c r="L12" s="40"/>
      <c r="O12" s="40"/>
      <c r="R12" s="40"/>
      <c r="U12" s="40"/>
      <c r="X12" s="40"/>
      <c r="AA12" s="40"/>
      <c r="AD12" s="40"/>
      <c r="AG12" s="40"/>
      <c r="AJ12" s="40"/>
      <c r="AM12" s="40"/>
      <c r="AP12" s="40"/>
      <c r="AS12" s="40"/>
    </row>
    <row r="13" spans="1:58" ht="18" customHeight="1" thickBot="1" x14ac:dyDescent="0.25">
      <c r="A13" s="226" t="s">
        <v>242</v>
      </c>
      <c r="B13" s="384" t="s">
        <v>39</v>
      </c>
      <c r="C13" s="235"/>
      <c r="D13" s="235"/>
      <c r="E13" s="315"/>
      <c r="F13" s="235"/>
      <c r="G13" s="235"/>
      <c r="H13" s="235"/>
      <c r="I13" s="235"/>
      <c r="J13" s="235"/>
      <c r="K13" s="235"/>
      <c r="L13" s="235"/>
      <c r="M13" s="235"/>
      <c r="N13" s="315"/>
      <c r="O13" s="235"/>
      <c r="P13" s="236"/>
      <c r="Q13" s="383" t="s">
        <v>241</v>
      </c>
      <c r="R13" s="231"/>
      <c r="S13" s="231"/>
      <c r="T13" s="82"/>
      <c r="U13" s="231"/>
      <c r="V13" s="231"/>
      <c r="W13" s="231"/>
      <c r="X13" s="231"/>
      <c r="Y13" s="231"/>
      <c r="Z13" s="231"/>
      <c r="AA13" s="231"/>
      <c r="AB13" s="231"/>
      <c r="AC13" s="82"/>
      <c r="AD13" s="231"/>
      <c r="AE13" s="232"/>
      <c r="AF13" s="384" t="s">
        <v>342</v>
      </c>
      <c r="AG13" s="235"/>
      <c r="AH13" s="235"/>
      <c r="AI13" s="315"/>
      <c r="AJ13" s="235"/>
      <c r="AK13" s="235"/>
      <c r="AL13" s="235"/>
      <c r="AM13" s="235"/>
      <c r="AN13" s="235"/>
      <c r="AO13" s="235"/>
      <c r="AP13" s="235"/>
      <c r="AQ13" s="235"/>
      <c r="AR13" s="315"/>
      <c r="AS13" s="235"/>
      <c r="AT13" s="236"/>
    </row>
    <row r="14" spans="1:58" s="35" customFormat="1" ht="18" customHeight="1" thickBot="1" x14ac:dyDescent="0.25">
      <c r="A14" s="233" t="s">
        <v>252</v>
      </c>
      <c r="B14" s="234" t="s">
        <v>246</v>
      </c>
      <c r="C14" s="237"/>
      <c r="D14" s="238"/>
      <c r="E14" s="234" t="s">
        <v>146</v>
      </c>
      <c r="F14" s="237"/>
      <c r="G14" s="238"/>
      <c r="H14" s="234" t="s">
        <v>247</v>
      </c>
      <c r="I14" s="237"/>
      <c r="J14" s="238"/>
      <c r="K14" s="234" t="s">
        <v>250</v>
      </c>
      <c r="L14" s="237"/>
      <c r="M14" s="238"/>
      <c r="N14" s="234" t="s">
        <v>147</v>
      </c>
      <c r="O14" s="237"/>
      <c r="P14" s="238"/>
      <c r="Q14" s="63" t="s">
        <v>246</v>
      </c>
      <c r="R14" s="64"/>
      <c r="S14" s="65"/>
      <c r="T14" s="63" t="s">
        <v>146</v>
      </c>
      <c r="U14" s="64"/>
      <c r="V14" s="65"/>
      <c r="W14" s="63" t="s">
        <v>247</v>
      </c>
      <c r="X14" s="64"/>
      <c r="Y14" s="65"/>
      <c r="Z14" s="63" t="s">
        <v>250</v>
      </c>
      <c r="AA14" s="64"/>
      <c r="AB14" s="65"/>
      <c r="AC14" s="63" t="s">
        <v>147</v>
      </c>
      <c r="AD14" s="64"/>
      <c r="AE14" s="65"/>
      <c r="AF14" s="234" t="s">
        <v>246</v>
      </c>
      <c r="AG14" s="237"/>
      <c r="AH14" s="238"/>
      <c r="AI14" s="234" t="s">
        <v>146</v>
      </c>
      <c r="AJ14" s="237"/>
      <c r="AK14" s="238"/>
      <c r="AL14" s="234" t="s">
        <v>247</v>
      </c>
      <c r="AM14" s="237"/>
      <c r="AN14" s="238"/>
      <c r="AO14" s="234" t="s">
        <v>250</v>
      </c>
      <c r="AP14" s="237"/>
      <c r="AQ14" s="238"/>
      <c r="AR14" s="234" t="s">
        <v>147</v>
      </c>
      <c r="AS14" s="237"/>
      <c r="AT14" s="238"/>
    </row>
    <row r="15" spans="1:58" s="35" customFormat="1" ht="13.5" thickBot="1" x14ac:dyDescent="0.25">
      <c r="A15" s="30"/>
      <c r="B15" s="56" t="s">
        <v>3</v>
      </c>
      <c r="C15" s="57" t="s">
        <v>4</v>
      </c>
      <c r="D15" s="58" t="s">
        <v>5</v>
      </c>
      <c r="E15" s="56" t="s">
        <v>3</v>
      </c>
      <c r="F15" s="57" t="s">
        <v>4</v>
      </c>
      <c r="G15" s="58" t="s">
        <v>5</v>
      </c>
      <c r="H15" s="56" t="s">
        <v>3</v>
      </c>
      <c r="I15" s="57" t="s">
        <v>4</v>
      </c>
      <c r="J15" s="58" t="s">
        <v>5</v>
      </c>
      <c r="K15" s="56" t="s">
        <v>3</v>
      </c>
      <c r="L15" s="57" t="s">
        <v>4</v>
      </c>
      <c r="M15" s="58" t="s">
        <v>5</v>
      </c>
      <c r="N15" s="56" t="s">
        <v>3</v>
      </c>
      <c r="O15" s="57" t="s">
        <v>4</v>
      </c>
      <c r="P15" s="58" t="s">
        <v>5</v>
      </c>
      <c r="Q15" s="56" t="s">
        <v>3</v>
      </c>
      <c r="R15" s="57" t="s">
        <v>4</v>
      </c>
      <c r="S15" s="58" t="s">
        <v>5</v>
      </c>
      <c r="T15" s="56" t="s">
        <v>3</v>
      </c>
      <c r="U15" s="57" t="s">
        <v>4</v>
      </c>
      <c r="V15" s="58" t="s">
        <v>5</v>
      </c>
      <c r="W15" s="56" t="s">
        <v>3</v>
      </c>
      <c r="X15" s="57" t="s">
        <v>4</v>
      </c>
      <c r="Y15" s="58" t="s">
        <v>5</v>
      </c>
      <c r="Z15" s="56" t="s">
        <v>3</v>
      </c>
      <c r="AA15" s="57" t="s">
        <v>4</v>
      </c>
      <c r="AB15" s="58" t="s">
        <v>5</v>
      </c>
      <c r="AC15" s="56" t="s">
        <v>3</v>
      </c>
      <c r="AD15" s="57" t="s">
        <v>4</v>
      </c>
      <c r="AE15" s="58" t="s">
        <v>5</v>
      </c>
      <c r="AF15" s="56" t="s">
        <v>3</v>
      </c>
      <c r="AG15" s="57" t="s">
        <v>4</v>
      </c>
      <c r="AH15" s="58" t="s">
        <v>5</v>
      </c>
      <c r="AI15" s="56" t="s">
        <v>3</v>
      </c>
      <c r="AJ15" s="57" t="s">
        <v>4</v>
      </c>
      <c r="AK15" s="58" t="s">
        <v>5</v>
      </c>
      <c r="AL15" s="56" t="s">
        <v>3</v>
      </c>
      <c r="AM15" s="57" t="s">
        <v>4</v>
      </c>
      <c r="AN15" s="58" t="s">
        <v>5</v>
      </c>
      <c r="AO15" s="56" t="s">
        <v>3</v>
      </c>
      <c r="AP15" s="57" t="s">
        <v>4</v>
      </c>
      <c r="AQ15" s="58" t="s">
        <v>5</v>
      </c>
      <c r="AR15" s="56" t="s">
        <v>3</v>
      </c>
      <c r="AS15" s="57" t="s">
        <v>4</v>
      </c>
      <c r="AT15" s="58" t="s">
        <v>5</v>
      </c>
      <c r="AU15" s="33"/>
      <c r="AV15" s="30"/>
      <c r="AW15" s="30"/>
      <c r="AX15" s="30"/>
      <c r="AY15" s="30"/>
      <c r="AZ15" s="30"/>
    </row>
    <row r="16" spans="1:58" ht="39.950000000000003" customHeight="1" x14ac:dyDescent="0.2">
      <c r="A16" s="75" t="s">
        <v>43</v>
      </c>
      <c r="B16" s="239" t="s">
        <v>419</v>
      </c>
      <c r="C16" s="240" t="s">
        <v>41</v>
      </c>
      <c r="D16" s="241" t="s">
        <v>11</v>
      </c>
      <c r="E16" s="239" t="s">
        <v>419</v>
      </c>
      <c r="F16" s="240" t="s">
        <v>41</v>
      </c>
      <c r="G16" s="241" t="s">
        <v>11</v>
      </c>
      <c r="H16" s="239" t="s">
        <v>419</v>
      </c>
      <c r="I16" s="240" t="s">
        <v>41</v>
      </c>
      <c r="J16" s="241" t="s">
        <v>11</v>
      </c>
      <c r="K16" s="239" t="s">
        <v>419</v>
      </c>
      <c r="L16" s="240" t="s">
        <v>41</v>
      </c>
      <c r="M16" s="241" t="s">
        <v>11</v>
      </c>
      <c r="N16" s="239" t="s">
        <v>419</v>
      </c>
      <c r="O16" s="240" t="s">
        <v>41</v>
      </c>
      <c r="P16" s="241" t="s">
        <v>11</v>
      </c>
      <c r="Q16" s="66" t="s">
        <v>419</v>
      </c>
      <c r="R16" s="67" t="s">
        <v>41</v>
      </c>
      <c r="S16" s="68" t="s">
        <v>11</v>
      </c>
      <c r="T16" s="66" t="s">
        <v>419</v>
      </c>
      <c r="U16" s="67" t="s">
        <v>30</v>
      </c>
      <c r="V16" s="68" t="s">
        <v>11</v>
      </c>
      <c r="W16" s="66" t="s">
        <v>419</v>
      </c>
      <c r="X16" s="67" t="s">
        <v>30</v>
      </c>
      <c r="Y16" s="68" t="s">
        <v>11</v>
      </c>
      <c r="Z16" s="66" t="s">
        <v>419</v>
      </c>
      <c r="AA16" s="67" t="s">
        <v>30</v>
      </c>
      <c r="AB16" s="68" t="s">
        <v>11</v>
      </c>
      <c r="AC16" s="66" t="s">
        <v>419</v>
      </c>
      <c r="AD16" s="67" t="s">
        <v>41</v>
      </c>
      <c r="AE16" s="68" t="s">
        <v>11</v>
      </c>
      <c r="AF16" s="239" t="s">
        <v>419</v>
      </c>
      <c r="AG16" s="240" t="s">
        <v>30</v>
      </c>
      <c r="AH16" s="241" t="s">
        <v>11</v>
      </c>
      <c r="AI16" s="239" t="s">
        <v>419</v>
      </c>
      <c r="AJ16" s="240" t="s">
        <v>30</v>
      </c>
      <c r="AK16" s="241" t="s">
        <v>11</v>
      </c>
      <c r="AL16" s="239" t="s">
        <v>419</v>
      </c>
      <c r="AM16" s="240" t="s">
        <v>30</v>
      </c>
      <c r="AN16" s="241" t="s">
        <v>11</v>
      </c>
      <c r="AO16" s="239" t="s">
        <v>419</v>
      </c>
      <c r="AP16" s="240" t="s">
        <v>30</v>
      </c>
      <c r="AQ16" s="241" t="s">
        <v>11</v>
      </c>
      <c r="AR16" s="239" t="s">
        <v>419</v>
      </c>
      <c r="AS16" s="240" t="s">
        <v>41</v>
      </c>
      <c r="AT16" s="241" t="s">
        <v>11</v>
      </c>
    </row>
    <row r="17" spans="1:46" ht="18" customHeight="1" x14ac:dyDescent="0.2">
      <c r="A17" s="76" t="str">
        <f>IF($C$9="Data Not Entered On Set-Up Worksheet","",IF(OR(VLOOKUP($C$9,County_Lookup,2,FALSE)="",VLOOKUP($C$9,County_Lookup,2,FALSE)=0),"",VLOOKUP($C$9,County_Lookup,2,FALSE)))</f>
        <v/>
      </c>
      <c r="B17" s="69"/>
      <c r="C17" s="61"/>
      <c r="D17" s="324" t="str">
        <f>IF($A17="","",IF(C17=0,0,B17/C17))</f>
        <v/>
      </c>
      <c r="E17" s="69"/>
      <c r="F17" s="61"/>
      <c r="G17" s="324" t="str">
        <f>IF($A17="","",IF(F17=0,0,E17/F17))</f>
        <v/>
      </c>
      <c r="H17" s="69"/>
      <c r="I17" s="61"/>
      <c r="J17" s="324" t="str">
        <f>IF($A17="","",IF(I17=0,0,H17/I17))</f>
        <v/>
      </c>
      <c r="K17" s="74" t="str">
        <f>IF($A17="","",SUM(E17,H17))</f>
        <v/>
      </c>
      <c r="L17" s="62" t="str">
        <f>IF($A17="","",SUM(F17,I17))</f>
        <v/>
      </c>
      <c r="M17" s="324" t="str">
        <f>IF($A17="","",IF(L17=0,0,K17/L17))</f>
        <v/>
      </c>
      <c r="N17" s="74" t="str">
        <f t="shared" ref="N17:N42" si="2">IF($A17="","",SUM(B17,E17,H17))</f>
        <v/>
      </c>
      <c r="O17" s="62" t="str">
        <f t="shared" ref="O17:O42" si="3">IF($A17="","",SUM(C17,F17,I17))</f>
        <v/>
      </c>
      <c r="P17" s="324" t="str">
        <f>IF($A17="","",IF(O17=0,0,N17/O17))</f>
        <v/>
      </c>
      <c r="Q17" s="69"/>
      <c r="R17" s="61"/>
      <c r="S17" s="324" t="str">
        <f>IF($A17="","",IF(R17=0,0,Q17/R17))</f>
        <v/>
      </c>
      <c r="T17" s="69"/>
      <c r="U17" s="61"/>
      <c r="V17" s="324" t="str">
        <f>IF($A17="","",IF(U17=0,0,T17/U17))</f>
        <v/>
      </c>
      <c r="W17" s="69"/>
      <c r="X17" s="61"/>
      <c r="Y17" s="324" t="str">
        <f>IF($A17="","",IF(X17=0,0,W17/X17))</f>
        <v/>
      </c>
      <c r="Z17" s="74" t="str">
        <f>IF($A17="","",SUM(T17,W17))</f>
        <v/>
      </c>
      <c r="AA17" s="62" t="str">
        <f>IF($A17="","",SUM(U17,X17))</f>
        <v/>
      </c>
      <c r="AB17" s="324" t="str">
        <f>IF($A17="","",IF(AA17=0,0,Z17/AA17))</f>
        <v/>
      </c>
      <c r="AC17" s="74" t="str">
        <f t="shared" ref="AC17:AC42" si="4">IF($A17="","",SUM(Q17,T17,W17))</f>
        <v/>
      </c>
      <c r="AD17" s="62" t="str">
        <f t="shared" ref="AD17:AD42" si="5">IF($A17="","",SUM(R17,U17,X17))</f>
        <v/>
      </c>
      <c r="AE17" s="324" t="str">
        <f>IF($A17="","",IF(AD17=0,0,AC17/AD17))</f>
        <v/>
      </c>
      <c r="AF17" s="69"/>
      <c r="AG17" s="61"/>
      <c r="AH17" s="324" t="str">
        <f>IF($A17="","",IF(AG17=0,0,AF17/AG17))</f>
        <v/>
      </c>
      <c r="AI17" s="69"/>
      <c r="AJ17" s="61"/>
      <c r="AK17" s="324" t="str">
        <f>IF($A17="","",IF(AJ17=0,0,AI17/AJ17))</f>
        <v/>
      </c>
      <c r="AL17" s="69"/>
      <c r="AM17" s="61"/>
      <c r="AN17" s="324" t="str">
        <f>IF($A17="","",IF(AM17=0,0,AL17/AM17))</f>
        <v/>
      </c>
      <c r="AO17" s="74" t="str">
        <f>IF($A17="","",SUM(AI17,AL17))</f>
        <v/>
      </c>
      <c r="AP17" s="62" t="str">
        <f>IF($A17="","",SUM(AJ17,AM17))</f>
        <v/>
      </c>
      <c r="AQ17" s="324" t="str">
        <f>IF($A17="","",IF(AP17=0,0,AO17/AP17))</f>
        <v/>
      </c>
      <c r="AR17" s="74" t="str">
        <f t="shared" ref="AR17:AR42" si="6">IF($A17="","",SUM(AF17,AI17,AL17))</f>
        <v/>
      </c>
      <c r="AS17" s="62" t="str">
        <f t="shared" ref="AS17:AS42" si="7">IF($A17="","",SUM(AG17,AJ17,AM17))</f>
        <v/>
      </c>
      <c r="AT17" s="324" t="str">
        <f>IF($A17="","",IF(AS17=0,0,AR17/AS17))</f>
        <v/>
      </c>
    </row>
    <row r="18" spans="1:46" ht="18" customHeight="1" x14ac:dyDescent="0.2">
      <c r="A18" s="77" t="str">
        <f>IF($C$9="Data Not Entered On Set-Up Worksheet","",IF(OR(VLOOKUP($C$9,County_Lookup,3,FALSE)="",VLOOKUP($C$9,County_Lookup,3,FALSE)=0),"",VLOOKUP($C$9,County_Lookup,3,FALSE)))</f>
        <v/>
      </c>
      <c r="B18" s="69"/>
      <c r="C18" s="61"/>
      <c r="D18" s="324" t="str">
        <f t="shared" ref="D18:D42" si="8">IF($A18="","",IF(C18=0,0,B18/C18))</f>
        <v/>
      </c>
      <c r="E18" s="69"/>
      <c r="F18" s="61"/>
      <c r="G18" s="324" t="str">
        <f t="shared" ref="G18:G42" si="9">IF($A18="","",IF(F18=0,0,E18/F18))</f>
        <v/>
      </c>
      <c r="H18" s="69"/>
      <c r="I18" s="61"/>
      <c r="J18" s="324" t="str">
        <f t="shared" ref="J18:J42" si="10">IF($A18="","",IF(I18=0,0,H18/I18))</f>
        <v/>
      </c>
      <c r="K18" s="74" t="str">
        <f t="shared" ref="K18:L42" si="11">IF($A18="","",SUM(E18,H18))</f>
        <v/>
      </c>
      <c r="L18" s="62" t="str">
        <f t="shared" si="11"/>
        <v/>
      </c>
      <c r="M18" s="324" t="str">
        <f t="shared" ref="M18:M42" si="12">IF($A18="","",IF(L18=0,0,K18/L18))</f>
        <v/>
      </c>
      <c r="N18" s="74" t="str">
        <f t="shared" si="2"/>
        <v/>
      </c>
      <c r="O18" s="62" t="str">
        <f t="shared" si="3"/>
        <v/>
      </c>
      <c r="P18" s="324" t="str">
        <f t="shared" ref="P18:P42" si="13">IF($A18="","",IF(O18=0,0,N18/O18))</f>
        <v/>
      </c>
      <c r="Q18" s="69"/>
      <c r="R18" s="61"/>
      <c r="S18" s="324" t="str">
        <f t="shared" ref="S18:S42" si="14">IF($A18="","",IF(R18=0,0,Q18/R18))</f>
        <v/>
      </c>
      <c r="T18" s="69"/>
      <c r="U18" s="61"/>
      <c r="V18" s="324" t="str">
        <f t="shared" ref="V18:V42" si="15">IF($A18="","",IF(U18=0,0,T18/U18))</f>
        <v/>
      </c>
      <c r="W18" s="69"/>
      <c r="X18" s="61"/>
      <c r="Y18" s="324" t="str">
        <f t="shared" ref="Y18:Y42" si="16">IF($A18="","",IF(X18=0,0,W18/X18))</f>
        <v/>
      </c>
      <c r="Z18" s="74" t="str">
        <f t="shared" ref="Z18:AA42" si="17">IF($A18="","",SUM(T18,W18))</f>
        <v/>
      </c>
      <c r="AA18" s="62" t="str">
        <f t="shared" si="17"/>
        <v/>
      </c>
      <c r="AB18" s="324" t="str">
        <f t="shared" ref="AB18:AB42" si="18">IF($A18="","",IF(AA18=0,0,Z18/AA18))</f>
        <v/>
      </c>
      <c r="AC18" s="74" t="str">
        <f t="shared" si="4"/>
        <v/>
      </c>
      <c r="AD18" s="62" t="str">
        <f t="shared" si="5"/>
        <v/>
      </c>
      <c r="AE18" s="324" t="str">
        <f t="shared" ref="AE18:AE42" si="19">IF($A18="","",IF(AD18=0,0,AC18/AD18))</f>
        <v/>
      </c>
      <c r="AF18" s="69"/>
      <c r="AG18" s="61"/>
      <c r="AH18" s="324" t="str">
        <f t="shared" ref="AH18:AH42" si="20">IF($A18="","",IF(AG18=0,0,AF18/AG18))</f>
        <v/>
      </c>
      <c r="AI18" s="69"/>
      <c r="AJ18" s="61"/>
      <c r="AK18" s="324" t="str">
        <f t="shared" ref="AK18:AK42" si="21">IF($A18="","",IF(AJ18=0,0,AI18/AJ18))</f>
        <v/>
      </c>
      <c r="AL18" s="69"/>
      <c r="AM18" s="61"/>
      <c r="AN18" s="324" t="str">
        <f t="shared" ref="AN18:AN42" si="22">IF($A18="","",IF(AM18=0,0,AL18/AM18))</f>
        <v/>
      </c>
      <c r="AO18" s="74" t="str">
        <f t="shared" ref="AO18:AP42" si="23">IF($A18="","",SUM(AI18,AL18))</f>
        <v/>
      </c>
      <c r="AP18" s="62" t="str">
        <f t="shared" si="23"/>
        <v/>
      </c>
      <c r="AQ18" s="324" t="str">
        <f t="shared" ref="AQ18:AQ42" si="24">IF($A18="","",IF(AP18=0,0,AO18/AP18))</f>
        <v/>
      </c>
      <c r="AR18" s="74" t="str">
        <f t="shared" si="6"/>
        <v/>
      </c>
      <c r="AS18" s="62" t="str">
        <f t="shared" si="7"/>
        <v/>
      </c>
      <c r="AT18" s="324" t="str">
        <f t="shared" ref="AT18:AT42" si="25">IF($A18="","",IF(AS18=0,0,AR18/AS18))</f>
        <v/>
      </c>
    </row>
    <row r="19" spans="1:46" ht="18" customHeight="1" x14ac:dyDescent="0.2">
      <c r="A19" s="77" t="str">
        <f>IF($C$9="Data Not Entered On Set-Up Worksheet","",IF(OR(VLOOKUP($C$9,County_Lookup,4,FALSE)="",VLOOKUP($C$9,County_Lookup,4,FALSE)=0),"",VLOOKUP($C$9,County_Lookup,4,FALSE)))</f>
        <v/>
      </c>
      <c r="B19" s="69"/>
      <c r="C19" s="61"/>
      <c r="D19" s="324" t="str">
        <f t="shared" si="8"/>
        <v/>
      </c>
      <c r="E19" s="69"/>
      <c r="F19" s="61"/>
      <c r="G19" s="324" t="str">
        <f t="shared" si="9"/>
        <v/>
      </c>
      <c r="H19" s="69"/>
      <c r="I19" s="61"/>
      <c r="J19" s="324" t="str">
        <f t="shared" si="10"/>
        <v/>
      </c>
      <c r="K19" s="74" t="str">
        <f t="shared" si="11"/>
        <v/>
      </c>
      <c r="L19" s="62" t="str">
        <f t="shared" si="11"/>
        <v/>
      </c>
      <c r="M19" s="324" t="str">
        <f t="shared" si="12"/>
        <v/>
      </c>
      <c r="N19" s="74" t="str">
        <f t="shared" si="2"/>
        <v/>
      </c>
      <c r="O19" s="62" t="str">
        <f t="shared" si="3"/>
        <v/>
      </c>
      <c r="P19" s="324" t="str">
        <f t="shared" si="13"/>
        <v/>
      </c>
      <c r="Q19" s="69"/>
      <c r="R19" s="61"/>
      <c r="S19" s="324" t="str">
        <f t="shared" si="14"/>
        <v/>
      </c>
      <c r="T19" s="69"/>
      <c r="U19" s="61"/>
      <c r="V19" s="324" t="str">
        <f t="shared" si="15"/>
        <v/>
      </c>
      <c r="W19" s="69"/>
      <c r="X19" s="61"/>
      <c r="Y19" s="324" t="str">
        <f t="shared" si="16"/>
        <v/>
      </c>
      <c r="Z19" s="74" t="str">
        <f t="shared" si="17"/>
        <v/>
      </c>
      <c r="AA19" s="62" t="str">
        <f t="shared" si="17"/>
        <v/>
      </c>
      <c r="AB19" s="324" t="str">
        <f t="shared" si="18"/>
        <v/>
      </c>
      <c r="AC19" s="74" t="str">
        <f t="shared" si="4"/>
        <v/>
      </c>
      <c r="AD19" s="62" t="str">
        <f t="shared" si="5"/>
        <v/>
      </c>
      <c r="AE19" s="324" t="str">
        <f t="shared" si="19"/>
        <v/>
      </c>
      <c r="AF19" s="69"/>
      <c r="AG19" s="61"/>
      <c r="AH19" s="324" t="str">
        <f t="shared" si="20"/>
        <v/>
      </c>
      <c r="AI19" s="69"/>
      <c r="AJ19" s="61"/>
      <c r="AK19" s="324" t="str">
        <f t="shared" si="21"/>
        <v/>
      </c>
      <c r="AL19" s="69"/>
      <c r="AM19" s="61"/>
      <c r="AN19" s="324" t="str">
        <f t="shared" si="22"/>
        <v/>
      </c>
      <c r="AO19" s="74" t="str">
        <f t="shared" si="23"/>
        <v/>
      </c>
      <c r="AP19" s="62" t="str">
        <f t="shared" si="23"/>
        <v/>
      </c>
      <c r="AQ19" s="324" t="str">
        <f t="shared" si="24"/>
        <v/>
      </c>
      <c r="AR19" s="74" t="str">
        <f t="shared" si="6"/>
        <v/>
      </c>
      <c r="AS19" s="62" t="str">
        <f t="shared" si="7"/>
        <v/>
      </c>
      <c r="AT19" s="324" t="str">
        <f t="shared" si="25"/>
        <v/>
      </c>
    </row>
    <row r="20" spans="1:46" ht="18" customHeight="1" x14ac:dyDescent="0.2">
      <c r="A20" s="77" t="str">
        <f>IF($C$9="Data Not Entered On Set-Up Worksheet","",IF(OR(VLOOKUP($C$9,County_Lookup,5,FALSE)="",VLOOKUP($C$9,County_Lookup,5,FALSE)=0),"",VLOOKUP($C$9,County_Lookup,5,FALSE)))</f>
        <v/>
      </c>
      <c r="B20" s="69"/>
      <c r="C20" s="61"/>
      <c r="D20" s="324" t="str">
        <f t="shared" si="8"/>
        <v/>
      </c>
      <c r="E20" s="69"/>
      <c r="F20" s="61"/>
      <c r="G20" s="324" t="str">
        <f t="shared" si="9"/>
        <v/>
      </c>
      <c r="H20" s="69"/>
      <c r="I20" s="61"/>
      <c r="J20" s="324" t="str">
        <f t="shared" si="10"/>
        <v/>
      </c>
      <c r="K20" s="74" t="str">
        <f t="shared" si="11"/>
        <v/>
      </c>
      <c r="L20" s="62" t="str">
        <f t="shared" si="11"/>
        <v/>
      </c>
      <c r="M20" s="324" t="str">
        <f t="shared" si="12"/>
        <v/>
      </c>
      <c r="N20" s="74" t="str">
        <f t="shared" si="2"/>
        <v/>
      </c>
      <c r="O20" s="62" t="str">
        <f t="shared" si="3"/>
        <v/>
      </c>
      <c r="P20" s="324" t="str">
        <f t="shared" si="13"/>
        <v/>
      </c>
      <c r="Q20" s="69"/>
      <c r="R20" s="61"/>
      <c r="S20" s="324" t="str">
        <f t="shared" si="14"/>
        <v/>
      </c>
      <c r="T20" s="69"/>
      <c r="U20" s="61"/>
      <c r="V20" s="324" t="str">
        <f t="shared" si="15"/>
        <v/>
      </c>
      <c r="W20" s="69"/>
      <c r="X20" s="61"/>
      <c r="Y20" s="324" t="str">
        <f t="shared" si="16"/>
        <v/>
      </c>
      <c r="Z20" s="74" t="str">
        <f t="shared" si="17"/>
        <v/>
      </c>
      <c r="AA20" s="62" t="str">
        <f t="shared" si="17"/>
        <v/>
      </c>
      <c r="AB20" s="324" t="str">
        <f t="shared" si="18"/>
        <v/>
      </c>
      <c r="AC20" s="74" t="str">
        <f t="shared" si="4"/>
        <v/>
      </c>
      <c r="AD20" s="62" t="str">
        <f t="shared" si="5"/>
        <v/>
      </c>
      <c r="AE20" s="324" t="str">
        <f t="shared" si="19"/>
        <v/>
      </c>
      <c r="AF20" s="69"/>
      <c r="AG20" s="61"/>
      <c r="AH20" s="324" t="str">
        <f t="shared" si="20"/>
        <v/>
      </c>
      <c r="AI20" s="69"/>
      <c r="AJ20" s="61"/>
      <c r="AK20" s="324" t="str">
        <f t="shared" si="21"/>
        <v/>
      </c>
      <c r="AL20" s="69"/>
      <c r="AM20" s="61"/>
      <c r="AN20" s="324" t="str">
        <f t="shared" si="22"/>
        <v/>
      </c>
      <c r="AO20" s="74" t="str">
        <f t="shared" si="23"/>
        <v/>
      </c>
      <c r="AP20" s="62" t="str">
        <f t="shared" si="23"/>
        <v/>
      </c>
      <c r="AQ20" s="324" t="str">
        <f t="shared" si="24"/>
        <v/>
      </c>
      <c r="AR20" s="74" t="str">
        <f t="shared" si="6"/>
        <v/>
      </c>
      <c r="AS20" s="62" t="str">
        <f t="shared" si="7"/>
        <v/>
      </c>
      <c r="AT20" s="324" t="str">
        <f t="shared" si="25"/>
        <v/>
      </c>
    </row>
    <row r="21" spans="1:46" ht="18" customHeight="1" x14ac:dyDescent="0.2">
      <c r="A21" s="77" t="str">
        <f>IF($C$9="Data Not Entered On Set-Up Worksheet","",IF(OR(VLOOKUP($C$9,County_Lookup,6,FALSE)="",VLOOKUP($C$9,County_Lookup,6,FALSE)=0),"",VLOOKUP($C$9,County_Lookup,6,FALSE)))</f>
        <v/>
      </c>
      <c r="B21" s="69"/>
      <c r="C21" s="61"/>
      <c r="D21" s="324" t="str">
        <f t="shared" si="8"/>
        <v/>
      </c>
      <c r="E21" s="69"/>
      <c r="F21" s="61"/>
      <c r="G21" s="324" t="str">
        <f t="shared" si="9"/>
        <v/>
      </c>
      <c r="H21" s="69"/>
      <c r="I21" s="61"/>
      <c r="J21" s="324" t="str">
        <f t="shared" si="10"/>
        <v/>
      </c>
      <c r="K21" s="74" t="str">
        <f t="shared" si="11"/>
        <v/>
      </c>
      <c r="L21" s="62" t="str">
        <f t="shared" si="11"/>
        <v/>
      </c>
      <c r="M21" s="324" t="str">
        <f t="shared" si="12"/>
        <v/>
      </c>
      <c r="N21" s="74" t="str">
        <f t="shared" si="2"/>
        <v/>
      </c>
      <c r="O21" s="62" t="str">
        <f t="shared" si="3"/>
        <v/>
      </c>
      <c r="P21" s="324" t="str">
        <f t="shared" si="13"/>
        <v/>
      </c>
      <c r="Q21" s="69"/>
      <c r="R21" s="61"/>
      <c r="S21" s="324" t="str">
        <f t="shared" si="14"/>
        <v/>
      </c>
      <c r="T21" s="69"/>
      <c r="U21" s="61"/>
      <c r="V21" s="324" t="str">
        <f t="shared" si="15"/>
        <v/>
      </c>
      <c r="W21" s="69"/>
      <c r="X21" s="61"/>
      <c r="Y21" s="324" t="str">
        <f t="shared" si="16"/>
        <v/>
      </c>
      <c r="Z21" s="74" t="str">
        <f t="shared" si="17"/>
        <v/>
      </c>
      <c r="AA21" s="62" t="str">
        <f t="shared" si="17"/>
        <v/>
      </c>
      <c r="AB21" s="324" t="str">
        <f t="shared" si="18"/>
        <v/>
      </c>
      <c r="AC21" s="74" t="str">
        <f t="shared" si="4"/>
        <v/>
      </c>
      <c r="AD21" s="62" t="str">
        <f t="shared" si="5"/>
        <v/>
      </c>
      <c r="AE21" s="324" t="str">
        <f t="shared" si="19"/>
        <v/>
      </c>
      <c r="AF21" s="69"/>
      <c r="AG21" s="61"/>
      <c r="AH21" s="324" t="str">
        <f t="shared" si="20"/>
        <v/>
      </c>
      <c r="AI21" s="69"/>
      <c r="AJ21" s="61"/>
      <c r="AK21" s="324" t="str">
        <f t="shared" si="21"/>
        <v/>
      </c>
      <c r="AL21" s="69"/>
      <c r="AM21" s="61"/>
      <c r="AN21" s="324" t="str">
        <f t="shared" si="22"/>
        <v/>
      </c>
      <c r="AO21" s="74" t="str">
        <f t="shared" si="23"/>
        <v/>
      </c>
      <c r="AP21" s="62" t="str">
        <f t="shared" si="23"/>
        <v/>
      </c>
      <c r="AQ21" s="324" t="str">
        <f t="shared" si="24"/>
        <v/>
      </c>
      <c r="AR21" s="74" t="str">
        <f t="shared" si="6"/>
        <v/>
      </c>
      <c r="AS21" s="62" t="str">
        <f t="shared" si="7"/>
        <v/>
      </c>
      <c r="AT21" s="324" t="str">
        <f t="shared" si="25"/>
        <v/>
      </c>
    </row>
    <row r="22" spans="1:46" ht="18" customHeight="1" x14ac:dyDescent="0.2">
      <c r="A22" s="77" t="str">
        <f>IF($C$9="Data Not Entered On Set-Up Worksheet","",IF(OR(VLOOKUP($C$9,County_Lookup,7,FALSE)="",VLOOKUP($C$9,County_Lookup,7,FALSE)=0),"",VLOOKUP($C$9,County_Lookup,7,FALSE)))</f>
        <v/>
      </c>
      <c r="B22" s="69"/>
      <c r="C22" s="61"/>
      <c r="D22" s="324" t="str">
        <f t="shared" si="8"/>
        <v/>
      </c>
      <c r="E22" s="69"/>
      <c r="F22" s="61"/>
      <c r="G22" s="324" t="str">
        <f t="shared" si="9"/>
        <v/>
      </c>
      <c r="H22" s="69"/>
      <c r="I22" s="61"/>
      <c r="J22" s="324" t="str">
        <f t="shared" si="10"/>
        <v/>
      </c>
      <c r="K22" s="74" t="str">
        <f t="shared" si="11"/>
        <v/>
      </c>
      <c r="L22" s="62" t="str">
        <f t="shared" si="11"/>
        <v/>
      </c>
      <c r="M22" s="324" t="str">
        <f t="shared" si="12"/>
        <v/>
      </c>
      <c r="N22" s="74" t="str">
        <f t="shared" si="2"/>
        <v/>
      </c>
      <c r="O22" s="62" t="str">
        <f t="shared" si="3"/>
        <v/>
      </c>
      <c r="P22" s="324" t="str">
        <f t="shared" si="13"/>
        <v/>
      </c>
      <c r="Q22" s="69"/>
      <c r="R22" s="61"/>
      <c r="S22" s="324" t="str">
        <f t="shared" si="14"/>
        <v/>
      </c>
      <c r="T22" s="69"/>
      <c r="U22" s="61"/>
      <c r="V22" s="324" t="str">
        <f t="shared" si="15"/>
        <v/>
      </c>
      <c r="W22" s="69"/>
      <c r="X22" s="61"/>
      <c r="Y22" s="324" t="str">
        <f t="shared" si="16"/>
        <v/>
      </c>
      <c r="Z22" s="74" t="str">
        <f t="shared" si="17"/>
        <v/>
      </c>
      <c r="AA22" s="62" t="str">
        <f t="shared" si="17"/>
        <v/>
      </c>
      <c r="AB22" s="324" t="str">
        <f t="shared" si="18"/>
        <v/>
      </c>
      <c r="AC22" s="74" t="str">
        <f t="shared" si="4"/>
        <v/>
      </c>
      <c r="AD22" s="62" t="str">
        <f t="shared" si="5"/>
        <v/>
      </c>
      <c r="AE22" s="324" t="str">
        <f t="shared" si="19"/>
        <v/>
      </c>
      <c r="AF22" s="69"/>
      <c r="AG22" s="61"/>
      <c r="AH22" s="324" t="str">
        <f t="shared" si="20"/>
        <v/>
      </c>
      <c r="AI22" s="69"/>
      <c r="AJ22" s="61"/>
      <c r="AK22" s="324" t="str">
        <f t="shared" si="21"/>
        <v/>
      </c>
      <c r="AL22" s="69"/>
      <c r="AM22" s="61"/>
      <c r="AN22" s="324" t="str">
        <f t="shared" si="22"/>
        <v/>
      </c>
      <c r="AO22" s="74" t="str">
        <f t="shared" si="23"/>
        <v/>
      </c>
      <c r="AP22" s="62" t="str">
        <f t="shared" si="23"/>
        <v/>
      </c>
      <c r="AQ22" s="324" t="str">
        <f t="shared" si="24"/>
        <v/>
      </c>
      <c r="AR22" s="74" t="str">
        <f t="shared" si="6"/>
        <v/>
      </c>
      <c r="AS22" s="62" t="str">
        <f t="shared" si="7"/>
        <v/>
      </c>
      <c r="AT22" s="324" t="str">
        <f t="shared" si="25"/>
        <v/>
      </c>
    </row>
    <row r="23" spans="1:46" ht="18" customHeight="1" x14ac:dyDescent="0.2">
      <c r="A23" s="76" t="str">
        <f>IF($C$9="Data Not Entered On Set-Up Worksheet","",IF(OR(VLOOKUP($C$9,County_Lookup,8,FALSE)="",VLOOKUP($C$9,County_Lookup,8,FALSE)=0),"",VLOOKUP($C$9,County_Lookup,8,FALSE)))</f>
        <v/>
      </c>
      <c r="B23" s="69"/>
      <c r="C23" s="61"/>
      <c r="D23" s="324" t="str">
        <f t="shared" si="8"/>
        <v/>
      </c>
      <c r="E23" s="69"/>
      <c r="F23" s="61"/>
      <c r="G23" s="324" t="str">
        <f t="shared" si="9"/>
        <v/>
      </c>
      <c r="H23" s="69"/>
      <c r="I23" s="61"/>
      <c r="J23" s="324" t="str">
        <f t="shared" si="10"/>
        <v/>
      </c>
      <c r="K23" s="74" t="str">
        <f t="shared" si="11"/>
        <v/>
      </c>
      <c r="L23" s="62" t="str">
        <f t="shared" si="11"/>
        <v/>
      </c>
      <c r="M23" s="324" t="str">
        <f t="shared" si="12"/>
        <v/>
      </c>
      <c r="N23" s="74" t="str">
        <f t="shared" si="2"/>
        <v/>
      </c>
      <c r="O23" s="62" t="str">
        <f t="shared" si="3"/>
        <v/>
      </c>
      <c r="P23" s="324" t="str">
        <f t="shared" si="13"/>
        <v/>
      </c>
      <c r="Q23" s="69"/>
      <c r="R23" s="61"/>
      <c r="S23" s="324" t="str">
        <f t="shared" si="14"/>
        <v/>
      </c>
      <c r="T23" s="69"/>
      <c r="U23" s="61"/>
      <c r="V23" s="324" t="str">
        <f t="shared" si="15"/>
        <v/>
      </c>
      <c r="W23" s="69"/>
      <c r="X23" s="61"/>
      <c r="Y23" s="324" t="str">
        <f t="shared" si="16"/>
        <v/>
      </c>
      <c r="Z23" s="74" t="str">
        <f t="shared" si="17"/>
        <v/>
      </c>
      <c r="AA23" s="62" t="str">
        <f t="shared" si="17"/>
        <v/>
      </c>
      <c r="AB23" s="324" t="str">
        <f t="shared" si="18"/>
        <v/>
      </c>
      <c r="AC23" s="74" t="str">
        <f t="shared" si="4"/>
        <v/>
      </c>
      <c r="AD23" s="62" t="str">
        <f t="shared" si="5"/>
        <v/>
      </c>
      <c r="AE23" s="324" t="str">
        <f t="shared" si="19"/>
        <v/>
      </c>
      <c r="AF23" s="69"/>
      <c r="AG23" s="61"/>
      <c r="AH23" s="324" t="str">
        <f t="shared" si="20"/>
        <v/>
      </c>
      <c r="AI23" s="69"/>
      <c r="AJ23" s="61"/>
      <c r="AK23" s="324" t="str">
        <f t="shared" si="21"/>
        <v/>
      </c>
      <c r="AL23" s="69"/>
      <c r="AM23" s="61"/>
      <c r="AN23" s="324" t="str">
        <f t="shared" si="22"/>
        <v/>
      </c>
      <c r="AO23" s="74" t="str">
        <f t="shared" si="23"/>
        <v/>
      </c>
      <c r="AP23" s="62" t="str">
        <f t="shared" si="23"/>
        <v/>
      </c>
      <c r="AQ23" s="324" t="str">
        <f t="shared" si="24"/>
        <v/>
      </c>
      <c r="AR23" s="74" t="str">
        <f t="shared" si="6"/>
        <v/>
      </c>
      <c r="AS23" s="62" t="str">
        <f t="shared" si="7"/>
        <v/>
      </c>
      <c r="AT23" s="324" t="str">
        <f t="shared" si="25"/>
        <v/>
      </c>
    </row>
    <row r="24" spans="1:46" ht="18" customHeight="1" x14ac:dyDescent="0.2">
      <c r="A24" s="77" t="str">
        <f>IF($C$9="Data Not Entered On Set-Up Worksheet","",IF(OR(VLOOKUP($C$9,County_Lookup,9,FALSE)="",VLOOKUP($C$9,County_Lookup,9,FALSE)=0),"",VLOOKUP($C$9,County_Lookup,9,FALSE)))</f>
        <v/>
      </c>
      <c r="B24" s="69"/>
      <c r="C24" s="61"/>
      <c r="D24" s="324" t="str">
        <f t="shared" si="8"/>
        <v/>
      </c>
      <c r="E24" s="69"/>
      <c r="F24" s="61"/>
      <c r="G24" s="324" t="str">
        <f t="shared" si="9"/>
        <v/>
      </c>
      <c r="H24" s="69"/>
      <c r="I24" s="61"/>
      <c r="J24" s="324" t="str">
        <f t="shared" si="10"/>
        <v/>
      </c>
      <c r="K24" s="74" t="str">
        <f t="shared" si="11"/>
        <v/>
      </c>
      <c r="L24" s="62" t="str">
        <f t="shared" si="11"/>
        <v/>
      </c>
      <c r="M24" s="324" t="str">
        <f t="shared" si="12"/>
        <v/>
      </c>
      <c r="N24" s="74" t="str">
        <f t="shared" si="2"/>
        <v/>
      </c>
      <c r="O24" s="62" t="str">
        <f t="shared" si="3"/>
        <v/>
      </c>
      <c r="P24" s="324" t="str">
        <f t="shared" si="13"/>
        <v/>
      </c>
      <c r="Q24" s="69"/>
      <c r="R24" s="61"/>
      <c r="S24" s="324" t="str">
        <f t="shared" si="14"/>
        <v/>
      </c>
      <c r="T24" s="69"/>
      <c r="U24" s="61"/>
      <c r="V24" s="324" t="str">
        <f t="shared" si="15"/>
        <v/>
      </c>
      <c r="W24" s="69"/>
      <c r="X24" s="61"/>
      <c r="Y24" s="324" t="str">
        <f t="shared" si="16"/>
        <v/>
      </c>
      <c r="Z24" s="74" t="str">
        <f t="shared" si="17"/>
        <v/>
      </c>
      <c r="AA24" s="62" t="str">
        <f t="shared" si="17"/>
        <v/>
      </c>
      <c r="AB24" s="324" t="str">
        <f t="shared" si="18"/>
        <v/>
      </c>
      <c r="AC24" s="74" t="str">
        <f t="shared" si="4"/>
        <v/>
      </c>
      <c r="AD24" s="62" t="str">
        <f t="shared" si="5"/>
        <v/>
      </c>
      <c r="AE24" s="324" t="str">
        <f t="shared" si="19"/>
        <v/>
      </c>
      <c r="AF24" s="69"/>
      <c r="AG24" s="61"/>
      <c r="AH24" s="324" t="str">
        <f t="shared" si="20"/>
        <v/>
      </c>
      <c r="AI24" s="69"/>
      <c r="AJ24" s="61"/>
      <c r="AK24" s="324" t="str">
        <f t="shared" si="21"/>
        <v/>
      </c>
      <c r="AL24" s="69"/>
      <c r="AM24" s="61"/>
      <c r="AN24" s="324" t="str">
        <f t="shared" si="22"/>
        <v/>
      </c>
      <c r="AO24" s="74" t="str">
        <f t="shared" si="23"/>
        <v/>
      </c>
      <c r="AP24" s="62" t="str">
        <f t="shared" si="23"/>
        <v/>
      </c>
      <c r="AQ24" s="324" t="str">
        <f t="shared" si="24"/>
        <v/>
      </c>
      <c r="AR24" s="74" t="str">
        <f t="shared" si="6"/>
        <v/>
      </c>
      <c r="AS24" s="62" t="str">
        <f t="shared" si="7"/>
        <v/>
      </c>
      <c r="AT24" s="324" t="str">
        <f t="shared" si="25"/>
        <v/>
      </c>
    </row>
    <row r="25" spans="1:46" ht="18" customHeight="1" x14ac:dyDescent="0.2">
      <c r="A25" s="77" t="str">
        <f>IF($C$9="Data Not Entered On Set-Up Worksheet","",IF(OR(VLOOKUP($C$9,County_Lookup,10,FALSE)="",VLOOKUP($C$9,County_Lookup,10,FALSE)=0),"",VLOOKUP($C$9,County_Lookup,10,FALSE)))</f>
        <v/>
      </c>
      <c r="B25" s="69"/>
      <c r="C25" s="61"/>
      <c r="D25" s="324" t="str">
        <f t="shared" si="8"/>
        <v/>
      </c>
      <c r="E25" s="69"/>
      <c r="F25" s="61"/>
      <c r="G25" s="324" t="str">
        <f t="shared" si="9"/>
        <v/>
      </c>
      <c r="H25" s="69"/>
      <c r="I25" s="61"/>
      <c r="J25" s="324" t="str">
        <f t="shared" si="10"/>
        <v/>
      </c>
      <c r="K25" s="74" t="str">
        <f t="shared" si="11"/>
        <v/>
      </c>
      <c r="L25" s="62" t="str">
        <f t="shared" si="11"/>
        <v/>
      </c>
      <c r="M25" s="324" t="str">
        <f t="shared" si="12"/>
        <v/>
      </c>
      <c r="N25" s="74" t="str">
        <f t="shared" si="2"/>
        <v/>
      </c>
      <c r="O25" s="62" t="str">
        <f t="shared" si="3"/>
        <v/>
      </c>
      <c r="P25" s="324" t="str">
        <f t="shared" si="13"/>
        <v/>
      </c>
      <c r="Q25" s="69"/>
      <c r="R25" s="61"/>
      <c r="S25" s="324" t="str">
        <f t="shared" si="14"/>
        <v/>
      </c>
      <c r="T25" s="69"/>
      <c r="U25" s="61"/>
      <c r="V25" s="324" t="str">
        <f t="shared" si="15"/>
        <v/>
      </c>
      <c r="W25" s="69"/>
      <c r="X25" s="61"/>
      <c r="Y25" s="324" t="str">
        <f t="shared" si="16"/>
        <v/>
      </c>
      <c r="Z25" s="74" t="str">
        <f t="shared" si="17"/>
        <v/>
      </c>
      <c r="AA25" s="62" t="str">
        <f t="shared" si="17"/>
        <v/>
      </c>
      <c r="AB25" s="324" t="str">
        <f t="shared" si="18"/>
        <v/>
      </c>
      <c r="AC25" s="74" t="str">
        <f t="shared" si="4"/>
        <v/>
      </c>
      <c r="AD25" s="62" t="str">
        <f t="shared" si="5"/>
        <v/>
      </c>
      <c r="AE25" s="324" t="str">
        <f t="shared" si="19"/>
        <v/>
      </c>
      <c r="AF25" s="69"/>
      <c r="AG25" s="61"/>
      <c r="AH25" s="324" t="str">
        <f t="shared" si="20"/>
        <v/>
      </c>
      <c r="AI25" s="69"/>
      <c r="AJ25" s="61"/>
      <c r="AK25" s="324" t="str">
        <f t="shared" si="21"/>
        <v/>
      </c>
      <c r="AL25" s="69"/>
      <c r="AM25" s="61"/>
      <c r="AN25" s="324" t="str">
        <f t="shared" si="22"/>
        <v/>
      </c>
      <c r="AO25" s="74" t="str">
        <f t="shared" si="23"/>
        <v/>
      </c>
      <c r="AP25" s="62" t="str">
        <f t="shared" si="23"/>
        <v/>
      </c>
      <c r="AQ25" s="324" t="str">
        <f t="shared" si="24"/>
        <v/>
      </c>
      <c r="AR25" s="74" t="str">
        <f t="shared" si="6"/>
        <v/>
      </c>
      <c r="AS25" s="62" t="str">
        <f t="shared" si="7"/>
        <v/>
      </c>
      <c r="AT25" s="324" t="str">
        <f t="shared" si="25"/>
        <v/>
      </c>
    </row>
    <row r="26" spans="1:46" ht="18" customHeight="1" x14ac:dyDescent="0.2">
      <c r="A26" s="77" t="str">
        <f>IF($C$9="Data Not Entered On Set-Up Worksheet","",IF(OR(VLOOKUP($C$9,County_Lookup,11,FALSE)="",VLOOKUP($C$9,County_Lookup,11,FALSE)=0),"",VLOOKUP($C$9,County_Lookup,11,FALSE)))</f>
        <v/>
      </c>
      <c r="B26" s="69"/>
      <c r="C26" s="61"/>
      <c r="D26" s="324" t="str">
        <f t="shared" si="8"/>
        <v/>
      </c>
      <c r="E26" s="69"/>
      <c r="F26" s="61"/>
      <c r="G26" s="324" t="str">
        <f t="shared" si="9"/>
        <v/>
      </c>
      <c r="H26" s="69"/>
      <c r="I26" s="61"/>
      <c r="J26" s="324" t="str">
        <f t="shared" si="10"/>
        <v/>
      </c>
      <c r="K26" s="74" t="str">
        <f t="shared" si="11"/>
        <v/>
      </c>
      <c r="L26" s="62" t="str">
        <f t="shared" si="11"/>
        <v/>
      </c>
      <c r="M26" s="324" t="str">
        <f t="shared" si="12"/>
        <v/>
      </c>
      <c r="N26" s="74" t="str">
        <f t="shared" si="2"/>
        <v/>
      </c>
      <c r="O26" s="62" t="str">
        <f t="shared" si="3"/>
        <v/>
      </c>
      <c r="P26" s="324" t="str">
        <f t="shared" si="13"/>
        <v/>
      </c>
      <c r="Q26" s="69"/>
      <c r="R26" s="61"/>
      <c r="S26" s="324" t="str">
        <f t="shared" si="14"/>
        <v/>
      </c>
      <c r="T26" s="69"/>
      <c r="U26" s="61"/>
      <c r="V26" s="324" t="str">
        <f t="shared" si="15"/>
        <v/>
      </c>
      <c r="W26" s="69"/>
      <c r="X26" s="61"/>
      <c r="Y26" s="324" t="str">
        <f t="shared" si="16"/>
        <v/>
      </c>
      <c r="Z26" s="74" t="str">
        <f t="shared" si="17"/>
        <v/>
      </c>
      <c r="AA26" s="62" t="str">
        <f t="shared" si="17"/>
        <v/>
      </c>
      <c r="AB26" s="324" t="str">
        <f t="shared" si="18"/>
        <v/>
      </c>
      <c r="AC26" s="74" t="str">
        <f t="shared" si="4"/>
        <v/>
      </c>
      <c r="AD26" s="62" t="str">
        <f t="shared" si="5"/>
        <v/>
      </c>
      <c r="AE26" s="324" t="str">
        <f t="shared" si="19"/>
        <v/>
      </c>
      <c r="AF26" s="69"/>
      <c r="AG26" s="61"/>
      <c r="AH26" s="324" t="str">
        <f t="shared" si="20"/>
        <v/>
      </c>
      <c r="AI26" s="69"/>
      <c r="AJ26" s="61"/>
      <c r="AK26" s="324" t="str">
        <f t="shared" si="21"/>
        <v/>
      </c>
      <c r="AL26" s="69"/>
      <c r="AM26" s="61"/>
      <c r="AN26" s="324" t="str">
        <f t="shared" si="22"/>
        <v/>
      </c>
      <c r="AO26" s="74" t="str">
        <f t="shared" si="23"/>
        <v/>
      </c>
      <c r="AP26" s="62" t="str">
        <f t="shared" si="23"/>
        <v/>
      </c>
      <c r="AQ26" s="324" t="str">
        <f t="shared" si="24"/>
        <v/>
      </c>
      <c r="AR26" s="74" t="str">
        <f t="shared" si="6"/>
        <v/>
      </c>
      <c r="AS26" s="62" t="str">
        <f t="shared" si="7"/>
        <v/>
      </c>
      <c r="AT26" s="324" t="str">
        <f t="shared" si="25"/>
        <v/>
      </c>
    </row>
    <row r="27" spans="1:46" ht="18" customHeight="1" x14ac:dyDescent="0.2">
      <c r="A27" s="77" t="str">
        <f>IF($C$9="Data Not Entered On Set-Up Worksheet","",IF(OR(VLOOKUP($C$9,County_Lookup,12,FALSE)="",VLOOKUP($C$9,County_Lookup,12,FALSE)=0),"",VLOOKUP($C$9,County_Lookup,12,FALSE)))</f>
        <v/>
      </c>
      <c r="B27" s="69"/>
      <c r="C27" s="61"/>
      <c r="D27" s="324" t="str">
        <f t="shared" si="8"/>
        <v/>
      </c>
      <c r="E27" s="69"/>
      <c r="F27" s="61"/>
      <c r="G27" s="324" t="str">
        <f t="shared" si="9"/>
        <v/>
      </c>
      <c r="H27" s="69"/>
      <c r="I27" s="61"/>
      <c r="J27" s="324" t="str">
        <f t="shared" si="10"/>
        <v/>
      </c>
      <c r="K27" s="74" t="str">
        <f t="shared" si="11"/>
        <v/>
      </c>
      <c r="L27" s="62" t="str">
        <f t="shared" si="11"/>
        <v/>
      </c>
      <c r="M27" s="324" t="str">
        <f t="shared" si="12"/>
        <v/>
      </c>
      <c r="N27" s="74" t="str">
        <f t="shared" si="2"/>
        <v/>
      </c>
      <c r="O27" s="62" t="str">
        <f t="shared" si="3"/>
        <v/>
      </c>
      <c r="P27" s="324" t="str">
        <f t="shared" si="13"/>
        <v/>
      </c>
      <c r="Q27" s="69"/>
      <c r="R27" s="61"/>
      <c r="S27" s="324" t="str">
        <f t="shared" si="14"/>
        <v/>
      </c>
      <c r="T27" s="69"/>
      <c r="U27" s="61"/>
      <c r="V27" s="324" t="str">
        <f t="shared" si="15"/>
        <v/>
      </c>
      <c r="W27" s="69"/>
      <c r="X27" s="61"/>
      <c r="Y27" s="324" t="str">
        <f t="shared" si="16"/>
        <v/>
      </c>
      <c r="Z27" s="74" t="str">
        <f t="shared" si="17"/>
        <v/>
      </c>
      <c r="AA27" s="62" t="str">
        <f t="shared" si="17"/>
        <v/>
      </c>
      <c r="AB27" s="324" t="str">
        <f t="shared" si="18"/>
        <v/>
      </c>
      <c r="AC27" s="74" t="str">
        <f t="shared" si="4"/>
        <v/>
      </c>
      <c r="AD27" s="62" t="str">
        <f t="shared" si="5"/>
        <v/>
      </c>
      <c r="AE27" s="324" t="str">
        <f t="shared" si="19"/>
        <v/>
      </c>
      <c r="AF27" s="69"/>
      <c r="AG27" s="61"/>
      <c r="AH27" s="324" t="str">
        <f t="shared" si="20"/>
        <v/>
      </c>
      <c r="AI27" s="69"/>
      <c r="AJ27" s="61"/>
      <c r="AK27" s="324" t="str">
        <f t="shared" si="21"/>
        <v/>
      </c>
      <c r="AL27" s="69"/>
      <c r="AM27" s="61"/>
      <c r="AN27" s="324" t="str">
        <f t="shared" si="22"/>
        <v/>
      </c>
      <c r="AO27" s="74" t="str">
        <f t="shared" si="23"/>
        <v/>
      </c>
      <c r="AP27" s="62" t="str">
        <f t="shared" si="23"/>
        <v/>
      </c>
      <c r="AQ27" s="324" t="str">
        <f t="shared" si="24"/>
        <v/>
      </c>
      <c r="AR27" s="74" t="str">
        <f t="shared" si="6"/>
        <v/>
      </c>
      <c r="AS27" s="62" t="str">
        <f t="shared" si="7"/>
        <v/>
      </c>
      <c r="AT27" s="324" t="str">
        <f t="shared" si="25"/>
        <v/>
      </c>
    </row>
    <row r="28" spans="1:46" ht="18" customHeight="1" x14ac:dyDescent="0.2">
      <c r="A28" s="77" t="str">
        <f>IF($C$9="Data Not Entered On Set-Up Worksheet","",IF(OR(VLOOKUP($C$9,County_Lookup,13,FALSE)="",VLOOKUP($C$9,County_Lookup,13,FALSE)=0),"",VLOOKUP($C$9,County_Lookup,13,FALSE)))</f>
        <v/>
      </c>
      <c r="B28" s="69"/>
      <c r="C28" s="61"/>
      <c r="D28" s="324" t="str">
        <f t="shared" si="8"/>
        <v/>
      </c>
      <c r="E28" s="69"/>
      <c r="F28" s="61"/>
      <c r="G28" s="324" t="str">
        <f t="shared" si="9"/>
        <v/>
      </c>
      <c r="H28" s="69"/>
      <c r="I28" s="61"/>
      <c r="J28" s="324" t="str">
        <f t="shared" si="10"/>
        <v/>
      </c>
      <c r="K28" s="74" t="str">
        <f t="shared" si="11"/>
        <v/>
      </c>
      <c r="L28" s="62" t="str">
        <f t="shared" si="11"/>
        <v/>
      </c>
      <c r="M28" s="324" t="str">
        <f t="shared" si="12"/>
        <v/>
      </c>
      <c r="N28" s="74" t="str">
        <f t="shared" si="2"/>
        <v/>
      </c>
      <c r="O28" s="62" t="str">
        <f t="shared" si="3"/>
        <v/>
      </c>
      <c r="P28" s="324" t="str">
        <f t="shared" si="13"/>
        <v/>
      </c>
      <c r="Q28" s="69"/>
      <c r="R28" s="61"/>
      <c r="S28" s="324" t="str">
        <f t="shared" si="14"/>
        <v/>
      </c>
      <c r="T28" s="69"/>
      <c r="U28" s="61"/>
      <c r="V28" s="324" t="str">
        <f t="shared" si="15"/>
        <v/>
      </c>
      <c r="W28" s="69"/>
      <c r="X28" s="61"/>
      <c r="Y28" s="324" t="str">
        <f t="shared" si="16"/>
        <v/>
      </c>
      <c r="Z28" s="74" t="str">
        <f t="shared" si="17"/>
        <v/>
      </c>
      <c r="AA28" s="62" t="str">
        <f t="shared" si="17"/>
        <v/>
      </c>
      <c r="AB28" s="324" t="str">
        <f t="shared" si="18"/>
        <v/>
      </c>
      <c r="AC28" s="74" t="str">
        <f t="shared" si="4"/>
        <v/>
      </c>
      <c r="AD28" s="62" t="str">
        <f t="shared" si="5"/>
        <v/>
      </c>
      <c r="AE28" s="324" t="str">
        <f t="shared" si="19"/>
        <v/>
      </c>
      <c r="AF28" s="69"/>
      <c r="AG28" s="61"/>
      <c r="AH28" s="324" t="str">
        <f t="shared" si="20"/>
        <v/>
      </c>
      <c r="AI28" s="69"/>
      <c r="AJ28" s="61"/>
      <c r="AK28" s="324" t="str">
        <f t="shared" si="21"/>
        <v/>
      </c>
      <c r="AL28" s="69"/>
      <c r="AM28" s="61"/>
      <c r="AN28" s="324" t="str">
        <f t="shared" si="22"/>
        <v/>
      </c>
      <c r="AO28" s="74" t="str">
        <f t="shared" si="23"/>
        <v/>
      </c>
      <c r="AP28" s="62" t="str">
        <f t="shared" si="23"/>
        <v/>
      </c>
      <c r="AQ28" s="324" t="str">
        <f t="shared" si="24"/>
        <v/>
      </c>
      <c r="AR28" s="74" t="str">
        <f t="shared" si="6"/>
        <v/>
      </c>
      <c r="AS28" s="62" t="str">
        <f t="shared" si="7"/>
        <v/>
      </c>
      <c r="AT28" s="324" t="str">
        <f t="shared" si="25"/>
        <v/>
      </c>
    </row>
    <row r="29" spans="1:46" ht="18" customHeight="1" x14ac:dyDescent="0.2">
      <c r="A29" s="77" t="str">
        <f>IF($C$9="Data Not Entered On Set-Up Worksheet","",IF(OR(VLOOKUP($C$9,County_Lookup,14,FALSE)="",VLOOKUP($C$9,County_Lookup,14,FALSE)=0),"",VLOOKUP($C$9,County_Lookup,14,FALSE)))</f>
        <v/>
      </c>
      <c r="B29" s="69"/>
      <c r="C29" s="61"/>
      <c r="D29" s="324" t="str">
        <f t="shared" si="8"/>
        <v/>
      </c>
      <c r="E29" s="69"/>
      <c r="F29" s="61"/>
      <c r="G29" s="324" t="str">
        <f t="shared" si="9"/>
        <v/>
      </c>
      <c r="H29" s="69"/>
      <c r="I29" s="61"/>
      <c r="J29" s="324" t="str">
        <f t="shared" si="10"/>
        <v/>
      </c>
      <c r="K29" s="74" t="str">
        <f t="shared" si="11"/>
        <v/>
      </c>
      <c r="L29" s="62" t="str">
        <f t="shared" si="11"/>
        <v/>
      </c>
      <c r="M29" s="324" t="str">
        <f t="shared" si="12"/>
        <v/>
      </c>
      <c r="N29" s="74" t="str">
        <f t="shared" si="2"/>
        <v/>
      </c>
      <c r="O29" s="62" t="str">
        <f t="shared" si="3"/>
        <v/>
      </c>
      <c r="P29" s="324" t="str">
        <f t="shared" si="13"/>
        <v/>
      </c>
      <c r="Q29" s="69"/>
      <c r="R29" s="61"/>
      <c r="S29" s="324" t="str">
        <f t="shared" si="14"/>
        <v/>
      </c>
      <c r="T29" s="69"/>
      <c r="U29" s="61"/>
      <c r="V29" s="324" t="str">
        <f t="shared" si="15"/>
        <v/>
      </c>
      <c r="W29" s="69"/>
      <c r="X29" s="61"/>
      <c r="Y29" s="324" t="str">
        <f t="shared" si="16"/>
        <v/>
      </c>
      <c r="Z29" s="74" t="str">
        <f t="shared" si="17"/>
        <v/>
      </c>
      <c r="AA29" s="62" t="str">
        <f t="shared" si="17"/>
        <v/>
      </c>
      <c r="AB29" s="324" t="str">
        <f t="shared" si="18"/>
        <v/>
      </c>
      <c r="AC29" s="74" t="str">
        <f t="shared" si="4"/>
        <v/>
      </c>
      <c r="AD29" s="62" t="str">
        <f t="shared" si="5"/>
        <v/>
      </c>
      <c r="AE29" s="324" t="str">
        <f t="shared" si="19"/>
        <v/>
      </c>
      <c r="AF29" s="69"/>
      <c r="AG29" s="61"/>
      <c r="AH29" s="324" t="str">
        <f t="shared" si="20"/>
        <v/>
      </c>
      <c r="AI29" s="69"/>
      <c r="AJ29" s="61"/>
      <c r="AK29" s="324" t="str">
        <f t="shared" si="21"/>
        <v/>
      </c>
      <c r="AL29" s="69"/>
      <c r="AM29" s="61"/>
      <c r="AN29" s="324" t="str">
        <f t="shared" si="22"/>
        <v/>
      </c>
      <c r="AO29" s="74" t="str">
        <f t="shared" si="23"/>
        <v/>
      </c>
      <c r="AP29" s="62" t="str">
        <f t="shared" si="23"/>
        <v/>
      </c>
      <c r="AQ29" s="324" t="str">
        <f t="shared" si="24"/>
        <v/>
      </c>
      <c r="AR29" s="74" t="str">
        <f t="shared" si="6"/>
        <v/>
      </c>
      <c r="AS29" s="62" t="str">
        <f t="shared" si="7"/>
        <v/>
      </c>
      <c r="AT29" s="324" t="str">
        <f t="shared" si="25"/>
        <v/>
      </c>
    </row>
    <row r="30" spans="1:46" ht="18" customHeight="1" x14ac:dyDescent="0.2">
      <c r="A30" s="76" t="str">
        <f>IF($C$9="Data Not Entered On Set-Up Worksheet","",IF(OR(VLOOKUP($C$9,County_Lookup,15,FALSE)="",VLOOKUP($C$9,County_Lookup,15,FALSE)=0),"",VLOOKUP($C$9,County_Lookup,15,FALSE)))</f>
        <v/>
      </c>
      <c r="B30" s="69"/>
      <c r="C30" s="61"/>
      <c r="D30" s="324" t="str">
        <f t="shared" si="8"/>
        <v/>
      </c>
      <c r="E30" s="69"/>
      <c r="F30" s="61"/>
      <c r="G30" s="324" t="str">
        <f t="shared" si="9"/>
        <v/>
      </c>
      <c r="H30" s="69"/>
      <c r="I30" s="61"/>
      <c r="J30" s="324" t="str">
        <f t="shared" si="10"/>
        <v/>
      </c>
      <c r="K30" s="74" t="str">
        <f t="shared" si="11"/>
        <v/>
      </c>
      <c r="L30" s="62" t="str">
        <f t="shared" si="11"/>
        <v/>
      </c>
      <c r="M30" s="324" t="str">
        <f t="shared" si="12"/>
        <v/>
      </c>
      <c r="N30" s="74" t="str">
        <f t="shared" si="2"/>
        <v/>
      </c>
      <c r="O30" s="62" t="str">
        <f t="shared" si="3"/>
        <v/>
      </c>
      <c r="P30" s="324" t="str">
        <f t="shared" si="13"/>
        <v/>
      </c>
      <c r="Q30" s="69"/>
      <c r="R30" s="61"/>
      <c r="S30" s="324" t="str">
        <f t="shared" si="14"/>
        <v/>
      </c>
      <c r="T30" s="69"/>
      <c r="U30" s="61"/>
      <c r="V30" s="324" t="str">
        <f t="shared" si="15"/>
        <v/>
      </c>
      <c r="W30" s="69"/>
      <c r="X30" s="61"/>
      <c r="Y30" s="324" t="str">
        <f t="shared" si="16"/>
        <v/>
      </c>
      <c r="Z30" s="74" t="str">
        <f t="shared" si="17"/>
        <v/>
      </c>
      <c r="AA30" s="62" t="str">
        <f t="shared" si="17"/>
        <v/>
      </c>
      <c r="AB30" s="324" t="str">
        <f t="shared" si="18"/>
        <v/>
      </c>
      <c r="AC30" s="74" t="str">
        <f t="shared" si="4"/>
        <v/>
      </c>
      <c r="AD30" s="62" t="str">
        <f t="shared" si="5"/>
        <v/>
      </c>
      <c r="AE30" s="324" t="str">
        <f t="shared" si="19"/>
        <v/>
      </c>
      <c r="AF30" s="69"/>
      <c r="AG30" s="61"/>
      <c r="AH30" s="324" t="str">
        <f t="shared" si="20"/>
        <v/>
      </c>
      <c r="AI30" s="69"/>
      <c r="AJ30" s="61"/>
      <c r="AK30" s="324" t="str">
        <f t="shared" si="21"/>
        <v/>
      </c>
      <c r="AL30" s="69"/>
      <c r="AM30" s="61"/>
      <c r="AN30" s="324" t="str">
        <f t="shared" si="22"/>
        <v/>
      </c>
      <c r="AO30" s="74" t="str">
        <f t="shared" si="23"/>
        <v/>
      </c>
      <c r="AP30" s="62" t="str">
        <f t="shared" si="23"/>
        <v/>
      </c>
      <c r="AQ30" s="324" t="str">
        <f t="shared" si="24"/>
        <v/>
      </c>
      <c r="AR30" s="74" t="str">
        <f t="shared" si="6"/>
        <v/>
      </c>
      <c r="AS30" s="62" t="str">
        <f t="shared" si="7"/>
        <v/>
      </c>
      <c r="AT30" s="324" t="str">
        <f t="shared" si="25"/>
        <v/>
      </c>
    </row>
    <row r="31" spans="1:46" ht="18" customHeight="1" x14ac:dyDescent="0.2">
      <c r="A31" s="77" t="str">
        <f>IF($C$9="Data Not Entered On Set-Up Worksheet","",IF(OR(VLOOKUP($C$9,County_Lookup,16,FALSE)="",VLOOKUP($C$9,County_Lookup,16,FALSE)=0),"",VLOOKUP($C$9,County_Lookup,16,FALSE)))</f>
        <v/>
      </c>
      <c r="B31" s="69"/>
      <c r="C31" s="61"/>
      <c r="D31" s="324" t="str">
        <f t="shared" si="8"/>
        <v/>
      </c>
      <c r="E31" s="69"/>
      <c r="F31" s="61"/>
      <c r="G31" s="324" t="str">
        <f t="shared" si="9"/>
        <v/>
      </c>
      <c r="H31" s="69"/>
      <c r="I31" s="61"/>
      <c r="J31" s="324" t="str">
        <f t="shared" si="10"/>
        <v/>
      </c>
      <c r="K31" s="74" t="str">
        <f t="shared" si="11"/>
        <v/>
      </c>
      <c r="L31" s="62" t="str">
        <f t="shared" si="11"/>
        <v/>
      </c>
      <c r="M31" s="324" t="str">
        <f t="shared" si="12"/>
        <v/>
      </c>
      <c r="N31" s="74" t="str">
        <f t="shared" si="2"/>
        <v/>
      </c>
      <c r="O31" s="62" t="str">
        <f t="shared" si="3"/>
        <v/>
      </c>
      <c r="P31" s="324" t="str">
        <f t="shared" si="13"/>
        <v/>
      </c>
      <c r="Q31" s="69"/>
      <c r="R31" s="61"/>
      <c r="S31" s="324" t="str">
        <f t="shared" si="14"/>
        <v/>
      </c>
      <c r="T31" s="69"/>
      <c r="U31" s="61"/>
      <c r="V31" s="324" t="str">
        <f t="shared" si="15"/>
        <v/>
      </c>
      <c r="W31" s="69"/>
      <c r="X31" s="61"/>
      <c r="Y31" s="324" t="str">
        <f t="shared" si="16"/>
        <v/>
      </c>
      <c r="Z31" s="74" t="str">
        <f t="shared" si="17"/>
        <v/>
      </c>
      <c r="AA31" s="62" t="str">
        <f t="shared" si="17"/>
        <v/>
      </c>
      <c r="AB31" s="324" t="str">
        <f t="shared" si="18"/>
        <v/>
      </c>
      <c r="AC31" s="74" t="str">
        <f t="shared" si="4"/>
        <v/>
      </c>
      <c r="AD31" s="62" t="str">
        <f t="shared" si="5"/>
        <v/>
      </c>
      <c r="AE31" s="324" t="str">
        <f t="shared" si="19"/>
        <v/>
      </c>
      <c r="AF31" s="69"/>
      <c r="AG31" s="61"/>
      <c r="AH31" s="324" t="str">
        <f t="shared" si="20"/>
        <v/>
      </c>
      <c r="AI31" s="69"/>
      <c r="AJ31" s="61"/>
      <c r="AK31" s="324" t="str">
        <f t="shared" si="21"/>
        <v/>
      </c>
      <c r="AL31" s="69"/>
      <c r="AM31" s="61"/>
      <c r="AN31" s="324" t="str">
        <f t="shared" si="22"/>
        <v/>
      </c>
      <c r="AO31" s="74" t="str">
        <f t="shared" si="23"/>
        <v/>
      </c>
      <c r="AP31" s="62" t="str">
        <f t="shared" si="23"/>
        <v/>
      </c>
      <c r="AQ31" s="324" t="str">
        <f t="shared" si="24"/>
        <v/>
      </c>
      <c r="AR31" s="74" t="str">
        <f t="shared" si="6"/>
        <v/>
      </c>
      <c r="AS31" s="62" t="str">
        <f t="shared" si="7"/>
        <v/>
      </c>
      <c r="AT31" s="324" t="str">
        <f t="shared" si="25"/>
        <v/>
      </c>
    </row>
    <row r="32" spans="1:46" ht="18" customHeight="1" x14ac:dyDescent="0.2">
      <c r="A32" s="77" t="str">
        <f>IF($C$9="Data Not Entered On Set-Up Worksheet","",IF(OR(VLOOKUP($C$9,County_Lookup,17,FALSE)="",VLOOKUP($C$9,County_Lookup,17,FALSE)=0),"",VLOOKUP($C$9,County_Lookup,17,FALSE)))</f>
        <v/>
      </c>
      <c r="B32" s="69"/>
      <c r="C32" s="61"/>
      <c r="D32" s="324" t="str">
        <f t="shared" si="8"/>
        <v/>
      </c>
      <c r="E32" s="69"/>
      <c r="F32" s="61"/>
      <c r="G32" s="324" t="str">
        <f t="shared" si="9"/>
        <v/>
      </c>
      <c r="H32" s="69"/>
      <c r="I32" s="61"/>
      <c r="J32" s="324" t="str">
        <f t="shared" si="10"/>
        <v/>
      </c>
      <c r="K32" s="74" t="str">
        <f t="shared" si="11"/>
        <v/>
      </c>
      <c r="L32" s="62" t="str">
        <f t="shared" si="11"/>
        <v/>
      </c>
      <c r="M32" s="324" t="str">
        <f t="shared" si="12"/>
        <v/>
      </c>
      <c r="N32" s="74" t="str">
        <f t="shared" si="2"/>
        <v/>
      </c>
      <c r="O32" s="62" t="str">
        <f t="shared" si="3"/>
        <v/>
      </c>
      <c r="P32" s="324" t="str">
        <f t="shared" si="13"/>
        <v/>
      </c>
      <c r="Q32" s="69"/>
      <c r="R32" s="61"/>
      <c r="S32" s="324" t="str">
        <f t="shared" si="14"/>
        <v/>
      </c>
      <c r="T32" s="69"/>
      <c r="U32" s="61"/>
      <c r="V32" s="324" t="str">
        <f t="shared" si="15"/>
        <v/>
      </c>
      <c r="W32" s="69"/>
      <c r="X32" s="61"/>
      <c r="Y32" s="324" t="str">
        <f t="shared" si="16"/>
        <v/>
      </c>
      <c r="Z32" s="74" t="str">
        <f t="shared" si="17"/>
        <v/>
      </c>
      <c r="AA32" s="62" t="str">
        <f t="shared" si="17"/>
        <v/>
      </c>
      <c r="AB32" s="324" t="str">
        <f t="shared" si="18"/>
        <v/>
      </c>
      <c r="AC32" s="74" t="str">
        <f t="shared" si="4"/>
        <v/>
      </c>
      <c r="AD32" s="62" t="str">
        <f t="shared" si="5"/>
        <v/>
      </c>
      <c r="AE32" s="324" t="str">
        <f t="shared" si="19"/>
        <v/>
      </c>
      <c r="AF32" s="69"/>
      <c r="AG32" s="61"/>
      <c r="AH32" s="324" t="str">
        <f t="shared" si="20"/>
        <v/>
      </c>
      <c r="AI32" s="69"/>
      <c r="AJ32" s="61"/>
      <c r="AK32" s="324" t="str">
        <f t="shared" si="21"/>
        <v/>
      </c>
      <c r="AL32" s="69"/>
      <c r="AM32" s="61"/>
      <c r="AN32" s="324" t="str">
        <f t="shared" si="22"/>
        <v/>
      </c>
      <c r="AO32" s="74" t="str">
        <f t="shared" si="23"/>
        <v/>
      </c>
      <c r="AP32" s="62" t="str">
        <f t="shared" si="23"/>
        <v/>
      </c>
      <c r="AQ32" s="324" t="str">
        <f t="shared" si="24"/>
        <v/>
      </c>
      <c r="AR32" s="74" t="str">
        <f t="shared" si="6"/>
        <v/>
      </c>
      <c r="AS32" s="62" t="str">
        <f t="shared" si="7"/>
        <v/>
      </c>
      <c r="AT32" s="324" t="str">
        <f t="shared" si="25"/>
        <v/>
      </c>
    </row>
    <row r="33" spans="1:46" ht="18" customHeight="1" x14ac:dyDescent="0.2">
      <c r="A33" s="77" t="str">
        <f>IF($C$9="Data Not Entered On Set-Up Worksheet","",IF(OR(VLOOKUP($C$9,County_Lookup,18,FALSE)="",VLOOKUP($C$9,County_Lookup,18,FALSE)=0),"",VLOOKUP($C$9,County_Lookup,18,FALSE)))</f>
        <v/>
      </c>
      <c r="B33" s="69"/>
      <c r="C33" s="61"/>
      <c r="D33" s="324" t="str">
        <f t="shared" si="8"/>
        <v/>
      </c>
      <c r="E33" s="69"/>
      <c r="F33" s="61"/>
      <c r="G33" s="324" t="str">
        <f t="shared" si="9"/>
        <v/>
      </c>
      <c r="H33" s="69"/>
      <c r="I33" s="61"/>
      <c r="J33" s="324" t="str">
        <f t="shared" si="10"/>
        <v/>
      </c>
      <c r="K33" s="74" t="str">
        <f t="shared" si="11"/>
        <v/>
      </c>
      <c r="L33" s="62" t="str">
        <f t="shared" si="11"/>
        <v/>
      </c>
      <c r="M33" s="324" t="str">
        <f t="shared" si="12"/>
        <v/>
      </c>
      <c r="N33" s="74" t="str">
        <f t="shared" si="2"/>
        <v/>
      </c>
      <c r="O33" s="62" t="str">
        <f t="shared" si="3"/>
        <v/>
      </c>
      <c r="P33" s="324" t="str">
        <f t="shared" si="13"/>
        <v/>
      </c>
      <c r="Q33" s="69"/>
      <c r="R33" s="61"/>
      <c r="S33" s="324" t="str">
        <f t="shared" si="14"/>
        <v/>
      </c>
      <c r="T33" s="69"/>
      <c r="U33" s="61"/>
      <c r="V33" s="324" t="str">
        <f t="shared" si="15"/>
        <v/>
      </c>
      <c r="W33" s="69"/>
      <c r="X33" s="61"/>
      <c r="Y33" s="324" t="str">
        <f t="shared" si="16"/>
        <v/>
      </c>
      <c r="Z33" s="74" t="str">
        <f t="shared" si="17"/>
        <v/>
      </c>
      <c r="AA33" s="62" t="str">
        <f t="shared" si="17"/>
        <v/>
      </c>
      <c r="AB33" s="324" t="str">
        <f t="shared" si="18"/>
        <v/>
      </c>
      <c r="AC33" s="74" t="str">
        <f t="shared" si="4"/>
        <v/>
      </c>
      <c r="AD33" s="62" t="str">
        <f t="shared" si="5"/>
        <v/>
      </c>
      <c r="AE33" s="324" t="str">
        <f t="shared" si="19"/>
        <v/>
      </c>
      <c r="AF33" s="69"/>
      <c r="AG33" s="61"/>
      <c r="AH33" s="324" t="str">
        <f t="shared" si="20"/>
        <v/>
      </c>
      <c r="AI33" s="69"/>
      <c r="AJ33" s="61"/>
      <c r="AK33" s="324" t="str">
        <f t="shared" si="21"/>
        <v/>
      </c>
      <c r="AL33" s="69"/>
      <c r="AM33" s="61"/>
      <c r="AN33" s="324" t="str">
        <f t="shared" si="22"/>
        <v/>
      </c>
      <c r="AO33" s="74" t="str">
        <f t="shared" si="23"/>
        <v/>
      </c>
      <c r="AP33" s="62" t="str">
        <f t="shared" si="23"/>
        <v/>
      </c>
      <c r="AQ33" s="324" t="str">
        <f t="shared" si="24"/>
        <v/>
      </c>
      <c r="AR33" s="74" t="str">
        <f t="shared" si="6"/>
        <v/>
      </c>
      <c r="AS33" s="62" t="str">
        <f t="shared" si="7"/>
        <v/>
      </c>
      <c r="AT33" s="324" t="str">
        <f t="shared" si="25"/>
        <v/>
      </c>
    </row>
    <row r="34" spans="1:46" ht="18" customHeight="1" x14ac:dyDescent="0.2">
      <c r="A34" s="77" t="str">
        <f>IF($C$9="Data Not Entered On Set-Up Worksheet","",IF(OR(VLOOKUP($C$9,County_Lookup,19,FALSE)="",VLOOKUP($C$9,County_Lookup,19,FALSE)=0),"",VLOOKUP($C$9,County_Lookup,19,FALSE)))</f>
        <v/>
      </c>
      <c r="B34" s="69"/>
      <c r="C34" s="61"/>
      <c r="D34" s="324" t="str">
        <f t="shared" si="8"/>
        <v/>
      </c>
      <c r="E34" s="69"/>
      <c r="F34" s="61"/>
      <c r="G34" s="324" t="str">
        <f t="shared" si="9"/>
        <v/>
      </c>
      <c r="H34" s="69"/>
      <c r="I34" s="61"/>
      <c r="J34" s="324" t="str">
        <f t="shared" si="10"/>
        <v/>
      </c>
      <c r="K34" s="74" t="str">
        <f t="shared" si="11"/>
        <v/>
      </c>
      <c r="L34" s="62" t="str">
        <f t="shared" si="11"/>
        <v/>
      </c>
      <c r="M34" s="324" t="str">
        <f t="shared" si="12"/>
        <v/>
      </c>
      <c r="N34" s="74" t="str">
        <f t="shared" si="2"/>
        <v/>
      </c>
      <c r="O34" s="62" t="str">
        <f t="shared" si="3"/>
        <v/>
      </c>
      <c r="P34" s="324" t="str">
        <f t="shared" si="13"/>
        <v/>
      </c>
      <c r="Q34" s="69"/>
      <c r="R34" s="61"/>
      <c r="S34" s="324" t="str">
        <f t="shared" si="14"/>
        <v/>
      </c>
      <c r="T34" s="69"/>
      <c r="U34" s="61"/>
      <c r="V34" s="324" t="str">
        <f t="shared" si="15"/>
        <v/>
      </c>
      <c r="W34" s="69"/>
      <c r="X34" s="61"/>
      <c r="Y34" s="324" t="str">
        <f t="shared" si="16"/>
        <v/>
      </c>
      <c r="Z34" s="74" t="str">
        <f t="shared" si="17"/>
        <v/>
      </c>
      <c r="AA34" s="62" t="str">
        <f t="shared" si="17"/>
        <v/>
      </c>
      <c r="AB34" s="324" t="str">
        <f t="shared" si="18"/>
        <v/>
      </c>
      <c r="AC34" s="74" t="str">
        <f t="shared" si="4"/>
        <v/>
      </c>
      <c r="AD34" s="62" t="str">
        <f t="shared" si="5"/>
        <v/>
      </c>
      <c r="AE34" s="324" t="str">
        <f t="shared" si="19"/>
        <v/>
      </c>
      <c r="AF34" s="69"/>
      <c r="AG34" s="61"/>
      <c r="AH34" s="324" t="str">
        <f t="shared" si="20"/>
        <v/>
      </c>
      <c r="AI34" s="69"/>
      <c r="AJ34" s="61"/>
      <c r="AK34" s="324" t="str">
        <f t="shared" si="21"/>
        <v/>
      </c>
      <c r="AL34" s="69"/>
      <c r="AM34" s="61"/>
      <c r="AN34" s="324" t="str">
        <f t="shared" si="22"/>
        <v/>
      </c>
      <c r="AO34" s="74" t="str">
        <f t="shared" si="23"/>
        <v/>
      </c>
      <c r="AP34" s="62" t="str">
        <f t="shared" si="23"/>
        <v/>
      </c>
      <c r="AQ34" s="324" t="str">
        <f t="shared" si="24"/>
        <v/>
      </c>
      <c r="AR34" s="74" t="str">
        <f t="shared" si="6"/>
        <v/>
      </c>
      <c r="AS34" s="62" t="str">
        <f t="shared" si="7"/>
        <v/>
      </c>
      <c r="AT34" s="324" t="str">
        <f t="shared" si="25"/>
        <v/>
      </c>
    </row>
    <row r="35" spans="1:46" ht="18" customHeight="1" x14ac:dyDescent="0.2">
      <c r="A35" s="77" t="str">
        <f>IF($C$9="Data Not Entered On Set-Up Worksheet","",IF(OR(VLOOKUP($C$9,County_Lookup,20,FALSE)="",VLOOKUP($C$9,County_Lookup,20,FALSE)=0),"",VLOOKUP($C$9,County_Lookup,20,FALSE)))</f>
        <v/>
      </c>
      <c r="B35" s="69"/>
      <c r="C35" s="61"/>
      <c r="D35" s="324" t="str">
        <f t="shared" si="8"/>
        <v/>
      </c>
      <c r="E35" s="69"/>
      <c r="F35" s="61"/>
      <c r="G35" s="324" t="str">
        <f t="shared" si="9"/>
        <v/>
      </c>
      <c r="H35" s="69"/>
      <c r="I35" s="61"/>
      <c r="J35" s="324" t="str">
        <f t="shared" si="10"/>
        <v/>
      </c>
      <c r="K35" s="74" t="str">
        <f t="shared" si="11"/>
        <v/>
      </c>
      <c r="L35" s="62" t="str">
        <f t="shared" si="11"/>
        <v/>
      </c>
      <c r="M35" s="324" t="str">
        <f t="shared" si="12"/>
        <v/>
      </c>
      <c r="N35" s="74" t="str">
        <f t="shared" si="2"/>
        <v/>
      </c>
      <c r="O35" s="62" t="str">
        <f t="shared" si="3"/>
        <v/>
      </c>
      <c r="P35" s="324" t="str">
        <f t="shared" si="13"/>
        <v/>
      </c>
      <c r="Q35" s="69"/>
      <c r="R35" s="61"/>
      <c r="S35" s="324" t="str">
        <f t="shared" si="14"/>
        <v/>
      </c>
      <c r="T35" s="69"/>
      <c r="U35" s="61"/>
      <c r="V35" s="324" t="str">
        <f t="shared" si="15"/>
        <v/>
      </c>
      <c r="W35" s="69"/>
      <c r="X35" s="61"/>
      <c r="Y35" s="324" t="str">
        <f t="shared" si="16"/>
        <v/>
      </c>
      <c r="Z35" s="74" t="str">
        <f t="shared" si="17"/>
        <v/>
      </c>
      <c r="AA35" s="62" t="str">
        <f t="shared" si="17"/>
        <v/>
      </c>
      <c r="AB35" s="324" t="str">
        <f t="shared" si="18"/>
        <v/>
      </c>
      <c r="AC35" s="74" t="str">
        <f t="shared" si="4"/>
        <v/>
      </c>
      <c r="AD35" s="62" t="str">
        <f t="shared" si="5"/>
        <v/>
      </c>
      <c r="AE35" s="324" t="str">
        <f t="shared" si="19"/>
        <v/>
      </c>
      <c r="AF35" s="69"/>
      <c r="AG35" s="61"/>
      <c r="AH35" s="324" t="str">
        <f t="shared" si="20"/>
        <v/>
      </c>
      <c r="AI35" s="69"/>
      <c r="AJ35" s="61"/>
      <c r="AK35" s="324" t="str">
        <f t="shared" si="21"/>
        <v/>
      </c>
      <c r="AL35" s="69"/>
      <c r="AM35" s="61"/>
      <c r="AN35" s="324" t="str">
        <f t="shared" si="22"/>
        <v/>
      </c>
      <c r="AO35" s="74" t="str">
        <f t="shared" si="23"/>
        <v/>
      </c>
      <c r="AP35" s="62" t="str">
        <f t="shared" si="23"/>
        <v/>
      </c>
      <c r="AQ35" s="324" t="str">
        <f t="shared" si="24"/>
        <v/>
      </c>
      <c r="AR35" s="74" t="str">
        <f t="shared" si="6"/>
        <v/>
      </c>
      <c r="AS35" s="62" t="str">
        <f t="shared" si="7"/>
        <v/>
      </c>
      <c r="AT35" s="324" t="str">
        <f t="shared" si="25"/>
        <v/>
      </c>
    </row>
    <row r="36" spans="1:46" ht="18" customHeight="1" x14ac:dyDescent="0.2">
      <c r="A36" s="77" t="str">
        <f>IF($C$9="Data Not Entered On Set-Up Worksheet","",IF(OR(VLOOKUP($C$9,County_Lookup,21,FALSE)="",VLOOKUP($C$9,County_Lookup,21,FALSE)=0),"",VLOOKUP($C$9,County_Lookup,21,FALSE)))</f>
        <v/>
      </c>
      <c r="B36" s="69"/>
      <c r="C36" s="61"/>
      <c r="D36" s="324" t="str">
        <f t="shared" si="8"/>
        <v/>
      </c>
      <c r="E36" s="69"/>
      <c r="F36" s="61"/>
      <c r="G36" s="324" t="str">
        <f t="shared" si="9"/>
        <v/>
      </c>
      <c r="H36" s="69"/>
      <c r="I36" s="61"/>
      <c r="J36" s="324" t="str">
        <f t="shared" si="10"/>
        <v/>
      </c>
      <c r="K36" s="74" t="str">
        <f t="shared" si="11"/>
        <v/>
      </c>
      <c r="L36" s="62" t="str">
        <f t="shared" si="11"/>
        <v/>
      </c>
      <c r="M36" s="324" t="str">
        <f t="shared" si="12"/>
        <v/>
      </c>
      <c r="N36" s="74" t="str">
        <f t="shared" si="2"/>
        <v/>
      </c>
      <c r="O36" s="62" t="str">
        <f t="shared" si="3"/>
        <v/>
      </c>
      <c r="P36" s="324" t="str">
        <f t="shared" si="13"/>
        <v/>
      </c>
      <c r="Q36" s="69"/>
      <c r="R36" s="61"/>
      <c r="S36" s="324" t="str">
        <f t="shared" si="14"/>
        <v/>
      </c>
      <c r="T36" s="69"/>
      <c r="U36" s="61"/>
      <c r="V36" s="324" t="str">
        <f t="shared" si="15"/>
        <v/>
      </c>
      <c r="W36" s="69"/>
      <c r="X36" s="61"/>
      <c r="Y36" s="324" t="str">
        <f t="shared" si="16"/>
        <v/>
      </c>
      <c r="Z36" s="74" t="str">
        <f t="shared" si="17"/>
        <v/>
      </c>
      <c r="AA36" s="62" t="str">
        <f t="shared" si="17"/>
        <v/>
      </c>
      <c r="AB36" s="324" t="str">
        <f t="shared" si="18"/>
        <v/>
      </c>
      <c r="AC36" s="74" t="str">
        <f t="shared" si="4"/>
        <v/>
      </c>
      <c r="AD36" s="62" t="str">
        <f t="shared" si="5"/>
        <v/>
      </c>
      <c r="AE36" s="324" t="str">
        <f t="shared" si="19"/>
        <v/>
      </c>
      <c r="AF36" s="69"/>
      <c r="AG36" s="61"/>
      <c r="AH36" s="324" t="str">
        <f t="shared" si="20"/>
        <v/>
      </c>
      <c r="AI36" s="69"/>
      <c r="AJ36" s="61"/>
      <c r="AK36" s="324" t="str">
        <f t="shared" si="21"/>
        <v/>
      </c>
      <c r="AL36" s="69"/>
      <c r="AM36" s="61"/>
      <c r="AN36" s="324" t="str">
        <f t="shared" si="22"/>
        <v/>
      </c>
      <c r="AO36" s="74" t="str">
        <f t="shared" si="23"/>
        <v/>
      </c>
      <c r="AP36" s="62" t="str">
        <f t="shared" si="23"/>
        <v/>
      </c>
      <c r="AQ36" s="324" t="str">
        <f t="shared" si="24"/>
        <v/>
      </c>
      <c r="AR36" s="74" t="str">
        <f t="shared" si="6"/>
        <v/>
      </c>
      <c r="AS36" s="62" t="str">
        <f t="shared" si="7"/>
        <v/>
      </c>
      <c r="AT36" s="324" t="str">
        <f t="shared" si="25"/>
        <v/>
      </c>
    </row>
    <row r="37" spans="1:46" ht="18" customHeight="1" x14ac:dyDescent="0.2">
      <c r="A37" s="76" t="str">
        <f>IF($C$9="Data Not Entered On Set-Up Worksheet","",IF(OR(VLOOKUP($C$9,County_Lookup,22,FALSE)="",VLOOKUP($C$9,County_Lookup,22,FALSE)=0),"",VLOOKUP($C$9,County_Lookup,22,FALSE)))</f>
        <v/>
      </c>
      <c r="B37" s="69"/>
      <c r="C37" s="61"/>
      <c r="D37" s="324" t="str">
        <f t="shared" si="8"/>
        <v/>
      </c>
      <c r="E37" s="69"/>
      <c r="F37" s="61"/>
      <c r="G37" s="324" t="str">
        <f t="shared" si="9"/>
        <v/>
      </c>
      <c r="H37" s="69"/>
      <c r="I37" s="61"/>
      <c r="J37" s="324" t="str">
        <f t="shared" si="10"/>
        <v/>
      </c>
      <c r="K37" s="74" t="str">
        <f t="shared" si="11"/>
        <v/>
      </c>
      <c r="L37" s="62" t="str">
        <f t="shared" si="11"/>
        <v/>
      </c>
      <c r="M37" s="324" t="str">
        <f t="shared" si="12"/>
        <v/>
      </c>
      <c r="N37" s="74" t="str">
        <f t="shared" si="2"/>
        <v/>
      </c>
      <c r="O37" s="62" t="str">
        <f t="shared" si="3"/>
        <v/>
      </c>
      <c r="P37" s="324" t="str">
        <f t="shared" si="13"/>
        <v/>
      </c>
      <c r="Q37" s="69"/>
      <c r="R37" s="61"/>
      <c r="S37" s="324" t="str">
        <f t="shared" si="14"/>
        <v/>
      </c>
      <c r="T37" s="69"/>
      <c r="U37" s="61"/>
      <c r="V37" s="324" t="str">
        <f t="shared" si="15"/>
        <v/>
      </c>
      <c r="W37" s="69"/>
      <c r="X37" s="61"/>
      <c r="Y37" s="324" t="str">
        <f t="shared" si="16"/>
        <v/>
      </c>
      <c r="Z37" s="74" t="str">
        <f t="shared" si="17"/>
        <v/>
      </c>
      <c r="AA37" s="62" t="str">
        <f t="shared" si="17"/>
        <v/>
      </c>
      <c r="AB37" s="324" t="str">
        <f t="shared" si="18"/>
        <v/>
      </c>
      <c r="AC37" s="74" t="str">
        <f t="shared" si="4"/>
        <v/>
      </c>
      <c r="AD37" s="62" t="str">
        <f t="shared" si="5"/>
        <v/>
      </c>
      <c r="AE37" s="324" t="str">
        <f t="shared" si="19"/>
        <v/>
      </c>
      <c r="AF37" s="69"/>
      <c r="AG37" s="61"/>
      <c r="AH37" s="324" t="str">
        <f t="shared" si="20"/>
        <v/>
      </c>
      <c r="AI37" s="69"/>
      <c r="AJ37" s="61"/>
      <c r="AK37" s="324" t="str">
        <f t="shared" si="21"/>
        <v/>
      </c>
      <c r="AL37" s="69"/>
      <c r="AM37" s="61"/>
      <c r="AN37" s="324" t="str">
        <f t="shared" si="22"/>
        <v/>
      </c>
      <c r="AO37" s="74" t="str">
        <f t="shared" si="23"/>
        <v/>
      </c>
      <c r="AP37" s="62" t="str">
        <f t="shared" si="23"/>
        <v/>
      </c>
      <c r="AQ37" s="324" t="str">
        <f t="shared" si="24"/>
        <v/>
      </c>
      <c r="AR37" s="74" t="str">
        <f t="shared" si="6"/>
        <v/>
      </c>
      <c r="AS37" s="62" t="str">
        <f t="shared" si="7"/>
        <v/>
      </c>
      <c r="AT37" s="324" t="str">
        <f t="shared" si="25"/>
        <v/>
      </c>
    </row>
    <row r="38" spans="1:46" ht="18" customHeight="1" x14ac:dyDescent="0.2">
      <c r="A38" s="77" t="str">
        <f>IF($C$9="Data Not Entered On Set-Up Worksheet","",IF(OR(VLOOKUP($C$9,County_Lookup,23,FALSE)="",VLOOKUP($C$9,County_Lookup,23,FALSE)=0),"",VLOOKUP($C$9,County_Lookup,23,FALSE)))</f>
        <v/>
      </c>
      <c r="B38" s="69"/>
      <c r="C38" s="61"/>
      <c r="D38" s="324" t="str">
        <f t="shared" si="8"/>
        <v/>
      </c>
      <c r="E38" s="69"/>
      <c r="F38" s="61"/>
      <c r="G38" s="324" t="str">
        <f t="shared" si="9"/>
        <v/>
      </c>
      <c r="H38" s="69"/>
      <c r="I38" s="61"/>
      <c r="J38" s="324" t="str">
        <f t="shared" si="10"/>
        <v/>
      </c>
      <c r="K38" s="74" t="str">
        <f t="shared" si="11"/>
        <v/>
      </c>
      <c r="L38" s="62" t="str">
        <f t="shared" si="11"/>
        <v/>
      </c>
      <c r="M38" s="324" t="str">
        <f t="shared" si="12"/>
        <v/>
      </c>
      <c r="N38" s="74" t="str">
        <f t="shared" si="2"/>
        <v/>
      </c>
      <c r="O38" s="62" t="str">
        <f t="shared" si="3"/>
        <v/>
      </c>
      <c r="P38" s="324" t="str">
        <f t="shared" si="13"/>
        <v/>
      </c>
      <c r="Q38" s="69"/>
      <c r="R38" s="61"/>
      <c r="S38" s="324" t="str">
        <f t="shared" si="14"/>
        <v/>
      </c>
      <c r="T38" s="69"/>
      <c r="U38" s="61"/>
      <c r="V38" s="324" t="str">
        <f t="shared" si="15"/>
        <v/>
      </c>
      <c r="W38" s="69"/>
      <c r="X38" s="61"/>
      <c r="Y38" s="324" t="str">
        <f t="shared" si="16"/>
        <v/>
      </c>
      <c r="Z38" s="74" t="str">
        <f t="shared" si="17"/>
        <v/>
      </c>
      <c r="AA38" s="62" t="str">
        <f t="shared" si="17"/>
        <v/>
      </c>
      <c r="AB38" s="324" t="str">
        <f t="shared" si="18"/>
        <v/>
      </c>
      <c r="AC38" s="74" t="str">
        <f t="shared" si="4"/>
        <v/>
      </c>
      <c r="AD38" s="62" t="str">
        <f t="shared" si="5"/>
        <v/>
      </c>
      <c r="AE38" s="324" t="str">
        <f t="shared" si="19"/>
        <v/>
      </c>
      <c r="AF38" s="69"/>
      <c r="AG38" s="61"/>
      <c r="AH38" s="324" t="str">
        <f t="shared" si="20"/>
        <v/>
      </c>
      <c r="AI38" s="69"/>
      <c r="AJ38" s="61"/>
      <c r="AK38" s="324" t="str">
        <f t="shared" si="21"/>
        <v/>
      </c>
      <c r="AL38" s="69"/>
      <c r="AM38" s="61"/>
      <c r="AN38" s="324" t="str">
        <f t="shared" si="22"/>
        <v/>
      </c>
      <c r="AO38" s="74" t="str">
        <f t="shared" si="23"/>
        <v/>
      </c>
      <c r="AP38" s="62" t="str">
        <f t="shared" si="23"/>
        <v/>
      </c>
      <c r="AQ38" s="324" t="str">
        <f t="shared" si="24"/>
        <v/>
      </c>
      <c r="AR38" s="74" t="str">
        <f t="shared" si="6"/>
        <v/>
      </c>
      <c r="AS38" s="62" t="str">
        <f t="shared" si="7"/>
        <v/>
      </c>
      <c r="AT38" s="324" t="str">
        <f t="shared" si="25"/>
        <v/>
      </c>
    </row>
    <row r="39" spans="1:46" ht="18" customHeight="1" x14ac:dyDescent="0.2">
      <c r="A39" s="77" t="str">
        <f>IF($C$9="Data Not Entered On Set-Up Worksheet","",IF(OR(VLOOKUP($C$9,County_Lookup,24,FALSE)="",VLOOKUP($C$9,County_Lookup,24,FALSE)=0),"",VLOOKUP($C$9,County_Lookup,24,FALSE)))</f>
        <v/>
      </c>
      <c r="B39" s="69"/>
      <c r="C39" s="61"/>
      <c r="D39" s="324" t="str">
        <f t="shared" ref="D39:D41" si="26">IF($A39="","",IF(C39=0,0,B39/C39))</f>
        <v/>
      </c>
      <c r="E39" s="69"/>
      <c r="F39" s="61"/>
      <c r="G39" s="324" t="str">
        <f t="shared" ref="G39:G41" si="27">IF($A39="","",IF(F39=0,0,E39/F39))</f>
        <v/>
      </c>
      <c r="H39" s="69"/>
      <c r="I39" s="61"/>
      <c r="J39" s="324" t="str">
        <f t="shared" ref="J39:J41" si="28">IF($A39="","",IF(I39=0,0,H39/I39))</f>
        <v/>
      </c>
      <c r="K39" s="74" t="str">
        <f t="shared" ref="K39:K41" si="29">IF($A39="","",SUM(E39,H39))</f>
        <v/>
      </c>
      <c r="L39" s="62" t="str">
        <f t="shared" ref="L39:L41" si="30">IF($A39="","",SUM(F39,I39))</f>
        <v/>
      </c>
      <c r="M39" s="324" t="str">
        <f t="shared" ref="M39:M41" si="31">IF($A39="","",IF(L39=0,0,K39/L39))</f>
        <v/>
      </c>
      <c r="N39" s="74" t="str">
        <f t="shared" ref="N39:N41" si="32">IF($A39="","",SUM(B39,E39,H39))</f>
        <v/>
      </c>
      <c r="O39" s="62" t="str">
        <f t="shared" ref="O39:O41" si="33">IF($A39="","",SUM(C39,F39,I39))</f>
        <v/>
      </c>
      <c r="P39" s="324" t="str">
        <f t="shared" ref="P39:P41" si="34">IF($A39="","",IF(O39=0,0,N39/O39))</f>
        <v/>
      </c>
      <c r="Q39" s="69"/>
      <c r="R39" s="61"/>
      <c r="S39" s="324" t="str">
        <f t="shared" ref="S39:S41" si="35">IF($A39="","",IF(R39=0,0,Q39/R39))</f>
        <v/>
      </c>
      <c r="T39" s="69"/>
      <c r="U39" s="61"/>
      <c r="V39" s="324" t="str">
        <f t="shared" ref="V39:V41" si="36">IF($A39="","",IF(U39=0,0,T39/U39))</f>
        <v/>
      </c>
      <c r="W39" s="69"/>
      <c r="X39" s="61"/>
      <c r="Y39" s="324" t="str">
        <f t="shared" ref="Y39:Y41" si="37">IF($A39="","",IF(X39=0,0,W39/X39))</f>
        <v/>
      </c>
      <c r="Z39" s="74" t="str">
        <f t="shared" ref="Z39:Z41" si="38">IF($A39="","",SUM(T39,W39))</f>
        <v/>
      </c>
      <c r="AA39" s="62" t="str">
        <f t="shared" ref="AA39:AA41" si="39">IF($A39="","",SUM(U39,X39))</f>
        <v/>
      </c>
      <c r="AB39" s="324" t="str">
        <f t="shared" ref="AB39:AB41" si="40">IF($A39="","",IF(AA39=0,0,Z39/AA39))</f>
        <v/>
      </c>
      <c r="AC39" s="74" t="str">
        <f t="shared" ref="AC39:AC41" si="41">IF($A39="","",SUM(Q39,T39,W39))</f>
        <v/>
      </c>
      <c r="AD39" s="62" t="str">
        <f t="shared" ref="AD39:AD41" si="42">IF($A39="","",SUM(R39,U39,X39))</f>
        <v/>
      </c>
      <c r="AE39" s="324" t="str">
        <f t="shared" ref="AE39:AE41" si="43">IF($A39="","",IF(AD39=0,0,AC39/AD39))</f>
        <v/>
      </c>
      <c r="AF39" s="69"/>
      <c r="AG39" s="61"/>
      <c r="AH39" s="324" t="str">
        <f t="shared" ref="AH39:AH41" si="44">IF($A39="","",IF(AG39=0,0,AF39/AG39))</f>
        <v/>
      </c>
      <c r="AI39" s="69"/>
      <c r="AJ39" s="61"/>
      <c r="AK39" s="324" t="str">
        <f t="shared" ref="AK39:AK41" si="45">IF($A39="","",IF(AJ39=0,0,AI39/AJ39))</f>
        <v/>
      </c>
      <c r="AL39" s="69"/>
      <c r="AM39" s="61"/>
      <c r="AN39" s="324" t="str">
        <f t="shared" ref="AN39:AN41" si="46">IF($A39="","",IF(AM39=0,0,AL39/AM39))</f>
        <v/>
      </c>
      <c r="AO39" s="74" t="str">
        <f t="shared" ref="AO39:AO41" si="47">IF($A39="","",SUM(AI39,AL39))</f>
        <v/>
      </c>
      <c r="AP39" s="62" t="str">
        <f t="shared" ref="AP39:AP41" si="48">IF($A39="","",SUM(AJ39,AM39))</f>
        <v/>
      </c>
      <c r="AQ39" s="324" t="str">
        <f t="shared" ref="AQ39:AQ41" si="49">IF($A39="","",IF(AP39=0,0,AO39/AP39))</f>
        <v/>
      </c>
      <c r="AR39" s="74" t="str">
        <f t="shared" ref="AR39:AR41" si="50">IF($A39="","",SUM(AF39,AI39,AL39))</f>
        <v/>
      </c>
      <c r="AS39" s="62" t="str">
        <f t="shared" ref="AS39:AS41" si="51">IF($A39="","",SUM(AG39,AJ39,AM39))</f>
        <v/>
      </c>
      <c r="AT39" s="324" t="str">
        <f t="shared" ref="AT39:AT41" si="52">IF($A39="","",IF(AS39=0,0,AR39/AS39))</f>
        <v/>
      </c>
    </row>
    <row r="40" spans="1:46" ht="18" customHeight="1" x14ac:dyDescent="0.2">
      <c r="A40" s="77" t="str">
        <f>IF($C$9="Data Not Entered On Set-Up Worksheet","",IF(OR(VLOOKUP($C$9,County_Lookup,25,FALSE)="",VLOOKUP($C$9,County_Lookup,25,FALSE)=0),"",VLOOKUP($C$9,County_Lookup,25,FALSE)))</f>
        <v/>
      </c>
      <c r="B40" s="69"/>
      <c r="C40" s="61"/>
      <c r="D40" s="324" t="str">
        <f t="shared" si="26"/>
        <v/>
      </c>
      <c r="E40" s="69"/>
      <c r="F40" s="61"/>
      <c r="G40" s="324" t="str">
        <f t="shared" si="27"/>
        <v/>
      </c>
      <c r="H40" s="69"/>
      <c r="I40" s="61"/>
      <c r="J40" s="324" t="str">
        <f t="shared" si="28"/>
        <v/>
      </c>
      <c r="K40" s="74" t="str">
        <f t="shared" si="29"/>
        <v/>
      </c>
      <c r="L40" s="62" t="str">
        <f t="shared" si="30"/>
        <v/>
      </c>
      <c r="M40" s="324" t="str">
        <f t="shared" si="31"/>
        <v/>
      </c>
      <c r="N40" s="74" t="str">
        <f t="shared" si="32"/>
        <v/>
      </c>
      <c r="O40" s="62" t="str">
        <f t="shared" si="33"/>
        <v/>
      </c>
      <c r="P40" s="324" t="str">
        <f t="shared" si="34"/>
        <v/>
      </c>
      <c r="Q40" s="69"/>
      <c r="R40" s="61"/>
      <c r="S40" s="324" t="str">
        <f t="shared" si="35"/>
        <v/>
      </c>
      <c r="T40" s="69"/>
      <c r="U40" s="61"/>
      <c r="V40" s="324" t="str">
        <f t="shared" si="36"/>
        <v/>
      </c>
      <c r="W40" s="69"/>
      <c r="X40" s="61"/>
      <c r="Y40" s="324" t="str">
        <f t="shared" si="37"/>
        <v/>
      </c>
      <c r="Z40" s="74" t="str">
        <f t="shared" si="38"/>
        <v/>
      </c>
      <c r="AA40" s="62" t="str">
        <f t="shared" si="39"/>
        <v/>
      </c>
      <c r="AB40" s="324" t="str">
        <f t="shared" si="40"/>
        <v/>
      </c>
      <c r="AC40" s="74" t="str">
        <f t="shared" si="41"/>
        <v/>
      </c>
      <c r="AD40" s="62" t="str">
        <f t="shared" si="42"/>
        <v/>
      </c>
      <c r="AE40" s="324" t="str">
        <f t="shared" si="43"/>
        <v/>
      </c>
      <c r="AF40" s="69"/>
      <c r="AG40" s="61"/>
      <c r="AH40" s="324" t="str">
        <f t="shared" si="44"/>
        <v/>
      </c>
      <c r="AI40" s="69"/>
      <c r="AJ40" s="61"/>
      <c r="AK40" s="324" t="str">
        <f t="shared" si="45"/>
        <v/>
      </c>
      <c r="AL40" s="69"/>
      <c r="AM40" s="61"/>
      <c r="AN40" s="324" t="str">
        <f t="shared" si="46"/>
        <v/>
      </c>
      <c r="AO40" s="74" t="str">
        <f t="shared" si="47"/>
        <v/>
      </c>
      <c r="AP40" s="62" t="str">
        <f t="shared" si="48"/>
        <v/>
      </c>
      <c r="AQ40" s="324" t="str">
        <f t="shared" si="49"/>
        <v/>
      </c>
      <c r="AR40" s="74" t="str">
        <f t="shared" si="50"/>
        <v/>
      </c>
      <c r="AS40" s="62" t="str">
        <f t="shared" si="51"/>
        <v/>
      </c>
      <c r="AT40" s="324" t="str">
        <f t="shared" si="52"/>
        <v/>
      </c>
    </row>
    <row r="41" spans="1:46" ht="18" customHeight="1" x14ac:dyDescent="0.2">
      <c r="A41" s="77" t="str">
        <f>IF($C$9="Data Not Entered On Set-Up Worksheet","",IF(OR(VLOOKUP($C$9,County_Lookup,26,FALSE)="",VLOOKUP($C$9,County_Lookup,26,FALSE)=0),"",VLOOKUP($C$9,County_Lookup,26,FALSE)))</f>
        <v/>
      </c>
      <c r="B41" s="69"/>
      <c r="C41" s="61"/>
      <c r="D41" s="324" t="str">
        <f t="shared" si="26"/>
        <v/>
      </c>
      <c r="E41" s="69"/>
      <c r="F41" s="61"/>
      <c r="G41" s="324" t="str">
        <f t="shared" si="27"/>
        <v/>
      </c>
      <c r="H41" s="69"/>
      <c r="I41" s="61"/>
      <c r="J41" s="324" t="str">
        <f t="shared" si="28"/>
        <v/>
      </c>
      <c r="K41" s="74" t="str">
        <f t="shared" si="29"/>
        <v/>
      </c>
      <c r="L41" s="62" t="str">
        <f t="shared" si="30"/>
        <v/>
      </c>
      <c r="M41" s="324" t="str">
        <f t="shared" si="31"/>
        <v/>
      </c>
      <c r="N41" s="74" t="str">
        <f t="shared" si="32"/>
        <v/>
      </c>
      <c r="O41" s="62" t="str">
        <f t="shared" si="33"/>
        <v/>
      </c>
      <c r="P41" s="324" t="str">
        <f t="shared" si="34"/>
        <v/>
      </c>
      <c r="Q41" s="69"/>
      <c r="R41" s="61"/>
      <c r="S41" s="324" t="str">
        <f t="shared" si="35"/>
        <v/>
      </c>
      <c r="T41" s="69"/>
      <c r="U41" s="61"/>
      <c r="V41" s="324" t="str">
        <f t="shared" si="36"/>
        <v/>
      </c>
      <c r="W41" s="69"/>
      <c r="X41" s="61"/>
      <c r="Y41" s="324" t="str">
        <f t="shared" si="37"/>
        <v/>
      </c>
      <c r="Z41" s="74" t="str">
        <f t="shared" si="38"/>
        <v/>
      </c>
      <c r="AA41" s="62" t="str">
        <f t="shared" si="39"/>
        <v/>
      </c>
      <c r="AB41" s="324" t="str">
        <f t="shared" si="40"/>
        <v/>
      </c>
      <c r="AC41" s="74" t="str">
        <f t="shared" si="41"/>
        <v/>
      </c>
      <c r="AD41" s="62" t="str">
        <f t="shared" si="42"/>
        <v/>
      </c>
      <c r="AE41" s="324" t="str">
        <f t="shared" si="43"/>
        <v/>
      </c>
      <c r="AF41" s="69"/>
      <c r="AG41" s="61"/>
      <c r="AH41" s="324" t="str">
        <f t="shared" si="44"/>
        <v/>
      </c>
      <c r="AI41" s="69"/>
      <c r="AJ41" s="61"/>
      <c r="AK41" s="324" t="str">
        <f t="shared" si="45"/>
        <v/>
      </c>
      <c r="AL41" s="69"/>
      <c r="AM41" s="61"/>
      <c r="AN41" s="324" t="str">
        <f t="shared" si="46"/>
        <v/>
      </c>
      <c r="AO41" s="74" t="str">
        <f t="shared" si="47"/>
        <v/>
      </c>
      <c r="AP41" s="62" t="str">
        <f t="shared" si="48"/>
        <v/>
      </c>
      <c r="AQ41" s="324" t="str">
        <f t="shared" si="49"/>
        <v/>
      </c>
      <c r="AR41" s="74" t="str">
        <f t="shared" si="50"/>
        <v/>
      </c>
      <c r="AS41" s="62" t="str">
        <f t="shared" si="51"/>
        <v/>
      </c>
      <c r="AT41" s="324" t="str">
        <f t="shared" si="52"/>
        <v/>
      </c>
    </row>
    <row r="42" spans="1:46" ht="18" customHeight="1" x14ac:dyDescent="0.2">
      <c r="A42" s="77" t="str">
        <f>IF($C$9="Data Not Entered On Set-Up Worksheet","",IF(OR(VLOOKUP($C$9,County_Lookup,27,FALSE)="",VLOOKUP($C$9,County_Lookup,27,FALSE)=0),"",VLOOKUP($C$9,County_Lookup,27,FALSE)))</f>
        <v/>
      </c>
      <c r="B42" s="69"/>
      <c r="C42" s="61"/>
      <c r="D42" s="324" t="str">
        <f t="shared" si="8"/>
        <v/>
      </c>
      <c r="E42" s="69"/>
      <c r="F42" s="61"/>
      <c r="G42" s="324" t="str">
        <f t="shared" si="9"/>
        <v/>
      </c>
      <c r="H42" s="69"/>
      <c r="I42" s="61"/>
      <c r="J42" s="324" t="str">
        <f t="shared" si="10"/>
        <v/>
      </c>
      <c r="K42" s="74" t="str">
        <f t="shared" si="11"/>
        <v/>
      </c>
      <c r="L42" s="62" t="str">
        <f t="shared" si="11"/>
        <v/>
      </c>
      <c r="M42" s="324" t="str">
        <f t="shared" si="12"/>
        <v/>
      </c>
      <c r="N42" s="74" t="str">
        <f t="shared" si="2"/>
        <v/>
      </c>
      <c r="O42" s="62" t="str">
        <f t="shared" si="3"/>
        <v/>
      </c>
      <c r="P42" s="324" t="str">
        <f t="shared" si="13"/>
        <v/>
      </c>
      <c r="Q42" s="69"/>
      <c r="R42" s="61"/>
      <c r="S42" s="324" t="str">
        <f t="shared" si="14"/>
        <v/>
      </c>
      <c r="T42" s="69"/>
      <c r="U42" s="61"/>
      <c r="V42" s="324" t="str">
        <f t="shared" si="15"/>
        <v/>
      </c>
      <c r="W42" s="69"/>
      <c r="X42" s="61"/>
      <c r="Y42" s="324" t="str">
        <f t="shared" si="16"/>
        <v/>
      </c>
      <c r="Z42" s="74" t="str">
        <f t="shared" si="17"/>
        <v/>
      </c>
      <c r="AA42" s="62" t="str">
        <f t="shared" si="17"/>
        <v/>
      </c>
      <c r="AB42" s="324" t="str">
        <f t="shared" si="18"/>
        <v/>
      </c>
      <c r="AC42" s="74" t="str">
        <f t="shared" si="4"/>
        <v/>
      </c>
      <c r="AD42" s="62" t="str">
        <f t="shared" si="5"/>
        <v/>
      </c>
      <c r="AE42" s="324" t="str">
        <f t="shared" si="19"/>
        <v/>
      </c>
      <c r="AF42" s="69"/>
      <c r="AG42" s="61"/>
      <c r="AH42" s="324" t="str">
        <f t="shared" si="20"/>
        <v/>
      </c>
      <c r="AI42" s="69"/>
      <c r="AJ42" s="61"/>
      <c r="AK42" s="324" t="str">
        <f t="shared" si="21"/>
        <v/>
      </c>
      <c r="AL42" s="69"/>
      <c r="AM42" s="61"/>
      <c r="AN42" s="324" t="str">
        <f t="shared" si="22"/>
        <v/>
      </c>
      <c r="AO42" s="74" t="str">
        <f t="shared" si="23"/>
        <v/>
      </c>
      <c r="AP42" s="62" t="str">
        <f t="shared" si="23"/>
        <v/>
      </c>
      <c r="AQ42" s="324" t="str">
        <f t="shared" si="24"/>
        <v/>
      </c>
      <c r="AR42" s="74" t="str">
        <f t="shared" si="6"/>
        <v/>
      </c>
      <c r="AS42" s="62" t="str">
        <f t="shared" si="7"/>
        <v/>
      </c>
      <c r="AT42" s="324" t="str">
        <f t="shared" si="25"/>
        <v/>
      </c>
    </row>
    <row r="43" spans="1:46" ht="18" customHeight="1" thickBot="1" x14ac:dyDescent="0.25">
      <c r="A43" s="78" t="s">
        <v>0</v>
      </c>
      <c r="B43" s="71">
        <f>SUM(B17:B42)</f>
        <v>0</v>
      </c>
      <c r="C43" s="72">
        <f>SUM(C17:C42)</f>
        <v>0</v>
      </c>
      <c r="D43" s="325">
        <f t="shared" ref="D43" si="53">IF(C43=0,0,B43/C43)</f>
        <v>0</v>
      </c>
      <c r="E43" s="71">
        <f>SUM(E17:E42)</f>
        <v>0</v>
      </c>
      <c r="F43" s="72">
        <f>SUM(F17:F42)</f>
        <v>0</v>
      </c>
      <c r="G43" s="325">
        <f t="shared" ref="G43" si="54">IF(F43=0,0,E43/F43)</f>
        <v>0</v>
      </c>
      <c r="H43" s="71">
        <f>SUM(H17:H42)</f>
        <v>0</v>
      </c>
      <c r="I43" s="72">
        <f>SUM(I17:I42)</f>
        <v>0</v>
      </c>
      <c r="J43" s="325">
        <f t="shared" ref="J43" si="55">IF(I43=0,0,H43/I43)</f>
        <v>0</v>
      </c>
      <c r="K43" s="71">
        <f>SUM(K17:K42)</f>
        <v>0</v>
      </c>
      <c r="L43" s="72">
        <f>SUM(L17:L42)</f>
        <v>0</v>
      </c>
      <c r="M43" s="325">
        <f t="shared" ref="M43" si="56">IF(L43=0,0,K43/L43)</f>
        <v>0</v>
      </c>
      <c r="N43" s="71">
        <f>SUM(N17:N42)</f>
        <v>0</v>
      </c>
      <c r="O43" s="72">
        <f>SUM(O17:O42)</f>
        <v>0</v>
      </c>
      <c r="P43" s="325">
        <f t="shared" ref="P43" si="57">IF(O43=0,0,N43/O43)</f>
        <v>0</v>
      </c>
      <c r="Q43" s="71">
        <f>SUM(Q17:Q42)</f>
        <v>0</v>
      </c>
      <c r="R43" s="72">
        <f>SUM(R17:R42)</f>
        <v>0</v>
      </c>
      <c r="S43" s="325">
        <f t="shared" ref="S43" si="58">IF(R43=0,0,Q43/R43)</f>
        <v>0</v>
      </c>
      <c r="T43" s="71">
        <f>SUM(T17:T42)</f>
        <v>0</v>
      </c>
      <c r="U43" s="72">
        <f>SUM(U17:U42)</f>
        <v>0</v>
      </c>
      <c r="V43" s="325">
        <f t="shared" ref="V43" si="59">IF(U43=0,0,T43/U43)</f>
        <v>0</v>
      </c>
      <c r="W43" s="71">
        <f>SUM(W17:W42)</f>
        <v>0</v>
      </c>
      <c r="X43" s="72">
        <f>SUM(X17:X42)</f>
        <v>0</v>
      </c>
      <c r="Y43" s="325">
        <f t="shared" ref="Y43" si="60">IF(X43=0,0,W43/X43)</f>
        <v>0</v>
      </c>
      <c r="Z43" s="71">
        <f>SUM(Z17:Z42)</f>
        <v>0</v>
      </c>
      <c r="AA43" s="72">
        <f>SUM(AA17:AA42)</f>
        <v>0</v>
      </c>
      <c r="AB43" s="325">
        <f t="shared" ref="AB43" si="61">IF(AA43=0,0,Z43/AA43)</f>
        <v>0</v>
      </c>
      <c r="AC43" s="71">
        <f>SUM(AC17:AC42)</f>
        <v>0</v>
      </c>
      <c r="AD43" s="72">
        <f>SUM(AD17:AD42)</f>
        <v>0</v>
      </c>
      <c r="AE43" s="325">
        <f t="shared" ref="AE43" si="62">IF(AD43=0,0,AC43/AD43)</f>
        <v>0</v>
      </c>
      <c r="AF43" s="71">
        <f>SUM(AF17:AF42)</f>
        <v>0</v>
      </c>
      <c r="AG43" s="72">
        <f>SUM(AG17:AG42)</f>
        <v>0</v>
      </c>
      <c r="AH43" s="325">
        <f t="shared" ref="AH43" si="63">IF(AG43=0,0,AF43/AG43)</f>
        <v>0</v>
      </c>
      <c r="AI43" s="71">
        <f>SUM(AI17:AI42)</f>
        <v>0</v>
      </c>
      <c r="AJ43" s="72">
        <f>SUM(AJ17:AJ42)</f>
        <v>0</v>
      </c>
      <c r="AK43" s="325">
        <f t="shared" ref="AK43" si="64">IF(AJ43=0,0,AI43/AJ43)</f>
        <v>0</v>
      </c>
      <c r="AL43" s="71">
        <f>SUM(AL17:AL42)</f>
        <v>0</v>
      </c>
      <c r="AM43" s="72">
        <f>SUM(AM17:AM42)</f>
        <v>0</v>
      </c>
      <c r="AN43" s="325">
        <f t="shared" ref="AN43" si="65">IF(AM43=0,0,AL43/AM43)</f>
        <v>0</v>
      </c>
      <c r="AO43" s="71">
        <f>SUM(AO17:AO42)</f>
        <v>0</v>
      </c>
      <c r="AP43" s="72">
        <f>SUM(AP17:AP42)</f>
        <v>0</v>
      </c>
      <c r="AQ43" s="325">
        <f t="shared" ref="AQ43" si="66">IF(AP43=0,0,AO43/AP43)</f>
        <v>0</v>
      </c>
      <c r="AR43" s="71">
        <f>SUM(AR17:AR42)</f>
        <v>0</v>
      </c>
      <c r="AS43" s="72">
        <f>SUM(AS17:AS42)</f>
        <v>0</v>
      </c>
      <c r="AT43" s="325">
        <f t="shared" ref="AT43" si="67">IF(AS43=0,0,AR43/AS43)</f>
        <v>0</v>
      </c>
    </row>
  </sheetData>
  <sheetProtection sheet="1" objects="1" scenarios="1"/>
  <conditionalFormatting sqref="C3:C4">
    <cfRule type="expression" dxfId="550" priority="100">
      <formula>C3="Data Not Entered On Set-Up Worksheet"</formula>
    </cfRule>
  </conditionalFormatting>
  <conditionalFormatting sqref="C9">
    <cfRule type="expression" dxfId="549" priority="99">
      <formula>C9="Data Not Entered On Set-Up Worksheet"</formula>
    </cfRule>
  </conditionalFormatting>
  <conditionalFormatting sqref="C12">
    <cfRule type="expression" dxfId="548" priority="98">
      <formula>C12="Data Not Entered On Set-Up Worksheet"</formula>
    </cfRule>
  </conditionalFormatting>
  <conditionalFormatting sqref="B17:C39 B42:C42">
    <cfRule type="expression" dxfId="547" priority="27">
      <formula>$A17="Other"</formula>
    </cfRule>
    <cfRule type="expression" dxfId="546" priority="97">
      <formula>AND($A17&lt;&gt;"",B17="")</formula>
    </cfRule>
  </conditionalFormatting>
  <conditionalFormatting sqref="F3">
    <cfRule type="expression" dxfId="545" priority="96">
      <formula>F3="Data Not Entered On Set-Up Worksheet"</formula>
    </cfRule>
  </conditionalFormatting>
  <conditionalFormatting sqref="F12">
    <cfRule type="expression" dxfId="544" priority="95">
      <formula>F12="Data Not Entered On Set-Up Worksheet"</formula>
    </cfRule>
  </conditionalFormatting>
  <conditionalFormatting sqref="I3">
    <cfRule type="expression" dxfId="543" priority="94">
      <formula>I3="Data Not Entered On Set-Up Worksheet"</formula>
    </cfRule>
  </conditionalFormatting>
  <conditionalFormatting sqref="I9">
    <cfRule type="expression" dxfId="542" priority="93">
      <formula>I9="Data Not Entered On Set-Up Worksheet"</formula>
    </cfRule>
  </conditionalFormatting>
  <conditionalFormatting sqref="I11:I12">
    <cfRule type="expression" dxfId="541" priority="92">
      <formula>I11="Data Not Entered On Set-Up Worksheet"</formula>
    </cfRule>
  </conditionalFormatting>
  <conditionalFormatting sqref="L3">
    <cfRule type="expression" dxfId="540" priority="91">
      <formula>L3="Data Not Entered On Set-Up Worksheet"</formula>
    </cfRule>
  </conditionalFormatting>
  <conditionalFormatting sqref="L9">
    <cfRule type="expression" dxfId="539" priority="90">
      <formula>L9="Data Not Entered On Set-Up Worksheet"</formula>
    </cfRule>
  </conditionalFormatting>
  <conditionalFormatting sqref="L11:L12">
    <cfRule type="expression" dxfId="538" priority="89">
      <formula>L11="Data Not Entered On Set-Up Worksheet"</formula>
    </cfRule>
  </conditionalFormatting>
  <conditionalFormatting sqref="R3">
    <cfRule type="expression" dxfId="537" priority="88">
      <formula>R3="Data Not Entered On Set-Up Worksheet"</formula>
    </cfRule>
  </conditionalFormatting>
  <conditionalFormatting sqref="R9">
    <cfRule type="expression" dxfId="536" priority="87">
      <formula>R9="Data Not Entered On Set-Up Worksheet"</formula>
    </cfRule>
  </conditionalFormatting>
  <conditionalFormatting sqref="R11:R12">
    <cfRule type="expression" dxfId="535" priority="86">
      <formula>R11="Data Not Entered On Set-Up Worksheet"</formula>
    </cfRule>
  </conditionalFormatting>
  <conditionalFormatting sqref="U3">
    <cfRule type="expression" dxfId="534" priority="85">
      <formula>U3="Data Not Entered On Set-Up Worksheet"</formula>
    </cfRule>
  </conditionalFormatting>
  <conditionalFormatting sqref="U9">
    <cfRule type="expression" dxfId="533" priority="84">
      <formula>U9="Data Not Entered On Set-Up Worksheet"</formula>
    </cfRule>
  </conditionalFormatting>
  <conditionalFormatting sqref="U11:U12">
    <cfRule type="expression" dxfId="532" priority="83">
      <formula>U11="Data Not Entered On Set-Up Worksheet"</formula>
    </cfRule>
  </conditionalFormatting>
  <conditionalFormatting sqref="X3">
    <cfRule type="expression" dxfId="531" priority="82">
      <formula>X3="Data Not Entered On Set-Up Worksheet"</formula>
    </cfRule>
  </conditionalFormatting>
  <conditionalFormatting sqref="X9">
    <cfRule type="expression" dxfId="530" priority="81">
      <formula>X9="Data Not Entered On Set-Up Worksheet"</formula>
    </cfRule>
  </conditionalFormatting>
  <conditionalFormatting sqref="X11:X12">
    <cfRule type="expression" dxfId="529" priority="80">
      <formula>X11="Data Not Entered On Set-Up Worksheet"</formula>
    </cfRule>
  </conditionalFormatting>
  <conditionalFormatting sqref="E17:F39 E42:F42">
    <cfRule type="expression" dxfId="528" priority="26">
      <formula>$A17="Other"</formula>
    </cfRule>
    <cfRule type="expression" dxfId="527" priority="79">
      <formula>AND($A17&lt;&gt;"",E17="")</formula>
    </cfRule>
  </conditionalFormatting>
  <conditionalFormatting sqref="H17:I39 H42:I42">
    <cfRule type="expression" dxfId="526" priority="25">
      <formula>$A17="Other"</formula>
    </cfRule>
    <cfRule type="expression" dxfId="525" priority="78">
      <formula>AND($A17&lt;&gt;"",H17="")</formula>
    </cfRule>
  </conditionalFormatting>
  <conditionalFormatting sqref="Q17:R39 Q42:R42">
    <cfRule type="expression" dxfId="524" priority="77">
      <formula>AND($A17&lt;&gt;"",Q17="")</formula>
    </cfRule>
  </conditionalFormatting>
  <conditionalFormatting sqref="T17:U39 T42:U42">
    <cfRule type="expression" dxfId="523" priority="76">
      <formula>AND($A17&lt;&gt;"",T17="")</formula>
    </cfRule>
  </conditionalFormatting>
  <conditionalFormatting sqref="W17:X39 W42:X42">
    <cfRule type="expression" dxfId="522" priority="75">
      <formula>AND($A17&lt;&gt;"",W17="")</formula>
    </cfRule>
  </conditionalFormatting>
  <conditionalFormatting sqref="AA3">
    <cfRule type="expression" dxfId="521" priority="74">
      <formula>AA3="Data Not Entered On Set-Up Worksheet"</formula>
    </cfRule>
  </conditionalFormatting>
  <conditionalFormatting sqref="AG3">
    <cfRule type="expression" dxfId="520" priority="71">
      <formula>AG3="Data Not Entered On Set-Up Worksheet"</formula>
    </cfRule>
  </conditionalFormatting>
  <conditionalFormatting sqref="AA9">
    <cfRule type="expression" dxfId="519" priority="73">
      <formula>AA9="Data Not Entered On Set-Up Worksheet"</formula>
    </cfRule>
  </conditionalFormatting>
  <conditionalFormatting sqref="AA11:AA12">
    <cfRule type="expression" dxfId="518" priority="72">
      <formula>AA11="Data Not Entered On Set-Up Worksheet"</formula>
    </cfRule>
  </conditionalFormatting>
  <conditionalFormatting sqref="AJ3">
    <cfRule type="expression" dxfId="517" priority="68">
      <formula>AJ3="Data Not Entered On Set-Up Worksheet"</formula>
    </cfRule>
  </conditionalFormatting>
  <conditionalFormatting sqref="AG9">
    <cfRule type="expression" dxfId="516" priority="70">
      <formula>AG9="Data Not Entered On Set-Up Worksheet"</formula>
    </cfRule>
  </conditionalFormatting>
  <conditionalFormatting sqref="AG11:AG12">
    <cfRule type="expression" dxfId="515" priority="69">
      <formula>AG11="Data Not Entered On Set-Up Worksheet"</formula>
    </cfRule>
  </conditionalFormatting>
  <conditionalFormatting sqref="AM3">
    <cfRule type="expression" dxfId="514" priority="65">
      <formula>AM3="Data Not Entered On Set-Up Worksheet"</formula>
    </cfRule>
  </conditionalFormatting>
  <conditionalFormatting sqref="AJ9">
    <cfRule type="expression" dxfId="513" priority="67">
      <formula>AJ9="Data Not Entered On Set-Up Worksheet"</formula>
    </cfRule>
  </conditionalFormatting>
  <conditionalFormatting sqref="AJ11:AJ12">
    <cfRule type="expression" dxfId="512" priority="66">
      <formula>AJ11="Data Not Entered On Set-Up Worksheet"</formula>
    </cfRule>
  </conditionalFormatting>
  <conditionalFormatting sqref="AM9">
    <cfRule type="expression" dxfId="511" priority="64">
      <formula>AM9="Data Not Entered On Set-Up Worksheet"</formula>
    </cfRule>
  </conditionalFormatting>
  <conditionalFormatting sqref="AM11:AM12">
    <cfRule type="expression" dxfId="510" priority="63">
      <formula>AM11="Data Not Entered On Set-Up Worksheet"</formula>
    </cfRule>
  </conditionalFormatting>
  <conditionalFormatting sqref="AF17:AG39 AF42:AG42">
    <cfRule type="expression" dxfId="509" priority="62">
      <formula>AND($A17&lt;&gt;"",AF17="")</formula>
    </cfRule>
  </conditionalFormatting>
  <conditionalFormatting sqref="AI17:AJ39 AI42:AJ42">
    <cfRule type="expression" dxfId="508" priority="61">
      <formula>AND($A17&lt;&gt;"",AI17="")</formula>
    </cfRule>
  </conditionalFormatting>
  <conditionalFormatting sqref="AL17:AM39 AL42:AM42">
    <cfRule type="expression" dxfId="507" priority="60">
      <formula>AND($A17&lt;&gt;"",AL17="")</formula>
    </cfRule>
  </conditionalFormatting>
  <conditionalFormatting sqref="AP3">
    <cfRule type="expression" dxfId="506" priority="59">
      <formula>AP3="Data Not Entered On Set-Up Worksheet"</formula>
    </cfRule>
  </conditionalFormatting>
  <conditionalFormatting sqref="AP9">
    <cfRule type="expression" dxfId="505" priority="58">
      <formula>AP9="Data Not Entered On Set-Up Worksheet"</formula>
    </cfRule>
  </conditionalFormatting>
  <conditionalFormatting sqref="AP11:AP12">
    <cfRule type="expression" dxfId="504" priority="57">
      <formula>AP11="Data Not Entered On Set-Up Worksheet"</formula>
    </cfRule>
  </conditionalFormatting>
  <conditionalFormatting sqref="F10:F11">
    <cfRule type="expression" dxfId="503" priority="47">
      <formula>F10="Data Not Entered On Set-Up Worksheet"</formula>
    </cfRule>
  </conditionalFormatting>
  <conditionalFormatting sqref="C11">
    <cfRule type="expression" dxfId="502" priority="46">
      <formula>C11="Data Not Entered On Set-Up Worksheet"</formula>
    </cfRule>
  </conditionalFormatting>
  <conditionalFormatting sqref="O3">
    <cfRule type="expression" dxfId="501" priority="45">
      <formula>O3="Data Not Entered On Set-Up Worksheet"</formula>
    </cfRule>
  </conditionalFormatting>
  <conditionalFormatting sqref="O9">
    <cfRule type="expression" dxfId="500" priority="44">
      <formula>O9="Data Not Entered On Set-Up Worksheet"</formula>
    </cfRule>
  </conditionalFormatting>
  <conditionalFormatting sqref="O11:O12">
    <cfRule type="expression" dxfId="499" priority="43">
      <formula>O11="Data Not Entered On Set-Up Worksheet"</formula>
    </cfRule>
  </conditionalFormatting>
  <conditionalFormatting sqref="AD3">
    <cfRule type="expression" dxfId="498" priority="42">
      <formula>AD3="Data Not Entered On Set-Up Worksheet"</formula>
    </cfRule>
  </conditionalFormatting>
  <conditionalFormatting sqref="AD9">
    <cfRule type="expression" dxfId="497" priority="41">
      <formula>AD9="Data Not Entered On Set-Up Worksheet"</formula>
    </cfRule>
  </conditionalFormatting>
  <conditionalFormatting sqref="AD11:AD12">
    <cfRule type="expression" dxfId="496" priority="40">
      <formula>AD11="Data Not Entered On Set-Up Worksheet"</formula>
    </cfRule>
  </conditionalFormatting>
  <conditionalFormatting sqref="AS3">
    <cfRule type="expression" dxfId="495" priority="39">
      <formula>AS3="Data Not Entered On Set-Up Worksheet"</formula>
    </cfRule>
  </conditionalFormatting>
  <conditionalFormatting sqref="AS9">
    <cfRule type="expression" dxfId="494" priority="38">
      <formula>AS9="Data Not Entered On Set-Up Worksheet"</formula>
    </cfRule>
  </conditionalFormatting>
  <conditionalFormatting sqref="AS11:AS12">
    <cfRule type="expression" dxfId="493" priority="37">
      <formula>AS11="Data Not Entered On Set-Up Worksheet"</formula>
    </cfRule>
  </conditionalFormatting>
  <conditionalFormatting sqref="Q39:R39">
    <cfRule type="expression" dxfId="492" priority="33">
      <formula>AND($A39&lt;&gt;"",Q39="")</formula>
    </cfRule>
  </conditionalFormatting>
  <conditionalFormatting sqref="T39:U39">
    <cfRule type="expression" dxfId="491" priority="32">
      <formula>AND($A39&lt;&gt;"",T39="")</formula>
    </cfRule>
  </conditionalFormatting>
  <conditionalFormatting sqref="W39:X39">
    <cfRule type="expression" dxfId="490" priority="31">
      <formula>AND($A39&lt;&gt;"",W39="")</formula>
    </cfRule>
  </conditionalFormatting>
  <conditionalFormatting sqref="AF39:AG39">
    <cfRule type="expression" dxfId="489" priority="30">
      <formula>AND($A39&lt;&gt;"",AF39="")</formula>
    </cfRule>
  </conditionalFormatting>
  <conditionalFormatting sqref="AI39:AJ39">
    <cfRule type="expression" dxfId="488" priority="29">
      <formula>AND($A39&lt;&gt;"",AI39="")</formula>
    </cfRule>
  </conditionalFormatting>
  <conditionalFormatting sqref="AL39:AM39">
    <cfRule type="expression" dxfId="487" priority="28">
      <formula>AND($A39&lt;&gt;"",AL39="")</formula>
    </cfRule>
  </conditionalFormatting>
  <conditionalFormatting sqref="B40:C40">
    <cfRule type="expression" dxfId="486" priority="15">
      <formula>$A40="Other"</formula>
    </cfRule>
    <cfRule type="expression" dxfId="485" priority="24">
      <formula>AND($A40&lt;&gt;"",B40="")</formula>
    </cfRule>
  </conditionalFormatting>
  <conditionalFormatting sqref="E40:F40">
    <cfRule type="expression" dxfId="484" priority="14">
      <formula>$A40="Other"</formula>
    </cfRule>
    <cfRule type="expression" dxfId="483" priority="23">
      <formula>AND($A40&lt;&gt;"",E40="")</formula>
    </cfRule>
  </conditionalFormatting>
  <conditionalFormatting sqref="H40:I40">
    <cfRule type="expression" dxfId="482" priority="13">
      <formula>$A40="Other"</formula>
    </cfRule>
    <cfRule type="expression" dxfId="481" priority="22">
      <formula>AND($A40&lt;&gt;"",H40="")</formula>
    </cfRule>
  </conditionalFormatting>
  <conditionalFormatting sqref="Q40:R40">
    <cfRule type="expression" dxfId="480" priority="21">
      <formula>AND($A40&lt;&gt;"",Q40="")</formula>
    </cfRule>
  </conditionalFormatting>
  <conditionalFormatting sqref="T40:U40">
    <cfRule type="expression" dxfId="479" priority="20">
      <formula>AND($A40&lt;&gt;"",T40="")</formula>
    </cfRule>
  </conditionalFormatting>
  <conditionalFormatting sqref="W40:X40">
    <cfRule type="expression" dxfId="478" priority="19">
      <formula>AND($A40&lt;&gt;"",W40="")</formula>
    </cfRule>
  </conditionalFormatting>
  <conditionalFormatting sqref="AF40:AG40">
    <cfRule type="expression" dxfId="477" priority="18">
      <formula>AND($A40&lt;&gt;"",AF40="")</formula>
    </cfRule>
  </conditionalFormatting>
  <conditionalFormatting sqref="AI40:AJ40">
    <cfRule type="expression" dxfId="476" priority="17">
      <formula>AND($A40&lt;&gt;"",AI40="")</formula>
    </cfRule>
  </conditionalFormatting>
  <conditionalFormatting sqref="AL40:AM40">
    <cfRule type="expression" dxfId="475" priority="16">
      <formula>AND($A40&lt;&gt;"",AL40="")</formula>
    </cfRule>
  </conditionalFormatting>
  <conditionalFormatting sqref="B41:C41">
    <cfRule type="expression" dxfId="474" priority="3">
      <formula>$A41="Other"</formula>
    </cfRule>
    <cfRule type="expression" dxfId="473" priority="12">
      <formula>AND($A41&lt;&gt;"",B41="")</formula>
    </cfRule>
  </conditionalFormatting>
  <conditionalFormatting sqref="E41:F41">
    <cfRule type="expression" dxfId="472" priority="2">
      <formula>$A41="Other"</formula>
    </cfRule>
    <cfRule type="expression" dxfId="471" priority="11">
      <formula>AND($A41&lt;&gt;"",E41="")</formula>
    </cfRule>
  </conditionalFormatting>
  <conditionalFormatting sqref="H41:I41">
    <cfRule type="expression" dxfId="470" priority="1">
      <formula>$A41="Other"</formula>
    </cfRule>
    <cfRule type="expression" dxfId="469" priority="10">
      <formula>AND($A41&lt;&gt;"",H41="")</formula>
    </cfRule>
  </conditionalFormatting>
  <conditionalFormatting sqref="Q41:R41">
    <cfRule type="expression" dxfId="468" priority="9">
      <formula>AND($A41&lt;&gt;"",Q41="")</formula>
    </cfRule>
  </conditionalFormatting>
  <conditionalFormatting sqref="T41:U41">
    <cfRule type="expression" dxfId="467" priority="8">
      <formula>AND($A41&lt;&gt;"",T41="")</formula>
    </cfRule>
  </conditionalFormatting>
  <conditionalFormatting sqref="W41:X41">
    <cfRule type="expression" dxfId="466" priority="7">
      <formula>AND($A41&lt;&gt;"",W41="")</formula>
    </cfRule>
  </conditionalFormatting>
  <conditionalFormatting sqref="AF41:AG41">
    <cfRule type="expression" dxfId="465" priority="6">
      <formula>AND($A41&lt;&gt;"",AF41="")</formula>
    </cfRule>
  </conditionalFormatting>
  <conditionalFormatting sqref="AI41:AJ41">
    <cfRule type="expression" dxfId="464" priority="5">
      <formula>AND($A41&lt;&gt;"",AI41="")</formula>
    </cfRule>
  </conditionalFormatting>
  <conditionalFormatting sqref="AL41:AM41">
    <cfRule type="expression" dxfId="463" priority="4">
      <formula>AND($A41&lt;&gt;"",AL41="")</formula>
    </cfRule>
  </conditionalFormatting>
  <pageMargins left="0.5" right="0.5" top="0.5" bottom="0.5" header="0.3" footer="0.3"/>
  <pageSetup scale="53" fitToWidth="3" orientation="landscape" r:id="rId1"/>
  <headerFooter>
    <oddFooter>&amp;LNC DHHS LME-MCO Performance Measures Report Part II DMH/DD/SAS Measures&amp;C&amp;P&amp;R&amp;F</oddFooter>
  </headerFooter>
  <colBreaks count="2" manualBreakCount="2">
    <brk id="16" max="1048575" man="1"/>
    <brk id="31" max="1048575" man="1"/>
  </col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AZ42"/>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x14ac:dyDescent="0.2"/>
  <cols>
    <col min="1" max="1" width="22.42578125" style="22" customWidth="1"/>
    <col min="2" max="2" width="16.7109375" style="22" customWidth="1"/>
    <col min="3" max="3" width="14.7109375" style="22" customWidth="1"/>
    <col min="4" max="5" width="16.7109375" style="22" customWidth="1"/>
    <col min="6" max="6" width="14.7109375" style="22" customWidth="1"/>
    <col min="7" max="8" width="16.7109375" style="22" customWidth="1"/>
    <col min="9" max="9" width="14.7109375" style="22" customWidth="1"/>
    <col min="10" max="11" width="16.7109375" style="22" customWidth="1"/>
    <col min="12" max="12" width="14.7109375" style="22" customWidth="1"/>
    <col min="13" max="14" width="16.7109375" style="22" customWidth="1"/>
    <col min="15" max="15" width="14.7109375" style="22" customWidth="1"/>
    <col min="16" max="17" width="16.7109375" style="22" customWidth="1"/>
    <col min="18" max="18" width="14.7109375" style="22" customWidth="1"/>
    <col min="19" max="20" width="16.7109375" style="22" customWidth="1"/>
    <col min="21" max="21" width="14.7109375" style="22" customWidth="1"/>
    <col min="22" max="23" width="16.7109375" style="22" customWidth="1"/>
    <col min="24" max="24" width="14.7109375" style="22" customWidth="1"/>
    <col min="25" max="26" width="16.7109375" style="22" customWidth="1"/>
    <col min="27" max="27" width="14.7109375" style="22" customWidth="1"/>
    <col min="28" max="29" width="16.7109375" style="22" customWidth="1"/>
    <col min="30" max="30" width="14.7109375" style="22" customWidth="1"/>
    <col min="31" max="32" width="16.7109375" style="22" customWidth="1"/>
    <col min="33" max="33" width="14.7109375" style="22" customWidth="1"/>
    <col min="34" max="35" width="16.7109375" style="22" customWidth="1"/>
    <col min="36" max="36" width="14.7109375" style="22" customWidth="1"/>
    <col min="37" max="37" width="16.7109375" style="22" customWidth="1"/>
    <col min="38" max="40" width="18.7109375" style="22" customWidth="1"/>
    <col min="41" max="41" width="8.85546875" style="22" bestFit="1" customWidth="1"/>
    <col min="42" max="16384" width="9.140625" style="22"/>
  </cols>
  <sheetData>
    <row r="1" spans="1:52" ht="15" customHeight="1" x14ac:dyDescent="0.2">
      <c r="A1" s="36" t="s">
        <v>28</v>
      </c>
      <c r="N1" s="30" t="s">
        <v>329</v>
      </c>
      <c r="Z1" s="30" t="s">
        <v>329</v>
      </c>
      <c r="AL1" s="30" t="s">
        <v>329</v>
      </c>
    </row>
    <row r="2" spans="1:52" ht="15" customHeight="1" x14ac:dyDescent="0.2">
      <c r="A2" s="36" t="s">
        <v>196</v>
      </c>
      <c r="N2" s="321" t="s">
        <v>330</v>
      </c>
      <c r="Z2" s="321" t="s">
        <v>330</v>
      </c>
      <c r="AL2" s="321" t="s">
        <v>330</v>
      </c>
    </row>
    <row r="3" spans="1:52" ht="15" customHeight="1" x14ac:dyDescent="0.2">
      <c r="A3" s="30" t="s">
        <v>194</v>
      </c>
      <c r="C3" s="147">
        <f>IF('Set-Up Worksheet'!F3="","Data Not Entered On Set-Up Worksheet",'Set-Up Worksheet'!F3)</f>
        <v>2018</v>
      </c>
      <c r="F3" s="38"/>
      <c r="I3" s="38"/>
      <c r="L3" s="38"/>
      <c r="O3" s="147">
        <f t="shared" ref="O3:O11" si="0">C3</f>
        <v>2018</v>
      </c>
      <c r="R3" s="38"/>
      <c r="U3" s="38"/>
      <c r="X3" s="38"/>
      <c r="AA3" s="147">
        <f t="shared" ref="AA3:AA11" si="1">C3</f>
        <v>2018</v>
      </c>
      <c r="AD3" s="38"/>
      <c r="AG3" s="38"/>
      <c r="AJ3" s="38"/>
      <c r="AM3" s="147">
        <f t="shared" ref="AM3:AM11" si="2">C3</f>
        <v>2018</v>
      </c>
    </row>
    <row r="4" spans="1:52" ht="15" customHeight="1" x14ac:dyDescent="0.2">
      <c r="A4" s="30" t="s">
        <v>195</v>
      </c>
      <c r="C4" s="147" t="str">
        <f>IF('Set-Up Worksheet'!F4="","Data Not Entered On Set-Up Worksheet",'Set-Up Worksheet'!F4)</f>
        <v>1st Quarter</v>
      </c>
      <c r="F4" s="32"/>
      <c r="I4" s="32"/>
      <c r="L4" s="32"/>
      <c r="O4" s="147" t="str">
        <f t="shared" si="0"/>
        <v>1st Quarter</v>
      </c>
      <c r="R4" s="32"/>
      <c r="U4" s="32"/>
      <c r="X4" s="32"/>
      <c r="AA4" s="147" t="str">
        <f t="shared" si="1"/>
        <v>1st Quarter</v>
      </c>
      <c r="AD4" s="32"/>
      <c r="AG4" s="32"/>
      <c r="AJ4" s="32"/>
      <c r="AM4" s="147" t="str">
        <f t="shared" si="2"/>
        <v>1st Quarter</v>
      </c>
    </row>
    <row r="5" spans="1:52" ht="15" customHeight="1" x14ac:dyDescent="0.2">
      <c r="A5" s="30"/>
      <c r="C5" s="32"/>
      <c r="F5" s="32"/>
      <c r="I5" s="32"/>
      <c r="L5" s="32"/>
      <c r="O5" s="39"/>
      <c r="R5" s="32"/>
      <c r="U5" s="32"/>
      <c r="X5" s="32"/>
      <c r="AA5" s="39"/>
      <c r="AD5" s="32"/>
      <c r="AG5" s="32"/>
      <c r="AJ5" s="32"/>
      <c r="AM5" s="39"/>
    </row>
    <row r="6" spans="1:52" ht="15" customHeight="1" x14ac:dyDescent="0.2">
      <c r="A6" s="30" t="s">
        <v>347</v>
      </c>
      <c r="C6" s="32"/>
      <c r="F6" s="32"/>
      <c r="G6" s="54"/>
      <c r="I6" s="32"/>
      <c r="L6" s="32"/>
      <c r="N6" s="30"/>
      <c r="O6" s="39"/>
      <c r="R6" s="32"/>
      <c r="U6" s="32"/>
      <c r="X6" s="32"/>
      <c r="Z6" s="30"/>
      <c r="AA6" s="39"/>
      <c r="AD6" s="32"/>
      <c r="AG6" s="32"/>
      <c r="AJ6" s="32"/>
      <c r="AL6" s="30"/>
      <c r="AM6" s="39"/>
    </row>
    <row r="7" spans="1:52" ht="15" customHeight="1" x14ac:dyDescent="0.2">
      <c r="A7" s="30" t="s">
        <v>348</v>
      </c>
      <c r="C7" s="32"/>
      <c r="F7" s="32"/>
      <c r="I7" s="32"/>
      <c r="L7" s="32"/>
      <c r="N7" s="321" t="s">
        <v>349</v>
      </c>
      <c r="O7" s="39"/>
      <c r="R7" s="32"/>
      <c r="U7" s="32"/>
      <c r="X7" s="32"/>
      <c r="Z7" s="321" t="s">
        <v>349</v>
      </c>
      <c r="AA7" s="39"/>
      <c r="AD7" s="32"/>
      <c r="AG7" s="32"/>
      <c r="AJ7" s="32"/>
      <c r="AL7" s="321" t="s">
        <v>349</v>
      </c>
      <c r="AM7" s="39"/>
    </row>
    <row r="8" spans="1:52" ht="15" customHeight="1" x14ac:dyDescent="0.2">
      <c r="A8" s="30"/>
      <c r="C8" s="32"/>
      <c r="F8" s="32"/>
      <c r="I8" s="32"/>
      <c r="L8" s="32"/>
      <c r="O8" s="39"/>
      <c r="R8" s="32"/>
      <c r="U8" s="32"/>
      <c r="X8" s="32"/>
      <c r="AA8" s="39"/>
      <c r="AD8" s="32"/>
      <c r="AG8" s="32"/>
      <c r="AJ8" s="32"/>
      <c r="AM8" s="39"/>
      <c r="AR8" s="54"/>
      <c r="AS8" s="54"/>
      <c r="AT8" s="55"/>
      <c r="AU8" s="54"/>
      <c r="AV8" s="54"/>
      <c r="AW8" s="54"/>
      <c r="AX8" s="54"/>
      <c r="AY8" s="30"/>
      <c r="AZ8" s="35"/>
    </row>
    <row r="9" spans="1:52" ht="15" customHeight="1" x14ac:dyDescent="0.2">
      <c r="A9" s="30" t="s">
        <v>29</v>
      </c>
      <c r="C9" s="39" t="str">
        <f>IF('Set-Up Worksheet'!E7="","Data Not Entered On Set-Up Worksheet",'Set-Up Worksheet'!E7)</f>
        <v>Data Not Entered On Set-Up Worksheet</v>
      </c>
      <c r="I9" s="39"/>
      <c r="L9" s="39"/>
      <c r="O9" s="39" t="str">
        <f t="shared" si="0"/>
        <v>Data Not Entered On Set-Up Worksheet</v>
      </c>
      <c r="R9" s="39"/>
      <c r="U9" s="39"/>
      <c r="X9" s="39"/>
      <c r="AA9" s="39" t="str">
        <f t="shared" si="1"/>
        <v>Data Not Entered On Set-Up Worksheet</v>
      </c>
      <c r="AD9" s="39"/>
      <c r="AG9" s="39"/>
      <c r="AJ9" s="39"/>
      <c r="AM9" s="39" t="str">
        <f t="shared" si="2"/>
        <v>Data Not Entered On Set-Up Worksheet</v>
      </c>
    </row>
    <row r="10" spans="1:52" ht="15" customHeight="1" x14ac:dyDescent="0.2">
      <c r="A10" s="30" t="s">
        <v>9</v>
      </c>
      <c r="C10" s="32" t="s">
        <v>10</v>
      </c>
      <c r="F10" s="79" t="s">
        <v>444</v>
      </c>
      <c r="I10" s="32"/>
      <c r="L10" s="32"/>
      <c r="O10" s="39" t="str">
        <f t="shared" si="0"/>
        <v>Behavioral Health</v>
      </c>
      <c r="R10" s="32"/>
      <c r="U10" s="32"/>
      <c r="X10" s="32"/>
      <c r="AA10" s="39" t="str">
        <f t="shared" si="1"/>
        <v>Behavioral Health</v>
      </c>
      <c r="AD10" s="32"/>
      <c r="AG10" s="32"/>
      <c r="AJ10" s="32"/>
      <c r="AM10" s="39" t="str">
        <f t="shared" si="2"/>
        <v>Behavioral Health</v>
      </c>
    </row>
    <row r="11" spans="1:52" ht="15" customHeight="1" x14ac:dyDescent="0.2">
      <c r="A11" s="30" t="s">
        <v>197</v>
      </c>
      <c r="C11" s="40" t="str">
        <f>IF(C4="Data Not Entered On Set-Up Worksheet","Data Not Entered On Set-Up Worksheet",IF(C4="1st Quarter",'Report Schedule'!D34,IF(C4="2nd Quarter",'Report Schedule'!E34,IF(C4="3rd Quarter",'Report Schedule'!F34,IF(C4="4th Quarter",'Report Schedule'!G34,"")))))</f>
        <v>Apr - Jun 2017</v>
      </c>
      <c r="F11" s="79"/>
      <c r="I11" s="40"/>
      <c r="L11" s="40"/>
      <c r="O11" s="40" t="str">
        <f t="shared" si="0"/>
        <v>Apr - Jun 2017</v>
      </c>
      <c r="R11" s="40"/>
      <c r="U11" s="40"/>
      <c r="X11" s="40"/>
      <c r="AA11" s="40" t="str">
        <f t="shared" si="1"/>
        <v>Apr - Jun 2017</v>
      </c>
      <c r="AD11" s="40"/>
      <c r="AG11" s="40"/>
      <c r="AJ11" s="40"/>
      <c r="AM11" s="40" t="str">
        <f t="shared" si="2"/>
        <v>Apr - Jun 2017</v>
      </c>
    </row>
    <row r="12" spans="1:52" ht="15" customHeight="1" thickBot="1" x14ac:dyDescent="0.25">
      <c r="A12" s="30"/>
      <c r="C12" s="40"/>
      <c r="F12" s="79"/>
      <c r="I12" s="40"/>
      <c r="L12" s="40"/>
      <c r="O12" s="40"/>
      <c r="R12" s="40"/>
      <c r="U12" s="40"/>
      <c r="X12" s="40"/>
      <c r="AA12" s="40"/>
      <c r="AD12" s="40"/>
      <c r="AG12" s="40"/>
      <c r="AJ12" s="40"/>
      <c r="AM12" s="40"/>
    </row>
    <row r="13" spans="1:52" ht="18" customHeight="1" thickBot="1" x14ac:dyDescent="0.25">
      <c r="A13" s="226" t="s">
        <v>251</v>
      </c>
      <c r="B13" s="234" t="s">
        <v>248</v>
      </c>
      <c r="C13" s="235"/>
      <c r="D13" s="236"/>
      <c r="E13" s="63" t="s">
        <v>249</v>
      </c>
      <c r="F13" s="231"/>
      <c r="G13" s="231"/>
      <c r="H13" s="231"/>
      <c r="I13" s="231"/>
      <c r="J13" s="231"/>
      <c r="K13" s="231"/>
      <c r="L13" s="231"/>
      <c r="M13" s="232"/>
      <c r="N13" s="234" t="s">
        <v>253</v>
      </c>
      <c r="O13" s="235"/>
      <c r="P13" s="236"/>
      <c r="Q13" s="63" t="s">
        <v>254</v>
      </c>
      <c r="R13" s="231"/>
      <c r="S13" s="231"/>
      <c r="T13" s="231"/>
      <c r="U13" s="231"/>
      <c r="V13" s="231"/>
      <c r="W13" s="231"/>
      <c r="X13" s="231"/>
      <c r="Y13" s="232"/>
      <c r="Z13" s="234" t="s">
        <v>255</v>
      </c>
      <c r="AA13" s="235"/>
      <c r="AB13" s="236"/>
      <c r="AC13" s="63" t="s">
        <v>256</v>
      </c>
      <c r="AD13" s="231"/>
      <c r="AE13" s="231"/>
      <c r="AF13" s="231"/>
      <c r="AG13" s="231"/>
      <c r="AH13" s="231"/>
      <c r="AI13" s="231"/>
      <c r="AJ13" s="231"/>
      <c r="AK13" s="232"/>
      <c r="AL13" s="234" t="s">
        <v>260</v>
      </c>
      <c r="AM13" s="235"/>
      <c r="AN13" s="236"/>
    </row>
    <row r="14" spans="1:52" s="35" customFormat="1" ht="18" customHeight="1" thickBot="1" x14ac:dyDescent="0.25">
      <c r="A14" s="233" t="s">
        <v>252</v>
      </c>
      <c r="B14" s="234" t="s">
        <v>246</v>
      </c>
      <c r="C14" s="237"/>
      <c r="D14" s="238"/>
      <c r="E14" s="63" t="s">
        <v>146</v>
      </c>
      <c r="F14" s="64"/>
      <c r="G14" s="65"/>
      <c r="H14" s="63" t="s">
        <v>247</v>
      </c>
      <c r="I14" s="64"/>
      <c r="J14" s="65"/>
      <c r="K14" s="63" t="s">
        <v>250</v>
      </c>
      <c r="L14" s="64"/>
      <c r="M14" s="65"/>
      <c r="N14" s="234" t="s">
        <v>246</v>
      </c>
      <c r="O14" s="237"/>
      <c r="P14" s="238"/>
      <c r="Q14" s="63" t="s">
        <v>146</v>
      </c>
      <c r="R14" s="64"/>
      <c r="S14" s="65"/>
      <c r="T14" s="63" t="s">
        <v>247</v>
      </c>
      <c r="U14" s="64"/>
      <c r="V14" s="65"/>
      <c r="W14" s="63" t="s">
        <v>250</v>
      </c>
      <c r="X14" s="64"/>
      <c r="Y14" s="65"/>
      <c r="Z14" s="234" t="s">
        <v>246</v>
      </c>
      <c r="AA14" s="237"/>
      <c r="AB14" s="238"/>
      <c r="AC14" s="63" t="s">
        <v>146</v>
      </c>
      <c r="AD14" s="64"/>
      <c r="AE14" s="65"/>
      <c r="AF14" s="63" t="s">
        <v>247</v>
      </c>
      <c r="AG14" s="64"/>
      <c r="AH14" s="65"/>
      <c r="AI14" s="63" t="s">
        <v>250</v>
      </c>
      <c r="AJ14" s="64"/>
      <c r="AK14" s="65"/>
      <c r="AL14" s="234" t="s">
        <v>259</v>
      </c>
      <c r="AM14" s="237"/>
      <c r="AN14" s="238"/>
    </row>
    <row r="15" spans="1:52" s="35" customFormat="1" ht="13.5" thickBot="1" x14ac:dyDescent="0.25">
      <c r="A15" s="30"/>
      <c r="B15" s="56" t="s">
        <v>3</v>
      </c>
      <c r="C15" s="57" t="s">
        <v>4</v>
      </c>
      <c r="D15" s="58" t="s">
        <v>5</v>
      </c>
      <c r="E15" s="56" t="s">
        <v>3</v>
      </c>
      <c r="F15" s="57" t="s">
        <v>4</v>
      </c>
      <c r="G15" s="58" t="s">
        <v>5</v>
      </c>
      <c r="H15" s="56" t="s">
        <v>3</v>
      </c>
      <c r="I15" s="57" t="s">
        <v>4</v>
      </c>
      <c r="J15" s="58" t="s">
        <v>5</v>
      </c>
      <c r="K15" s="56" t="s">
        <v>3</v>
      </c>
      <c r="L15" s="57" t="s">
        <v>4</v>
      </c>
      <c r="M15" s="58" t="s">
        <v>5</v>
      </c>
      <c r="N15" s="56" t="s">
        <v>3</v>
      </c>
      <c r="O15" s="57" t="s">
        <v>4</v>
      </c>
      <c r="P15" s="58" t="s">
        <v>5</v>
      </c>
      <c r="Q15" s="56" t="s">
        <v>3</v>
      </c>
      <c r="R15" s="57" t="s">
        <v>4</v>
      </c>
      <c r="S15" s="58" t="s">
        <v>5</v>
      </c>
      <c r="T15" s="56" t="s">
        <v>3</v>
      </c>
      <c r="U15" s="57" t="s">
        <v>4</v>
      </c>
      <c r="V15" s="58" t="s">
        <v>5</v>
      </c>
      <c r="W15" s="56" t="s">
        <v>3</v>
      </c>
      <c r="X15" s="57" t="s">
        <v>4</v>
      </c>
      <c r="Y15" s="58" t="s">
        <v>5</v>
      </c>
      <c r="Z15" s="56" t="s">
        <v>3</v>
      </c>
      <c r="AA15" s="57" t="s">
        <v>4</v>
      </c>
      <c r="AB15" s="58" t="s">
        <v>5</v>
      </c>
      <c r="AC15" s="56" t="s">
        <v>3</v>
      </c>
      <c r="AD15" s="57" t="s">
        <v>4</v>
      </c>
      <c r="AE15" s="58" t="s">
        <v>5</v>
      </c>
      <c r="AF15" s="56" t="s">
        <v>3</v>
      </c>
      <c r="AG15" s="57" t="s">
        <v>4</v>
      </c>
      <c r="AH15" s="58" t="s">
        <v>5</v>
      </c>
      <c r="AI15" s="56" t="s">
        <v>3</v>
      </c>
      <c r="AJ15" s="57" t="s">
        <v>4</v>
      </c>
      <c r="AK15" s="58" t="s">
        <v>5</v>
      </c>
      <c r="AL15" s="56" t="s">
        <v>3</v>
      </c>
      <c r="AM15" s="57" t="s">
        <v>4</v>
      </c>
      <c r="AN15" s="58" t="s">
        <v>5</v>
      </c>
      <c r="AO15" s="33"/>
      <c r="AP15" s="30"/>
      <c r="AQ15" s="30"/>
      <c r="AR15" s="30"/>
      <c r="AS15" s="30"/>
      <c r="AT15" s="30"/>
    </row>
    <row r="16" spans="1:52" ht="39.950000000000003" customHeight="1" x14ac:dyDescent="0.2">
      <c r="A16" s="75" t="s">
        <v>43</v>
      </c>
      <c r="B16" s="239" t="s">
        <v>502</v>
      </c>
      <c r="C16" s="240" t="s">
        <v>501</v>
      </c>
      <c r="D16" s="241" t="s">
        <v>503</v>
      </c>
      <c r="E16" s="66" t="s">
        <v>502</v>
      </c>
      <c r="F16" s="67" t="s">
        <v>501</v>
      </c>
      <c r="G16" s="68" t="s">
        <v>503</v>
      </c>
      <c r="H16" s="66" t="s">
        <v>502</v>
      </c>
      <c r="I16" s="67" t="s">
        <v>501</v>
      </c>
      <c r="J16" s="68" t="s">
        <v>503</v>
      </c>
      <c r="K16" s="66" t="s">
        <v>502</v>
      </c>
      <c r="L16" s="67" t="s">
        <v>501</v>
      </c>
      <c r="M16" s="68" t="s">
        <v>503</v>
      </c>
      <c r="N16" s="239" t="s">
        <v>502</v>
      </c>
      <c r="O16" s="240" t="s">
        <v>501</v>
      </c>
      <c r="P16" s="241" t="s">
        <v>503</v>
      </c>
      <c r="Q16" s="66" t="s">
        <v>502</v>
      </c>
      <c r="R16" s="67" t="s">
        <v>501</v>
      </c>
      <c r="S16" s="68" t="s">
        <v>503</v>
      </c>
      <c r="T16" s="66" t="s">
        <v>502</v>
      </c>
      <c r="U16" s="67" t="s">
        <v>501</v>
      </c>
      <c r="V16" s="68" t="s">
        <v>503</v>
      </c>
      <c r="W16" s="66" t="s">
        <v>502</v>
      </c>
      <c r="X16" s="67" t="s">
        <v>501</v>
      </c>
      <c r="Y16" s="68" t="s">
        <v>503</v>
      </c>
      <c r="Z16" s="239" t="s">
        <v>502</v>
      </c>
      <c r="AA16" s="240" t="s">
        <v>501</v>
      </c>
      <c r="AB16" s="241" t="s">
        <v>503</v>
      </c>
      <c r="AC16" s="66" t="s">
        <v>502</v>
      </c>
      <c r="AD16" s="67" t="s">
        <v>501</v>
      </c>
      <c r="AE16" s="68" t="s">
        <v>503</v>
      </c>
      <c r="AF16" s="66" t="s">
        <v>502</v>
      </c>
      <c r="AG16" s="67" t="s">
        <v>501</v>
      </c>
      <c r="AH16" s="68" t="s">
        <v>503</v>
      </c>
      <c r="AI16" s="66" t="s">
        <v>502</v>
      </c>
      <c r="AJ16" s="67" t="s">
        <v>501</v>
      </c>
      <c r="AK16" s="68" t="s">
        <v>503</v>
      </c>
      <c r="AL16" s="239" t="s">
        <v>502</v>
      </c>
      <c r="AM16" s="240" t="s">
        <v>501</v>
      </c>
      <c r="AN16" s="241" t="s">
        <v>503</v>
      </c>
    </row>
    <row r="17" spans="1:40" ht="18" customHeight="1" x14ac:dyDescent="0.2">
      <c r="A17" s="76" t="str">
        <f>IF($C$9="Data Not Entered On Set-Up Worksheet","",IF(OR(VLOOKUP($C$9,County_Lookup_MC,2,FALSE)="",VLOOKUP($C$9,County_Lookup_MC,2,FALSE)=0),"",VLOOKUP($C$9,County_Lookup_MC,2,FALSE)))</f>
        <v/>
      </c>
      <c r="B17" s="69"/>
      <c r="C17" s="61"/>
      <c r="D17" s="70" t="str">
        <f>IF($A17="","",IF(C17=0,0,B17/C17))</f>
        <v/>
      </c>
      <c r="E17" s="69"/>
      <c r="F17" s="61"/>
      <c r="G17" s="70" t="str">
        <f>IF($A17="","",IF(F17=0,0,E17/F17))</f>
        <v/>
      </c>
      <c r="H17" s="69"/>
      <c r="I17" s="61"/>
      <c r="J17" s="70" t="str">
        <f>IF($A17="","",IF(I17=0,0,H17/I17))</f>
        <v/>
      </c>
      <c r="K17" s="74" t="str">
        <f>IF($A17="","",SUM(E17,H17))</f>
        <v/>
      </c>
      <c r="L17" s="62" t="str">
        <f>IF($A17="","",SUM(F17,I17))</f>
        <v/>
      </c>
      <c r="M17" s="70" t="str">
        <f>IF($A17="","",IF(L17=0,0,K17/L17))</f>
        <v/>
      </c>
      <c r="N17" s="69"/>
      <c r="O17" s="61"/>
      <c r="P17" s="70" t="str">
        <f>IF($A17="","",IF(O17=0,0,N17/O17))</f>
        <v/>
      </c>
      <c r="Q17" s="69"/>
      <c r="R17" s="61"/>
      <c r="S17" s="70" t="str">
        <f>IF($A17="","",IF(R17=0,0,Q17/R17))</f>
        <v/>
      </c>
      <c r="T17" s="69"/>
      <c r="U17" s="61"/>
      <c r="V17" s="70" t="str">
        <f>IF($A17="","",IF(U17=0,0,T17/U17))</f>
        <v/>
      </c>
      <c r="W17" s="74" t="str">
        <f>IF($A17="","",SUM(Q17,T17))</f>
        <v/>
      </c>
      <c r="X17" s="62" t="str">
        <f>IF($A17="","",SUM(R17,U17))</f>
        <v/>
      </c>
      <c r="Y17" s="70" t="str">
        <f>IF($A17="","",IF(X17=0,0,W17/X17))</f>
        <v/>
      </c>
      <c r="Z17" s="69"/>
      <c r="AA17" s="61"/>
      <c r="AB17" s="70" t="str">
        <f>IF($A17="","",IF(AA17=0,0,Z17/AA17))</f>
        <v/>
      </c>
      <c r="AC17" s="69"/>
      <c r="AD17" s="61"/>
      <c r="AE17" s="70" t="str">
        <f>IF($A17="","",IF(AD17=0,0,AC17/AD17))</f>
        <v/>
      </c>
      <c r="AF17" s="69"/>
      <c r="AG17" s="61"/>
      <c r="AH17" s="70" t="str">
        <f>IF($A17="","",IF(AG17=0,0,AF17/AG17))</f>
        <v/>
      </c>
      <c r="AI17" s="74" t="str">
        <f>IF($A17="","",SUM(AC17,AF17))</f>
        <v/>
      </c>
      <c r="AJ17" s="62" t="str">
        <f>IF($A17="","",SUM(AD17,AG17))</f>
        <v/>
      </c>
      <c r="AK17" s="70" t="str">
        <f>IF($A17="","",IF(AJ17=0,0,AI17/AJ17))</f>
        <v/>
      </c>
      <c r="AL17" s="74" t="str">
        <f>IF($A17="","",SUM(B17,E17,H17,N17,Q17,T17,Z17,AC17,AF17))</f>
        <v/>
      </c>
      <c r="AM17" s="62" t="str">
        <f>IF($A17="","",SUM(C17,F17,I17,O17,R17,U17,AA17,AD17,AG17))</f>
        <v/>
      </c>
      <c r="AN17" s="70" t="str">
        <f>IF($A17="","",IF(AM17=0,0,AL17/AM17))</f>
        <v/>
      </c>
    </row>
    <row r="18" spans="1:40" ht="18" customHeight="1" x14ac:dyDescent="0.2">
      <c r="A18" s="77" t="str">
        <f>IF($C$9="Data Not Entered On Set-Up Worksheet","",IF(OR(VLOOKUP($C$9,County_Lookup_MC,3,FALSE)="",VLOOKUP($C$9,County_Lookup_MC,3,FALSE)=0),"",VLOOKUP($C$9,County_Lookup_MC,3,FALSE)))</f>
        <v/>
      </c>
      <c r="B18" s="69"/>
      <c r="C18" s="61"/>
      <c r="D18" s="70" t="str">
        <f t="shared" ref="D18:D41" si="3">IF($A18="","",IF(C18=0,0,B18/C18))</f>
        <v/>
      </c>
      <c r="E18" s="69"/>
      <c r="F18" s="61"/>
      <c r="G18" s="70" t="str">
        <f t="shared" ref="G18:G41" si="4">IF($A18="","",IF(F18=0,0,E18/F18))</f>
        <v/>
      </c>
      <c r="H18" s="69"/>
      <c r="I18" s="61"/>
      <c r="J18" s="70" t="str">
        <f t="shared" ref="J18:J41" si="5">IF($A18="","",IF(I18=0,0,H18/I18))</f>
        <v/>
      </c>
      <c r="K18" s="74" t="str">
        <f t="shared" ref="K18:L41" si="6">IF($A18="","",SUM(E18,H18))</f>
        <v/>
      </c>
      <c r="L18" s="62" t="str">
        <f t="shared" si="6"/>
        <v/>
      </c>
      <c r="M18" s="70" t="str">
        <f t="shared" ref="M18:M41" si="7">IF($A18="","",IF(L18=0,0,K18/L18))</f>
        <v/>
      </c>
      <c r="N18" s="69"/>
      <c r="O18" s="61"/>
      <c r="P18" s="70" t="str">
        <f t="shared" ref="P18:P41" si="8">IF($A18="","",IF(O18=0,0,N18/O18))</f>
        <v/>
      </c>
      <c r="Q18" s="69"/>
      <c r="R18" s="61"/>
      <c r="S18" s="70" t="str">
        <f t="shared" ref="S18:S41" si="9">IF($A18="","",IF(R18=0,0,Q18/R18))</f>
        <v/>
      </c>
      <c r="T18" s="69"/>
      <c r="U18" s="61"/>
      <c r="V18" s="70" t="str">
        <f t="shared" ref="V18:V41" si="10">IF($A18="","",IF(U18=0,0,T18/U18))</f>
        <v/>
      </c>
      <c r="W18" s="74" t="str">
        <f t="shared" ref="W18:X41" si="11">IF($A18="","",SUM(Q18,T18))</f>
        <v/>
      </c>
      <c r="X18" s="62" t="str">
        <f t="shared" si="11"/>
        <v/>
      </c>
      <c r="Y18" s="70" t="str">
        <f t="shared" ref="Y18:Y41" si="12">IF($A18="","",IF(X18=0,0,W18/X18))</f>
        <v/>
      </c>
      <c r="Z18" s="69"/>
      <c r="AA18" s="61"/>
      <c r="AB18" s="70" t="str">
        <f t="shared" ref="AB18:AB41" si="13">IF($A18="","",IF(AA18=0,0,Z18/AA18))</f>
        <v/>
      </c>
      <c r="AC18" s="69"/>
      <c r="AD18" s="61"/>
      <c r="AE18" s="70" t="str">
        <f t="shared" ref="AE18:AE41" si="14">IF($A18="","",IF(AD18=0,0,AC18/AD18))</f>
        <v/>
      </c>
      <c r="AF18" s="69"/>
      <c r="AG18" s="61"/>
      <c r="AH18" s="70" t="str">
        <f t="shared" ref="AH18:AH41" si="15">IF($A18="","",IF(AG18=0,0,AF18/AG18))</f>
        <v/>
      </c>
      <c r="AI18" s="74" t="str">
        <f t="shared" ref="AI18:AJ41" si="16">IF($A18="","",SUM(AC18,AF18))</f>
        <v/>
      </c>
      <c r="AJ18" s="62" t="str">
        <f t="shared" si="16"/>
        <v/>
      </c>
      <c r="AK18" s="70" t="str">
        <f t="shared" ref="AK18:AK41" si="17">IF($A18="","",IF(AJ18=0,0,AI18/AJ18))</f>
        <v/>
      </c>
      <c r="AL18" s="74" t="str">
        <f t="shared" ref="AL18:AM41" si="18">IF($A18="","",SUM(B18,E18,H18,N18,Q18,T18,Z18,AC18,AF18))</f>
        <v/>
      </c>
      <c r="AM18" s="62" t="str">
        <f t="shared" si="18"/>
        <v/>
      </c>
      <c r="AN18" s="70" t="str">
        <f t="shared" ref="AN18:AN41" si="19">IF($A18="","",IF(AM18=0,0,AL18/AM18))</f>
        <v/>
      </c>
    </row>
    <row r="19" spans="1:40" ht="18" customHeight="1" x14ac:dyDescent="0.2">
      <c r="A19" s="77" t="str">
        <f>IF($C$9="Data Not Entered On Set-Up Worksheet","",IF(OR(VLOOKUP($C$9,County_Lookup_MC,4,FALSE)="",VLOOKUP($C$9,County_Lookup_MC,4,FALSE)=0),"",VLOOKUP($C$9,County_Lookup_MC,4,FALSE)))</f>
        <v/>
      </c>
      <c r="B19" s="69"/>
      <c r="C19" s="61"/>
      <c r="D19" s="70" t="str">
        <f t="shared" si="3"/>
        <v/>
      </c>
      <c r="E19" s="69"/>
      <c r="F19" s="61"/>
      <c r="G19" s="70" t="str">
        <f t="shared" si="4"/>
        <v/>
      </c>
      <c r="H19" s="69"/>
      <c r="I19" s="61"/>
      <c r="J19" s="70" t="str">
        <f t="shared" si="5"/>
        <v/>
      </c>
      <c r="K19" s="74" t="str">
        <f t="shared" si="6"/>
        <v/>
      </c>
      <c r="L19" s="62" t="str">
        <f t="shared" si="6"/>
        <v/>
      </c>
      <c r="M19" s="70" t="str">
        <f t="shared" si="7"/>
        <v/>
      </c>
      <c r="N19" s="69"/>
      <c r="O19" s="61"/>
      <c r="P19" s="70" t="str">
        <f t="shared" si="8"/>
        <v/>
      </c>
      <c r="Q19" s="69"/>
      <c r="R19" s="61"/>
      <c r="S19" s="70" t="str">
        <f t="shared" si="9"/>
        <v/>
      </c>
      <c r="T19" s="69"/>
      <c r="U19" s="61"/>
      <c r="V19" s="70" t="str">
        <f t="shared" si="10"/>
        <v/>
      </c>
      <c r="W19" s="74" t="str">
        <f t="shared" si="11"/>
        <v/>
      </c>
      <c r="X19" s="62" t="str">
        <f t="shared" si="11"/>
        <v/>
      </c>
      <c r="Y19" s="70" t="str">
        <f t="shared" si="12"/>
        <v/>
      </c>
      <c r="Z19" s="69"/>
      <c r="AA19" s="61"/>
      <c r="AB19" s="70" t="str">
        <f t="shared" si="13"/>
        <v/>
      </c>
      <c r="AC19" s="69"/>
      <c r="AD19" s="61"/>
      <c r="AE19" s="70" t="str">
        <f t="shared" si="14"/>
        <v/>
      </c>
      <c r="AF19" s="69"/>
      <c r="AG19" s="61"/>
      <c r="AH19" s="70" t="str">
        <f t="shared" si="15"/>
        <v/>
      </c>
      <c r="AI19" s="74" t="str">
        <f t="shared" si="16"/>
        <v/>
      </c>
      <c r="AJ19" s="62" t="str">
        <f t="shared" si="16"/>
        <v/>
      </c>
      <c r="AK19" s="70" t="str">
        <f t="shared" si="17"/>
        <v/>
      </c>
      <c r="AL19" s="74" t="str">
        <f t="shared" si="18"/>
        <v/>
      </c>
      <c r="AM19" s="62" t="str">
        <f t="shared" si="18"/>
        <v/>
      </c>
      <c r="AN19" s="70" t="str">
        <f t="shared" si="19"/>
        <v/>
      </c>
    </row>
    <row r="20" spans="1:40" ht="18" customHeight="1" x14ac:dyDescent="0.2">
      <c r="A20" s="77" t="str">
        <f>IF($C$9="Data Not Entered On Set-Up Worksheet","",IF(OR(VLOOKUP($C$9,County_Lookup_MC,5,FALSE)="",VLOOKUP($C$9,County_Lookup_MC,5,FALSE)=0),"",VLOOKUP($C$9,County_Lookup_MC,5,FALSE)))</f>
        <v/>
      </c>
      <c r="B20" s="69"/>
      <c r="C20" s="61"/>
      <c r="D20" s="70" t="str">
        <f t="shared" si="3"/>
        <v/>
      </c>
      <c r="E20" s="69"/>
      <c r="F20" s="61"/>
      <c r="G20" s="70" t="str">
        <f t="shared" si="4"/>
        <v/>
      </c>
      <c r="H20" s="69"/>
      <c r="I20" s="61"/>
      <c r="J20" s="70" t="str">
        <f t="shared" si="5"/>
        <v/>
      </c>
      <c r="K20" s="74" t="str">
        <f t="shared" si="6"/>
        <v/>
      </c>
      <c r="L20" s="62" t="str">
        <f t="shared" si="6"/>
        <v/>
      </c>
      <c r="M20" s="70" t="str">
        <f t="shared" si="7"/>
        <v/>
      </c>
      <c r="N20" s="69"/>
      <c r="O20" s="61"/>
      <c r="P20" s="70" t="str">
        <f t="shared" si="8"/>
        <v/>
      </c>
      <c r="Q20" s="69"/>
      <c r="R20" s="61"/>
      <c r="S20" s="70" t="str">
        <f t="shared" si="9"/>
        <v/>
      </c>
      <c r="T20" s="69"/>
      <c r="U20" s="61"/>
      <c r="V20" s="70" t="str">
        <f t="shared" si="10"/>
        <v/>
      </c>
      <c r="W20" s="74" t="str">
        <f t="shared" si="11"/>
        <v/>
      </c>
      <c r="X20" s="62" t="str">
        <f t="shared" si="11"/>
        <v/>
      </c>
      <c r="Y20" s="70" t="str">
        <f t="shared" si="12"/>
        <v/>
      </c>
      <c r="Z20" s="69"/>
      <c r="AA20" s="61"/>
      <c r="AB20" s="70" t="str">
        <f t="shared" si="13"/>
        <v/>
      </c>
      <c r="AC20" s="69"/>
      <c r="AD20" s="61"/>
      <c r="AE20" s="70" t="str">
        <f t="shared" si="14"/>
        <v/>
      </c>
      <c r="AF20" s="69"/>
      <c r="AG20" s="61"/>
      <c r="AH20" s="70" t="str">
        <f t="shared" si="15"/>
        <v/>
      </c>
      <c r="AI20" s="74" t="str">
        <f t="shared" si="16"/>
        <v/>
      </c>
      <c r="AJ20" s="62" t="str">
        <f t="shared" si="16"/>
        <v/>
      </c>
      <c r="AK20" s="70" t="str">
        <f t="shared" si="17"/>
        <v/>
      </c>
      <c r="AL20" s="74" t="str">
        <f t="shared" si="18"/>
        <v/>
      </c>
      <c r="AM20" s="62" t="str">
        <f t="shared" si="18"/>
        <v/>
      </c>
      <c r="AN20" s="70" t="str">
        <f t="shared" si="19"/>
        <v/>
      </c>
    </row>
    <row r="21" spans="1:40" ht="18" customHeight="1" x14ac:dyDescent="0.2">
      <c r="A21" s="77" t="str">
        <f>IF($C$9="Data Not Entered On Set-Up Worksheet","",IF(OR(VLOOKUP($C$9,County_Lookup_MC,6,FALSE)="",VLOOKUP($C$9,County_Lookup_MC,6,FALSE)=0),"",VLOOKUP($C$9,County_Lookup_MC,6,FALSE)))</f>
        <v/>
      </c>
      <c r="B21" s="69"/>
      <c r="C21" s="61"/>
      <c r="D21" s="70" t="str">
        <f t="shared" si="3"/>
        <v/>
      </c>
      <c r="E21" s="69"/>
      <c r="F21" s="61"/>
      <c r="G21" s="70" t="str">
        <f t="shared" si="4"/>
        <v/>
      </c>
      <c r="H21" s="69"/>
      <c r="I21" s="61"/>
      <c r="J21" s="70" t="str">
        <f t="shared" si="5"/>
        <v/>
      </c>
      <c r="K21" s="74" t="str">
        <f t="shared" si="6"/>
        <v/>
      </c>
      <c r="L21" s="62" t="str">
        <f t="shared" si="6"/>
        <v/>
      </c>
      <c r="M21" s="70" t="str">
        <f t="shared" si="7"/>
        <v/>
      </c>
      <c r="N21" s="69"/>
      <c r="O21" s="61"/>
      <c r="P21" s="70" t="str">
        <f t="shared" si="8"/>
        <v/>
      </c>
      <c r="Q21" s="69"/>
      <c r="R21" s="61"/>
      <c r="S21" s="70" t="str">
        <f t="shared" si="9"/>
        <v/>
      </c>
      <c r="T21" s="69"/>
      <c r="U21" s="61"/>
      <c r="V21" s="70" t="str">
        <f t="shared" si="10"/>
        <v/>
      </c>
      <c r="W21" s="74" t="str">
        <f t="shared" si="11"/>
        <v/>
      </c>
      <c r="X21" s="62" t="str">
        <f t="shared" si="11"/>
        <v/>
      </c>
      <c r="Y21" s="70" t="str">
        <f t="shared" si="12"/>
        <v/>
      </c>
      <c r="Z21" s="69"/>
      <c r="AA21" s="61"/>
      <c r="AB21" s="70" t="str">
        <f t="shared" si="13"/>
        <v/>
      </c>
      <c r="AC21" s="69"/>
      <c r="AD21" s="61"/>
      <c r="AE21" s="70" t="str">
        <f t="shared" si="14"/>
        <v/>
      </c>
      <c r="AF21" s="69"/>
      <c r="AG21" s="61"/>
      <c r="AH21" s="70" t="str">
        <f t="shared" si="15"/>
        <v/>
      </c>
      <c r="AI21" s="74" t="str">
        <f t="shared" si="16"/>
        <v/>
      </c>
      <c r="AJ21" s="62" t="str">
        <f t="shared" si="16"/>
        <v/>
      </c>
      <c r="AK21" s="70" t="str">
        <f t="shared" si="17"/>
        <v/>
      </c>
      <c r="AL21" s="74" t="str">
        <f t="shared" si="18"/>
        <v/>
      </c>
      <c r="AM21" s="62" t="str">
        <f t="shared" si="18"/>
        <v/>
      </c>
      <c r="AN21" s="70" t="str">
        <f t="shared" si="19"/>
        <v/>
      </c>
    </row>
    <row r="22" spans="1:40" ht="18" customHeight="1" x14ac:dyDescent="0.2">
      <c r="A22" s="77" t="str">
        <f>IF($C$9="Data Not Entered On Set-Up Worksheet","",IF(OR(VLOOKUP($C$9,County_Lookup_MC,7,FALSE)="",VLOOKUP($C$9,County_Lookup_MC,7,FALSE)=0),"",VLOOKUP($C$9,County_Lookup_MC,7,FALSE)))</f>
        <v/>
      </c>
      <c r="B22" s="69"/>
      <c r="C22" s="61"/>
      <c r="D22" s="70" t="str">
        <f t="shared" si="3"/>
        <v/>
      </c>
      <c r="E22" s="69"/>
      <c r="F22" s="61"/>
      <c r="G22" s="70" t="str">
        <f t="shared" si="4"/>
        <v/>
      </c>
      <c r="H22" s="69"/>
      <c r="I22" s="61"/>
      <c r="J22" s="70" t="str">
        <f t="shared" si="5"/>
        <v/>
      </c>
      <c r="K22" s="74" t="str">
        <f t="shared" si="6"/>
        <v/>
      </c>
      <c r="L22" s="62" t="str">
        <f t="shared" si="6"/>
        <v/>
      </c>
      <c r="M22" s="70" t="str">
        <f t="shared" si="7"/>
        <v/>
      </c>
      <c r="N22" s="69"/>
      <c r="O22" s="61"/>
      <c r="P22" s="70" t="str">
        <f t="shared" si="8"/>
        <v/>
      </c>
      <c r="Q22" s="69"/>
      <c r="R22" s="61"/>
      <c r="S22" s="70" t="str">
        <f t="shared" si="9"/>
        <v/>
      </c>
      <c r="T22" s="69"/>
      <c r="U22" s="61"/>
      <c r="V22" s="70" t="str">
        <f t="shared" si="10"/>
        <v/>
      </c>
      <c r="W22" s="74" t="str">
        <f t="shared" si="11"/>
        <v/>
      </c>
      <c r="X22" s="62" t="str">
        <f t="shared" si="11"/>
        <v/>
      </c>
      <c r="Y22" s="70" t="str">
        <f t="shared" si="12"/>
        <v/>
      </c>
      <c r="Z22" s="69"/>
      <c r="AA22" s="61"/>
      <c r="AB22" s="70" t="str">
        <f t="shared" si="13"/>
        <v/>
      </c>
      <c r="AC22" s="69"/>
      <c r="AD22" s="61"/>
      <c r="AE22" s="70" t="str">
        <f t="shared" si="14"/>
        <v/>
      </c>
      <c r="AF22" s="69"/>
      <c r="AG22" s="61"/>
      <c r="AH22" s="70" t="str">
        <f t="shared" si="15"/>
        <v/>
      </c>
      <c r="AI22" s="74" t="str">
        <f t="shared" si="16"/>
        <v/>
      </c>
      <c r="AJ22" s="62" t="str">
        <f t="shared" si="16"/>
        <v/>
      </c>
      <c r="AK22" s="70" t="str">
        <f t="shared" si="17"/>
        <v/>
      </c>
      <c r="AL22" s="74" t="str">
        <f t="shared" si="18"/>
        <v/>
      </c>
      <c r="AM22" s="62" t="str">
        <f t="shared" si="18"/>
        <v/>
      </c>
      <c r="AN22" s="70" t="str">
        <f t="shared" si="19"/>
        <v/>
      </c>
    </row>
    <row r="23" spans="1:40" ht="18" customHeight="1" x14ac:dyDescent="0.2">
      <c r="A23" s="76" t="str">
        <f>IF($C$9="Data Not Entered On Set-Up Worksheet","",IF(OR(VLOOKUP($C$9,County_Lookup_MC,8,FALSE)="",VLOOKUP($C$9,County_Lookup_MC,8,FALSE)=0),"",VLOOKUP($C$9,County_Lookup_MC,8,FALSE)))</f>
        <v/>
      </c>
      <c r="B23" s="69"/>
      <c r="C23" s="61"/>
      <c r="D23" s="70" t="str">
        <f t="shared" si="3"/>
        <v/>
      </c>
      <c r="E23" s="69"/>
      <c r="F23" s="61"/>
      <c r="G23" s="70" t="str">
        <f t="shared" si="4"/>
        <v/>
      </c>
      <c r="H23" s="69"/>
      <c r="I23" s="61"/>
      <c r="J23" s="70" t="str">
        <f t="shared" si="5"/>
        <v/>
      </c>
      <c r="K23" s="74" t="str">
        <f t="shared" si="6"/>
        <v/>
      </c>
      <c r="L23" s="62" t="str">
        <f t="shared" si="6"/>
        <v/>
      </c>
      <c r="M23" s="70" t="str">
        <f t="shared" si="7"/>
        <v/>
      </c>
      <c r="N23" s="69"/>
      <c r="O23" s="61"/>
      <c r="P23" s="70" t="str">
        <f t="shared" si="8"/>
        <v/>
      </c>
      <c r="Q23" s="69"/>
      <c r="R23" s="61"/>
      <c r="S23" s="70" t="str">
        <f t="shared" si="9"/>
        <v/>
      </c>
      <c r="T23" s="69"/>
      <c r="U23" s="61"/>
      <c r="V23" s="70" t="str">
        <f t="shared" si="10"/>
        <v/>
      </c>
      <c r="W23" s="74" t="str">
        <f t="shared" si="11"/>
        <v/>
      </c>
      <c r="X23" s="62" t="str">
        <f t="shared" si="11"/>
        <v/>
      </c>
      <c r="Y23" s="70" t="str">
        <f t="shared" si="12"/>
        <v/>
      </c>
      <c r="Z23" s="69"/>
      <c r="AA23" s="61"/>
      <c r="AB23" s="70" t="str">
        <f t="shared" si="13"/>
        <v/>
      </c>
      <c r="AC23" s="69"/>
      <c r="AD23" s="61"/>
      <c r="AE23" s="70" t="str">
        <f t="shared" si="14"/>
        <v/>
      </c>
      <c r="AF23" s="69"/>
      <c r="AG23" s="61"/>
      <c r="AH23" s="70" t="str">
        <f t="shared" si="15"/>
        <v/>
      </c>
      <c r="AI23" s="74" t="str">
        <f t="shared" si="16"/>
        <v/>
      </c>
      <c r="AJ23" s="62" t="str">
        <f t="shared" si="16"/>
        <v/>
      </c>
      <c r="AK23" s="70" t="str">
        <f t="shared" si="17"/>
        <v/>
      </c>
      <c r="AL23" s="74" t="str">
        <f t="shared" si="18"/>
        <v/>
      </c>
      <c r="AM23" s="62" t="str">
        <f t="shared" si="18"/>
        <v/>
      </c>
      <c r="AN23" s="70" t="str">
        <f t="shared" si="19"/>
        <v/>
      </c>
    </row>
    <row r="24" spans="1:40" ht="18" customHeight="1" x14ac:dyDescent="0.2">
      <c r="A24" s="77" t="str">
        <f>IF($C$9="Data Not Entered On Set-Up Worksheet","",IF(OR(VLOOKUP($C$9,County_Lookup_MC,9,FALSE)="",VLOOKUP($C$9,County_Lookup_MC,9,FALSE)=0),"",VLOOKUP($C$9,County_Lookup_MC,9,FALSE)))</f>
        <v/>
      </c>
      <c r="B24" s="69"/>
      <c r="C24" s="61"/>
      <c r="D24" s="70" t="str">
        <f t="shared" si="3"/>
        <v/>
      </c>
      <c r="E24" s="69"/>
      <c r="F24" s="61"/>
      <c r="G24" s="70" t="str">
        <f t="shared" si="4"/>
        <v/>
      </c>
      <c r="H24" s="69"/>
      <c r="I24" s="61"/>
      <c r="J24" s="70" t="str">
        <f t="shared" si="5"/>
        <v/>
      </c>
      <c r="K24" s="74" t="str">
        <f t="shared" si="6"/>
        <v/>
      </c>
      <c r="L24" s="62" t="str">
        <f t="shared" si="6"/>
        <v/>
      </c>
      <c r="M24" s="70" t="str">
        <f t="shared" si="7"/>
        <v/>
      </c>
      <c r="N24" s="69"/>
      <c r="O24" s="61"/>
      <c r="P24" s="70" t="str">
        <f t="shared" si="8"/>
        <v/>
      </c>
      <c r="Q24" s="69"/>
      <c r="R24" s="61"/>
      <c r="S24" s="70" t="str">
        <f t="shared" si="9"/>
        <v/>
      </c>
      <c r="T24" s="69"/>
      <c r="U24" s="61"/>
      <c r="V24" s="70" t="str">
        <f t="shared" si="10"/>
        <v/>
      </c>
      <c r="W24" s="74" t="str">
        <f t="shared" si="11"/>
        <v/>
      </c>
      <c r="X24" s="62" t="str">
        <f t="shared" si="11"/>
        <v/>
      </c>
      <c r="Y24" s="70" t="str">
        <f t="shared" si="12"/>
        <v/>
      </c>
      <c r="Z24" s="69"/>
      <c r="AA24" s="61"/>
      <c r="AB24" s="70" t="str">
        <f t="shared" si="13"/>
        <v/>
      </c>
      <c r="AC24" s="69"/>
      <c r="AD24" s="61"/>
      <c r="AE24" s="70" t="str">
        <f t="shared" si="14"/>
        <v/>
      </c>
      <c r="AF24" s="69"/>
      <c r="AG24" s="61"/>
      <c r="AH24" s="70" t="str">
        <f t="shared" si="15"/>
        <v/>
      </c>
      <c r="AI24" s="74" t="str">
        <f t="shared" si="16"/>
        <v/>
      </c>
      <c r="AJ24" s="62" t="str">
        <f t="shared" si="16"/>
        <v/>
      </c>
      <c r="AK24" s="70" t="str">
        <f t="shared" si="17"/>
        <v/>
      </c>
      <c r="AL24" s="74" t="str">
        <f t="shared" si="18"/>
        <v/>
      </c>
      <c r="AM24" s="62" t="str">
        <f t="shared" si="18"/>
        <v/>
      </c>
      <c r="AN24" s="70" t="str">
        <f t="shared" si="19"/>
        <v/>
      </c>
    </row>
    <row r="25" spans="1:40" ht="18" customHeight="1" x14ac:dyDescent="0.2">
      <c r="A25" s="77" t="str">
        <f>IF($C$9="Data Not Entered On Set-Up Worksheet","",IF(OR(VLOOKUP($C$9,County_Lookup_MC,10,FALSE)="",VLOOKUP($C$9,County_Lookup_MC,10,FALSE)=0),"",VLOOKUP($C$9,County_Lookup_MC,10,FALSE)))</f>
        <v/>
      </c>
      <c r="B25" s="69"/>
      <c r="C25" s="61"/>
      <c r="D25" s="70" t="str">
        <f t="shared" si="3"/>
        <v/>
      </c>
      <c r="E25" s="69"/>
      <c r="F25" s="61"/>
      <c r="G25" s="70" t="str">
        <f t="shared" si="4"/>
        <v/>
      </c>
      <c r="H25" s="69"/>
      <c r="I25" s="61"/>
      <c r="J25" s="70" t="str">
        <f t="shared" si="5"/>
        <v/>
      </c>
      <c r="K25" s="74" t="str">
        <f t="shared" si="6"/>
        <v/>
      </c>
      <c r="L25" s="62" t="str">
        <f t="shared" si="6"/>
        <v/>
      </c>
      <c r="M25" s="70" t="str">
        <f t="shared" si="7"/>
        <v/>
      </c>
      <c r="N25" s="69"/>
      <c r="O25" s="61"/>
      <c r="P25" s="70" t="str">
        <f t="shared" si="8"/>
        <v/>
      </c>
      <c r="Q25" s="69"/>
      <c r="R25" s="61"/>
      <c r="S25" s="70" t="str">
        <f t="shared" si="9"/>
        <v/>
      </c>
      <c r="T25" s="69"/>
      <c r="U25" s="61"/>
      <c r="V25" s="70" t="str">
        <f t="shared" si="10"/>
        <v/>
      </c>
      <c r="W25" s="74" t="str">
        <f t="shared" si="11"/>
        <v/>
      </c>
      <c r="X25" s="62" t="str">
        <f t="shared" si="11"/>
        <v/>
      </c>
      <c r="Y25" s="70" t="str">
        <f t="shared" si="12"/>
        <v/>
      </c>
      <c r="Z25" s="69"/>
      <c r="AA25" s="61"/>
      <c r="AB25" s="70" t="str">
        <f t="shared" si="13"/>
        <v/>
      </c>
      <c r="AC25" s="69"/>
      <c r="AD25" s="61"/>
      <c r="AE25" s="70" t="str">
        <f t="shared" si="14"/>
        <v/>
      </c>
      <c r="AF25" s="69"/>
      <c r="AG25" s="61"/>
      <c r="AH25" s="70" t="str">
        <f t="shared" si="15"/>
        <v/>
      </c>
      <c r="AI25" s="74" t="str">
        <f t="shared" si="16"/>
        <v/>
      </c>
      <c r="AJ25" s="62" t="str">
        <f t="shared" si="16"/>
        <v/>
      </c>
      <c r="AK25" s="70" t="str">
        <f t="shared" si="17"/>
        <v/>
      </c>
      <c r="AL25" s="74" t="str">
        <f t="shared" si="18"/>
        <v/>
      </c>
      <c r="AM25" s="62" t="str">
        <f t="shared" si="18"/>
        <v/>
      </c>
      <c r="AN25" s="70" t="str">
        <f t="shared" si="19"/>
        <v/>
      </c>
    </row>
    <row r="26" spans="1:40" ht="18" customHeight="1" x14ac:dyDescent="0.2">
      <c r="A26" s="77" t="str">
        <f>IF($C$9="Data Not Entered On Set-Up Worksheet","",IF(OR(VLOOKUP($C$9,County_Lookup_MC,11,FALSE)="",VLOOKUP($C$9,County_Lookup_MC,11,FALSE)=0),"",VLOOKUP($C$9,County_Lookup_MC,11,FALSE)))</f>
        <v/>
      </c>
      <c r="B26" s="69"/>
      <c r="C26" s="61"/>
      <c r="D26" s="70" t="str">
        <f t="shared" si="3"/>
        <v/>
      </c>
      <c r="E26" s="69"/>
      <c r="F26" s="61"/>
      <c r="G26" s="70" t="str">
        <f t="shared" si="4"/>
        <v/>
      </c>
      <c r="H26" s="69"/>
      <c r="I26" s="61"/>
      <c r="J26" s="70" t="str">
        <f t="shared" si="5"/>
        <v/>
      </c>
      <c r="K26" s="74" t="str">
        <f t="shared" si="6"/>
        <v/>
      </c>
      <c r="L26" s="62" t="str">
        <f t="shared" si="6"/>
        <v/>
      </c>
      <c r="M26" s="70" t="str">
        <f t="shared" si="7"/>
        <v/>
      </c>
      <c r="N26" s="69"/>
      <c r="O26" s="61"/>
      <c r="P26" s="70" t="str">
        <f t="shared" si="8"/>
        <v/>
      </c>
      <c r="Q26" s="69"/>
      <c r="R26" s="61"/>
      <c r="S26" s="70" t="str">
        <f t="shared" si="9"/>
        <v/>
      </c>
      <c r="T26" s="69"/>
      <c r="U26" s="61"/>
      <c r="V26" s="70" t="str">
        <f t="shared" si="10"/>
        <v/>
      </c>
      <c r="W26" s="74" t="str">
        <f t="shared" si="11"/>
        <v/>
      </c>
      <c r="X26" s="62" t="str">
        <f t="shared" si="11"/>
        <v/>
      </c>
      <c r="Y26" s="70" t="str">
        <f t="shared" si="12"/>
        <v/>
      </c>
      <c r="Z26" s="69"/>
      <c r="AA26" s="61"/>
      <c r="AB26" s="70" t="str">
        <f t="shared" si="13"/>
        <v/>
      </c>
      <c r="AC26" s="69"/>
      <c r="AD26" s="61"/>
      <c r="AE26" s="70" t="str">
        <f t="shared" si="14"/>
        <v/>
      </c>
      <c r="AF26" s="69"/>
      <c r="AG26" s="61"/>
      <c r="AH26" s="70" t="str">
        <f t="shared" si="15"/>
        <v/>
      </c>
      <c r="AI26" s="74" t="str">
        <f t="shared" si="16"/>
        <v/>
      </c>
      <c r="AJ26" s="62" t="str">
        <f t="shared" si="16"/>
        <v/>
      </c>
      <c r="AK26" s="70" t="str">
        <f t="shared" si="17"/>
        <v/>
      </c>
      <c r="AL26" s="74" t="str">
        <f t="shared" si="18"/>
        <v/>
      </c>
      <c r="AM26" s="62" t="str">
        <f t="shared" si="18"/>
        <v/>
      </c>
      <c r="AN26" s="70" t="str">
        <f t="shared" si="19"/>
        <v/>
      </c>
    </row>
    <row r="27" spans="1:40" ht="18" customHeight="1" x14ac:dyDescent="0.2">
      <c r="A27" s="77" t="str">
        <f>IF($C$9="Data Not Entered On Set-Up Worksheet","",IF(OR(VLOOKUP($C$9,County_Lookup_MC,12,FALSE)="",VLOOKUP($C$9,County_Lookup_MC,12,FALSE)=0),"",VLOOKUP($C$9,County_Lookup_MC,12,FALSE)))</f>
        <v/>
      </c>
      <c r="B27" s="69"/>
      <c r="C27" s="61"/>
      <c r="D27" s="70" t="str">
        <f t="shared" si="3"/>
        <v/>
      </c>
      <c r="E27" s="69"/>
      <c r="F27" s="61"/>
      <c r="G27" s="70" t="str">
        <f t="shared" si="4"/>
        <v/>
      </c>
      <c r="H27" s="69"/>
      <c r="I27" s="61"/>
      <c r="J27" s="70" t="str">
        <f t="shared" si="5"/>
        <v/>
      </c>
      <c r="K27" s="74" t="str">
        <f t="shared" si="6"/>
        <v/>
      </c>
      <c r="L27" s="62" t="str">
        <f t="shared" si="6"/>
        <v/>
      </c>
      <c r="M27" s="70" t="str">
        <f t="shared" si="7"/>
        <v/>
      </c>
      <c r="N27" s="69"/>
      <c r="O27" s="61"/>
      <c r="P27" s="70" t="str">
        <f t="shared" si="8"/>
        <v/>
      </c>
      <c r="Q27" s="69"/>
      <c r="R27" s="61"/>
      <c r="S27" s="70" t="str">
        <f t="shared" si="9"/>
        <v/>
      </c>
      <c r="T27" s="69"/>
      <c r="U27" s="61"/>
      <c r="V27" s="70" t="str">
        <f t="shared" si="10"/>
        <v/>
      </c>
      <c r="W27" s="74" t="str">
        <f t="shared" si="11"/>
        <v/>
      </c>
      <c r="X27" s="62" t="str">
        <f t="shared" si="11"/>
        <v/>
      </c>
      <c r="Y27" s="70" t="str">
        <f t="shared" si="12"/>
        <v/>
      </c>
      <c r="Z27" s="69"/>
      <c r="AA27" s="61"/>
      <c r="AB27" s="70" t="str">
        <f t="shared" si="13"/>
        <v/>
      </c>
      <c r="AC27" s="69"/>
      <c r="AD27" s="61"/>
      <c r="AE27" s="70" t="str">
        <f t="shared" si="14"/>
        <v/>
      </c>
      <c r="AF27" s="69"/>
      <c r="AG27" s="61"/>
      <c r="AH27" s="70" t="str">
        <f t="shared" si="15"/>
        <v/>
      </c>
      <c r="AI27" s="74" t="str">
        <f t="shared" si="16"/>
        <v/>
      </c>
      <c r="AJ27" s="62" t="str">
        <f t="shared" si="16"/>
        <v/>
      </c>
      <c r="AK27" s="70" t="str">
        <f t="shared" si="17"/>
        <v/>
      </c>
      <c r="AL27" s="74" t="str">
        <f t="shared" si="18"/>
        <v/>
      </c>
      <c r="AM27" s="62" t="str">
        <f t="shared" si="18"/>
        <v/>
      </c>
      <c r="AN27" s="70" t="str">
        <f t="shared" si="19"/>
        <v/>
      </c>
    </row>
    <row r="28" spans="1:40" ht="18" customHeight="1" x14ac:dyDescent="0.2">
      <c r="A28" s="77" t="str">
        <f>IF($C$9="Data Not Entered On Set-Up Worksheet","",IF(OR(VLOOKUP($C$9,County_Lookup_MC,13,FALSE)="",VLOOKUP($C$9,County_Lookup_MC,13,FALSE)=0),"",VLOOKUP($C$9,County_Lookup_MC,13,FALSE)))</f>
        <v/>
      </c>
      <c r="B28" s="69"/>
      <c r="C28" s="61"/>
      <c r="D28" s="70" t="str">
        <f t="shared" si="3"/>
        <v/>
      </c>
      <c r="E28" s="69"/>
      <c r="F28" s="61"/>
      <c r="G28" s="70" t="str">
        <f t="shared" si="4"/>
        <v/>
      </c>
      <c r="H28" s="69"/>
      <c r="I28" s="61"/>
      <c r="J28" s="70" t="str">
        <f t="shared" si="5"/>
        <v/>
      </c>
      <c r="K28" s="74" t="str">
        <f t="shared" si="6"/>
        <v/>
      </c>
      <c r="L28" s="62" t="str">
        <f t="shared" si="6"/>
        <v/>
      </c>
      <c r="M28" s="70" t="str">
        <f t="shared" si="7"/>
        <v/>
      </c>
      <c r="N28" s="69"/>
      <c r="O28" s="61"/>
      <c r="P28" s="70" t="str">
        <f t="shared" si="8"/>
        <v/>
      </c>
      <c r="Q28" s="69"/>
      <c r="R28" s="61"/>
      <c r="S28" s="70" t="str">
        <f t="shared" si="9"/>
        <v/>
      </c>
      <c r="T28" s="69"/>
      <c r="U28" s="61"/>
      <c r="V28" s="70" t="str">
        <f t="shared" si="10"/>
        <v/>
      </c>
      <c r="W28" s="74" t="str">
        <f t="shared" si="11"/>
        <v/>
      </c>
      <c r="X28" s="62" t="str">
        <f t="shared" si="11"/>
        <v/>
      </c>
      <c r="Y28" s="70" t="str">
        <f t="shared" si="12"/>
        <v/>
      </c>
      <c r="Z28" s="69"/>
      <c r="AA28" s="61"/>
      <c r="AB28" s="70" t="str">
        <f t="shared" si="13"/>
        <v/>
      </c>
      <c r="AC28" s="69"/>
      <c r="AD28" s="61"/>
      <c r="AE28" s="70" t="str">
        <f t="shared" si="14"/>
        <v/>
      </c>
      <c r="AF28" s="69"/>
      <c r="AG28" s="61"/>
      <c r="AH28" s="70" t="str">
        <f t="shared" si="15"/>
        <v/>
      </c>
      <c r="AI28" s="74" t="str">
        <f t="shared" si="16"/>
        <v/>
      </c>
      <c r="AJ28" s="62" t="str">
        <f t="shared" si="16"/>
        <v/>
      </c>
      <c r="AK28" s="70" t="str">
        <f t="shared" si="17"/>
        <v/>
      </c>
      <c r="AL28" s="74" t="str">
        <f t="shared" si="18"/>
        <v/>
      </c>
      <c r="AM28" s="62" t="str">
        <f t="shared" si="18"/>
        <v/>
      </c>
      <c r="AN28" s="70" t="str">
        <f t="shared" si="19"/>
        <v/>
      </c>
    </row>
    <row r="29" spans="1:40" ht="18" customHeight="1" x14ac:dyDescent="0.2">
      <c r="A29" s="77" t="str">
        <f>IF($C$9="Data Not Entered On Set-Up Worksheet","",IF(OR(VLOOKUP($C$9,County_Lookup_MC,14,FALSE)="",VLOOKUP($C$9,County_Lookup_MC,14,FALSE)=0),"",VLOOKUP($C$9,County_Lookup_MC,14,FALSE)))</f>
        <v/>
      </c>
      <c r="B29" s="69"/>
      <c r="C29" s="61"/>
      <c r="D29" s="70" t="str">
        <f t="shared" si="3"/>
        <v/>
      </c>
      <c r="E29" s="69"/>
      <c r="F29" s="61"/>
      <c r="G29" s="70" t="str">
        <f t="shared" si="4"/>
        <v/>
      </c>
      <c r="H29" s="69"/>
      <c r="I29" s="61"/>
      <c r="J29" s="70" t="str">
        <f t="shared" si="5"/>
        <v/>
      </c>
      <c r="K29" s="74" t="str">
        <f t="shared" si="6"/>
        <v/>
      </c>
      <c r="L29" s="62" t="str">
        <f t="shared" si="6"/>
        <v/>
      </c>
      <c r="M29" s="70" t="str">
        <f t="shared" si="7"/>
        <v/>
      </c>
      <c r="N29" s="69"/>
      <c r="O29" s="61"/>
      <c r="P29" s="70" t="str">
        <f t="shared" si="8"/>
        <v/>
      </c>
      <c r="Q29" s="69"/>
      <c r="R29" s="61"/>
      <c r="S29" s="70" t="str">
        <f t="shared" si="9"/>
        <v/>
      </c>
      <c r="T29" s="69"/>
      <c r="U29" s="61"/>
      <c r="V29" s="70" t="str">
        <f t="shared" si="10"/>
        <v/>
      </c>
      <c r="W29" s="74" t="str">
        <f t="shared" si="11"/>
        <v/>
      </c>
      <c r="X29" s="62" t="str">
        <f t="shared" si="11"/>
        <v/>
      </c>
      <c r="Y29" s="70" t="str">
        <f t="shared" si="12"/>
        <v/>
      </c>
      <c r="Z29" s="69"/>
      <c r="AA29" s="61"/>
      <c r="AB29" s="70" t="str">
        <f t="shared" si="13"/>
        <v/>
      </c>
      <c r="AC29" s="69"/>
      <c r="AD29" s="61"/>
      <c r="AE29" s="70" t="str">
        <f t="shared" si="14"/>
        <v/>
      </c>
      <c r="AF29" s="69"/>
      <c r="AG29" s="61"/>
      <c r="AH29" s="70" t="str">
        <f t="shared" si="15"/>
        <v/>
      </c>
      <c r="AI29" s="74" t="str">
        <f t="shared" si="16"/>
        <v/>
      </c>
      <c r="AJ29" s="62" t="str">
        <f t="shared" si="16"/>
        <v/>
      </c>
      <c r="AK29" s="70" t="str">
        <f t="shared" si="17"/>
        <v/>
      </c>
      <c r="AL29" s="74" t="str">
        <f t="shared" si="18"/>
        <v/>
      </c>
      <c r="AM29" s="62" t="str">
        <f t="shared" si="18"/>
        <v/>
      </c>
      <c r="AN29" s="70" t="str">
        <f t="shared" si="19"/>
        <v/>
      </c>
    </row>
    <row r="30" spans="1:40" ht="18" customHeight="1" x14ac:dyDescent="0.2">
      <c r="A30" s="76" t="str">
        <f>IF($C$9="Data Not Entered On Set-Up Worksheet","",IF(OR(VLOOKUP($C$9,County_Lookup_MC,15,FALSE)="",VLOOKUP($C$9,County_Lookup_MC,15,FALSE)=0),"",VLOOKUP($C$9,County_Lookup_MC,15,FALSE)))</f>
        <v/>
      </c>
      <c r="B30" s="69"/>
      <c r="C30" s="61"/>
      <c r="D30" s="70" t="str">
        <f t="shared" si="3"/>
        <v/>
      </c>
      <c r="E30" s="69"/>
      <c r="F30" s="61"/>
      <c r="G30" s="70" t="str">
        <f t="shared" si="4"/>
        <v/>
      </c>
      <c r="H30" s="69"/>
      <c r="I30" s="61"/>
      <c r="J30" s="70" t="str">
        <f t="shared" si="5"/>
        <v/>
      </c>
      <c r="K30" s="74" t="str">
        <f t="shared" si="6"/>
        <v/>
      </c>
      <c r="L30" s="62" t="str">
        <f t="shared" si="6"/>
        <v/>
      </c>
      <c r="M30" s="70" t="str">
        <f t="shared" si="7"/>
        <v/>
      </c>
      <c r="N30" s="69"/>
      <c r="O30" s="61"/>
      <c r="P30" s="70" t="str">
        <f t="shared" si="8"/>
        <v/>
      </c>
      <c r="Q30" s="69"/>
      <c r="R30" s="61"/>
      <c r="S30" s="70" t="str">
        <f t="shared" si="9"/>
        <v/>
      </c>
      <c r="T30" s="69"/>
      <c r="U30" s="61"/>
      <c r="V30" s="70" t="str">
        <f t="shared" si="10"/>
        <v/>
      </c>
      <c r="W30" s="74" t="str">
        <f t="shared" si="11"/>
        <v/>
      </c>
      <c r="X30" s="62" t="str">
        <f t="shared" si="11"/>
        <v/>
      </c>
      <c r="Y30" s="70" t="str">
        <f t="shared" si="12"/>
        <v/>
      </c>
      <c r="Z30" s="69"/>
      <c r="AA30" s="61"/>
      <c r="AB30" s="70" t="str">
        <f t="shared" si="13"/>
        <v/>
      </c>
      <c r="AC30" s="69"/>
      <c r="AD30" s="61"/>
      <c r="AE30" s="70" t="str">
        <f t="shared" si="14"/>
        <v/>
      </c>
      <c r="AF30" s="69"/>
      <c r="AG30" s="61"/>
      <c r="AH30" s="70" t="str">
        <f t="shared" si="15"/>
        <v/>
      </c>
      <c r="AI30" s="74" t="str">
        <f t="shared" si="16"/>
        <v/>
      </c>
      <c r="AJ30" s="62" t="str">
        <f t="shared" si="16"/>
        <v/>
      </c>
      <c r="AK30" s="70" t="str">
        <f t="shared" si="17"/>
        <v/>
      </c>
      <c r="AL30" s="74" t="str">
        <f t="shared" si="18"/>
        <v/>
      </c>
      <c r="AM30" s="62" t="str">
        <f t="shared" si="18"/>
        <v/>
      </c>
      <c r="AN30" s="70" t="str">
        <f t="shared" si="19"/>
        <v/>
      </c>
    </row>
    <row r="31" spans="1:40" ht="18" customHeight="1" x14ac:dyDescent="0.2">
      <c r="A31" s="77" t="str">
        <f>IF($C$9="Data Not Entered On Set-Up Worksheet","",IF(OR(VLOOKUP($C$9,County_Lookup_MC,16,FALSE)="",VLOOKUP($C$9,County_Lookup_MC,16,FALSE)=0),"",VLOOKUP($C$9,County_Lookup_MC,16,FALSE)))</f>
        <v/>
      </c>
      <c r="B31" s="69"/>
      <c r="C31" s="61"/>
      <c r="D31" s="70" t="str">
        <f t="shared" si="3"/>
        <v/>
      </c>
      <c r="E31" s="69"/>
      <c r="F31" s="61"/>
      <c r="G31" s="70" t="str">
        <f t="shared" si="4"/>
        <v/>
      </c>
      <c r="H31" s="69"/>
      <c r="I31" s="61"/>
      <c r="J31" s="70" t="str">
        <f t="shared" si="5"/>
        <v/>
      </c>
      <c r="K31" s="74" t="str">
        <f t="shared" si="6"/>
        <v/>
      </c>
      <c r="L31" s="62" t="str">
        <f t="shared" si="6"/>
        <v/>
      </c>
      <c r="M31" s="70" t="str">
        <f t="shared" si="7"/>
        <v/>
      </c>
      <c r="N31" s="69"/>
      <c r="O31" s="61"/>
      <c r="P31" s="70" t="str">
        <f t="shared" si="8"/>
        <v/>
      </c>
      <c r="Q31" s="69"/>
      <c r="R31" s="61"/>
      <c r="S31" s="70" t="str">
        <f t="shared" si="9"/>
        <v/>
      </c>
      <c r="T31" s="69"/>
      <c r="U31" s="61"/>
      <c r="V31" s="70" t="str">
        <f t="shared" si="10"/>
        <v/>
      </c>
      <c r="W31" s="74" t="str">
        <f t="shared" si="11"/>
        <v/>
      </c>
      <c r="X31" s="62" t="str">
        <f t="shared" si="11"/>
        <v/>
      </c>
      <c r="Y31" s="70" t="str">
        <f t="shared" si="12"/>
        <v/>
      </c>
      <c r="Z31" s="69"/>
      <c r="AA31" s="61"/>
      <c r="AB31" s="70" t="str">
        <f t="shared" si="13"/>
        <v/>
      </c>
      <c r="AC31" s="69"/>
      <c r="AD31" s="61"/>
      <c r="AE31" s="70" t="str">
        <f t="shared" si="14"/>
        <v/>
      </c>
      <c r="AF31" s="69"/>
      <c r="AG31" s="61"/>
      <c r="AH31" s="70" t="str">
        <f t="shared" si="15"/>
        <v/>
      </c>
      <c r="AI31" s="74" t="str">
        <f t="shared" si="16"/>
        <v/>
      </c>
      <c r="AJ31" s="62" t="str">
        <f t="shared" si="16"/>
        <v/>
      </c>
      <c r="AK31" s="70" t="str">
        <f t="shared" si="17"/>
        <v/>
      </c>
      <c r="AL31" s="74" t="str">
        <f t="shared" si="18"/>
        <v/>
      </c>
      <c r="AM31" s="62" t="str">
        <f t="shared" si="18"/>
        <v/>
      </c>
      <c r="AN31" s="70" t="str">
        <f t="shared" si="19"/>
        <v/>
      </c>
    </row>
    <row r="32" spans="1:40" ht="18" customHeight="1" x14ac:dyDescent="0.2">
      <c r="A32" s="77" t="str">
        <f>IF($C$9="Data Not Entered On Set-Up Worksheet","",IF(OR(VLOOKUP($C$9,County_Lookup_MC,17,FALSE)="",VLOOKUP($C$9,County_Lookup_MC,17,FALSE)=0),"",VLOOKUP($C$9,County_Lookup_MC,17,FALSE)))</f>
        <v/>
      </c>
      <c r="B32" s="69"/>
      <c r="C32" s="61"/>
      <c r="D32" s="70" t="str">
        <f t="shared" si="3"/>
        <v/>
      </c>
      <c r="E32" s="69"/>
      <c r="F32" s="61"/>
      <c r="G32" s="70" t="str">
        <f t="shared" si="4"/>
        <v/>
      </c>
      <c r="H32" s="69"/>
      <c r="I32" s="61"/>
      <c r="J32" s="70" t="str">
        <f t="shared" si="5"/>
        <v/>
      </c>
      <c r="K32" s="74" t="str">
        <f t="shared" si="6"/>
        <v/>
      </c>
      <c r="L32" s="62" t="str">
        <f t="shared" si="6"/>
        <v/>
      </c>
      <c r="M32" s="70" t="str">
        <f t="shared" si="7"/>
        <v/>
      </c>
      <c r="N32" s="69"/>
      <c r="O32" s="61"/>
      <c r="P32" s="70" t="str">
        <f t="shared" si="8"/>
        <v/>
      </c>
      <c r="Q32" s="69"/>
      <c r="R32" s="61"/>
      <c r="S32" s="70" t="str">
        <f t="shared" si="9"/>
        <v/>
      </c>
      <c r="T32" s="69"/>
      <c r="U32" s="61"/>
      <c r="V32" s="70" t="str">
        <f t="shared" si="10"/>
        <v/>
      </c>
      <c r="W32" s="74" t="str">
        <f t="shared" si="11"/>
        <v/>
      </c>
      <c r="X32" s="62" t="str">
        <f t="shared" si="11"/>
        <v/>
      </c>
      <c r="Y32" s="70" t="str">
        <f t="shared" si="12"/>
        <v/>
      </c>
      <c r="Z32" s="69"/>
      <c r="AA32" s="61"/>
      <c r="AB32" s="70" t="str">
        <f t="shared" si="13"/>
        <v/>
      </c>
      <c r="AC32" s="69"/>
      <c r="AD32" s="61"/>
      <c r="AE32" s="70" t="str">
        <f t="shared" si="14"/>
        <v/>
      </c>
      <c r="AF32" s="69"/>
      <c r="AG32" s="61"/>
      <c r="AH32" s="70" t="str">
        <f t="shared" si="15"/>
        <v/>
      </c>
      <c r="AI32" s="74" t="str">
        <f t="shared" si="16"/>
        <v/>
      </c>
      <c r="AJ32" s="62" t="str">
        <f t="shared" si="16"/>
        <v/>
      </c>
      <c r="AK32" s="70" t="str">
        <f t="shared" si="17"/>
        <v/>
      </c>
      <c r="AL32" s="74" t="str">
        <f t="shared" si="18"/>
        <v/>
      </c>
      <c r="AM32" s="62" t="str">
        <f t="shared" si="18"/>
        <v/>
      </c>
      <c r="AN32" s="70" t="str">
        <f t="shared" si="19"/>
        <v/>
      </c>
    </row>
    <row r="33" spans="1:40" ht="18" customHeight="1" x14ac:dyDescent="0.2">
      <c r="A33" s="77" t="str">
        <f>IF($C$9="Data Not Entered On Set-Up Worksheet","",IF(OR(VLOOKUP($C$9,County_Lookup_MC,18,FALSE)="",VLOOKUP($C$9,County_Lookup_MC,18,FALSE)=0),"",VLOOKUP($C$9,County_Lookup_MC,18,FALSE)))</f>
        <v/>
      </c>
      <c r="B33" s="69"/>
      <c r="C33" s="61"/>
      <c r="D33" s="70" t="str">
        <f t="shared" si="3"/>
        <v/>
      </c>
      <c r="E33" s="69"/>
      <c r="F33" s="61"/>
      <c r="G33" s="70" t="str">
        <f t="shared" si="4"/>
        <v/>
      </c>
      <c r="H33" s="69"/>
      <c r="I33" s="61"/>
      <c r="J33" s="70" t="str">
        <f t="shared" si="5"/>
        <v/>
      </c>
      <c r="K33" s="74" t="str">
        <f t="shared" si="6"/>
        <v/>
      </c>
      <c r="L33" s="62" t="str">
        <f t="shared" si="6"/>
        <v/>
      </c>
      <c r="M33" s="70" t="str">
        <f t="shared" si="7"/>
        <v/>
      </c>
      <c r="N33" s="69"/>
      <c r="O33" s="61"/>
      <c r="P33" s="70" t="str">
        <f t="shared" si="8"/>
        <v/>
      </c>
      <c r="Q33" s="69"/>
      <c r="R33" s="61"/>
      <c r="S33" s="70" t="str">
        <f t="shared" si="9"/>
        <v/>
      </c>
      <c r="T33" s="69"/>
      <c r="U33" s="61"/>
      <c r="V33" s="70" t="str">
        <f t="shared" si="10"/>
        <v/>
      </c>
      <c r="W33" s="74" t="str">
        <f t="shared" si="11"/>
        <v/>
      </c>
      <c r="X33" s="62" t="str">
        <f t="shared" si="11"/>
        <v/>
      </c>
      <c r="Y33" s="70" t="str">
        <f t="shared" si="12"/>
        <v/>
      </c>
      <c r="Z33" s="69"/>
      <c r="AA33" s="61"/>
      <c r="AB33" s="70" t="str">
        <f t="shared" si="13"/>
        <v/>
      </c>
      <c r="AC33" s="69"/>
      <c r="AD33" s="61"/>
      <c r="AE33" s="70" t="str">
        <f t="shared" si="14"/>
        <v/>
      </c>
      <c r="AF33" s="69"/>
      <c r="AG33" s="61"/>
      <c r="AH33" s="70" t="str">
        <f t="shared" si="15"/>
        <v/>
      </c>
      <c r="AI33" s="74" t="str">
        <f t="shared" si="16"/>
        <v/>
      </c>
      <c r="AJ33" s="62" t="str">
        <f t="shared" si="16"/>
        <v/>
      </c>
      <c r="AK33" s="70" t="str">
        <f t="shared" si="17"/>
        <v/>
      </c>
      <c r="AL33" s="74" t="str">
        <f t="shared" si="18"/>
        <v/>
      </c>
      <c r="AM33" s="62" t="str">
        <f t="shared" si="18"/>
        <v/>
      </c>
      <c r="AN33" s="70" t="str">
        <f t="shared" si="19"/>
        <v/>
      </c>
    </row>
    <row r="34" spans="1:40" ht="18" customHeight="1" x14ac:dyDescent="0.2">
      <c r="A34" s="77" t="str">
        <f>IF($C$9="Data Not Entered On Set-Up Worksheet","",IF(OR(VLOOKUP($C$9,County_Lookup_MC,19,FALSE)="",VLOOKUP($C$9,County_Lookup_MC,19,FALSE)=0),"",VLOOKUP($C$9,County_Lookup_MC,19,FALSE)))</f>
        <v/>
      </c>
      <c r="B34" s="69"/>
      <c r="C34" s="61"/>
      <c r="D34" s="70" t="str">
        <f t="shared" si="3"/>
        <v/>
      </c>
      <c r="E34" s="69"/>
      <c r="F34" s="61"/>
      <c r="G34" s="70" t="str">
        <f t="shared" si="4"/>
        <v/>
      </c>
      <c r="H34" s="69"/>
      <c r="I34" s="61"/>
      <c r="J34" s="70" t="str">
        <f t="shared" si="5"/>
        <v/>
      </c>
      <c r="K34" s="74" t="str">
        <f t="shared" si="6"/>
        <v/>
      </c>
      <c r="L34" s="62" t="str">
        <f t="shared" si="6"/>
        <v/>
      </c>
      <c r="M34" s="70" t="str">
        <f t="shared" si="7"/>
        <v/>
      </c>
      <c r="N34" s="69"/>
      <c r="O34" s="61"/>
      <c r="P34" s="70" t="str">
        <f t="shared" si="8"/>
        <v/>
      </c>
      <c r="Q34" s="69"/>
      <c r="R34" s="61"/>
      <c r="S34" s="70" t="str">
        <f t="shared" si="9"/>
        <v/>
      </c>
      <c r="T34" s="69"/>
      <c r="U34" s="61"/>
      <c r="V34" s="70" t="str">
        <f t="shared" si="10"/>
        <v/>
      </c>
      <c r="W34" s="74" t="str">
        <f t="shared" si="11"/>
        <v/>
      </c>
      <c r="X34" s="62" t="str">
        <f t="shared" si="11"/>
        <v/>
      </c>
      <c r="Y34" s="70" t="str">
        <f t="shared" si="12"/>
        <v/>
      </c>
      <c r="Z34" s="69"/>
      <c r="AA34" s="61"/>
      <c r="AB34" s="70" t="str">
        <f t="shared" si="13"/>
        <v/>
      </c>
      <c r="AC34" s="69"/>
      <c r="AD34" s="61"/>
      <c r="AE34" s="70" t="str">
        <f t="shared" si="14"/>
        <v/>
      </c>
      <c r="AF34" s="69"/>
      <c r="AG34" s="61"/>
      <c r="AH34" s="70" t="str">
        <f t="shared" si="15"/>
        <v/>
      </c>
      <c r="AI34" s="74" t="str">
        <f t="shared" si="16"/>
        <v/>
      </c>
      <c r="AJ34" s="62" t="str">
        <f t="shared" si="16"/>
        <v/>
      </c>
      <c r="AK34" s="70" t="str">
        <f t="shared" si="17"/>
        <v/>
      </c>
      <c r="AL34" s="74" t="str">
        <f t="shared" si="18"/>
        <v/>
      </c>
      <c r="AM34" s="62" t="str">
        <f t="shared" si="18"/>
        <v/>
      </c>
      <c r="AN34" s="70" t="str">
        <f t="shared" si="19"/>
        <v/>
      </c>
    </row>
    <row r="35" spans="1:40" ht="18" customHeight="1" x14ac:dyDescent="0.2">
      <c r="A35" s="77" t="str">
        <f>IF($C$9="Data Not Entered On Set-Up Worksheet","",IF(OR(VLOOKUP($C$9,County_Lookup_MC,20,FALSE)="",VLOOKUP($C$9,County_Lookup_MC,20,FALSE)=0),"",VLOOKUP($C$9,County_Lookup_MC,20,FALSE)))</f>
        <v/>
      </c>
      <c r="B35" s="69"/>
      <c r="C35" s="61"/>
      <c r="D35" s="70" t="str">
        <f t="shared" si="3"/>
        <v/>
      </c>
      <c r="E35" s="69"/>
      <c r="F35" s="61"/>
      <c r="G35" s="70" t="str">
        <f t="shared" si="4"/>
        <v/>
      </c>
      <c r="H35" s="69"/>
      <c r="I35" s="61"/>
      <c r="J35" s="70" t="str">
        <f t="shared" si="5"/>
        <v/>
      </c>
      <c r="K35" s="74" t="str">
        <f t="shared" si="6"/>
        <v/>
      </c>
      <c r="L35" s="62" t="str">
        <f t="shared" si="6"/>
        <v/>
      </c>
      <c r="M35" s="70" t="str">
        <f t="shared" si="7"/>
        <v/>
      </c>
      <c r="N35" s="69"/>
      <c r="O35" s="61"/>
      <c r="P35" s="70" t="str">
        <f t="shared" si="8"/>
        <v/>
      </c>
      <c r="Q35" s="69"/>
      <c r="R35" s="61"/>
      <c r="S35" s="70" t="str">
        <f t="shared" si="9"/>
        <v/>
      </c>
      <c r="T35" s="69"/>
      <c r="U35" s="61"/>
      <c r="V35" s="70" t="str">
        <f t="shared" si="10"/>
        <v/>
      </c>
      <c r="W35" s="74" t="str">
        <f t="shared" si="11"/>
        <v/>
      </c>
      <c r="X35" s="62" t="str">
        <f t="shared" si="11"/>
        <v/>
      </c>
      <c r="Y35" s="70" t="str">
        <f t="shared" si="12"/>
        <v/>
      </c>
      <c r="Z35" s="69"/>
      <c r="AA35" s="61"/>
      <c r="AB35" s="70" t="str">
        <f t="shared" si="13"/>
        <v/>
      </c>
      <c r="AC35" s="69"/>
      <c r="AD35" s="61"/>
      <c r="AE35" s="70" t="str">
        <f t="shared" si="14"/>
        <v/>
      </c>
      <c r="AF35" s="69"/>
      <c r="AG35" s="61"/>
      <c r="AH35" s="70" t="str">
        <f t="shared" si="15"/>
        <v/>
      </c>
      <c r="AI35" s="74" t="str">
        <f t="shared" si="16"/>
        <v/>
      </c>
      <c r="AJ35" s="62" t="str">
        <f t="shared" si="16"/>
        <v/>
      </c>
      <c r="AK35" s="70" t="str">
        <f t="shared" si="17"/>
        <v/>
      </c>
      <c r="AL35" s="74" t="str">
        <f t="shared" si="18"/>
        <v/>
      </c>
      <c r="AM35" s="62" t="str">
        <f t="shared" si="18"/>
        <v/>
      </c>
      <c r="AN35" s="70" t="str">
        <f t="shared" si="19"/>
        <v/>
      </c>
    </row>
    <row r="36" spans="1:40" ht="18" customHeight="1" x14ac:dyDescent="0.2">
      <c r="A36" s="77" t="str">
        <f>IF($C$9="Data Not Entered On Set-Up Worksheet","",IF(OR(VLOOKUP($C$9,County_Lookup_MC,21,FALSE)="",VLOOKUP($C$9,County_Lookup_MC,21,FALSE)=0),"",VLOOKUP($C$9,County_Lookup_MC,21,FALSE)))</f>
        <v/>
      </c>
      <c r="B36" s="69"/>
      <c r="C36" s="61"/>
      <c r="D36" s="70" t="str">
        <f t="shared" si="3"/>
        <v/>
      </c>
      <c r="E36" s="69"/>
      <c r="F36" s="61"/>
      <c r="G36" s="70" t="str">
        <f t="shared" si="4"/>
        <v/>
      </c>
      <c r="H36" s="69"/>
      <c r="I36" s="61"/>
      <c r="J36" s="70" t="str">
        <f t="shared" si="5"/>
        <v/>
      </c>
      <c r="K36" s="74" t="str">
        <f t="shared" si="6"/>
        <v/>
      </c>
      <c r="L36" s="62" t="str">
        <f t="shared" si="6"/>
        <v/>
      </c>
      <c r="M36" s="70" t="str">
        <f t="shared" si="7"/>
        <v/>
      </c>
      <c r="N36" s="69"/>
      <c r="O36" s="61"/>
      <c r="P36" s="70" t="str">
        <f t="shared" si="8"/>
        <v/>
      </c>
      <c r="Q36" s="69"/>
      <c r="R36" s="61"/>
      <c r="S36" s="70" t="str">
        <f t="shared" si="9"/>
        <v/>
      </c>
      <c r="T36" s="69"/>
      <c r="U36" s="61"/>
      <c r="V36" s="70" t="str">
        <f t="shared" si="10"/>
        <v/>
      </c>
      <c r="W36" s="74" t="str">
        <f t="shared" si="11"/>
        <v/>
      </c>
      <c r="X36" s="62" t="str">
        <f t="shared" si="11"/>
        <v/>
      </c>
      <c r="Y36" s="70" t="str">
        <f t="shared" si="12"/>
        <v/>
      </c>
      <c r="Z36" s="69"/>
      <c r="AA36" s="61"/>
      <c r="AB36" s="70" t="str">
        <f t="shared" si="13"/>
        <v/>
      </c>
      <c r="AC36" s="69"/>
      <c r="AD36" s="61"/>
      <c r="AE36" s="70" t="str">
        <f t="shared" si="14"/>
        <v/>
      </c>
      <c r="AF36" s="69"/>
      <c r="AG36" s="61"/>
      <c r="AH36" s="70" t="str">
        <f t="shared" si="15"/>
        <v/>
      </c>
      <c r="AI36" s="74" t="str">
        <f t="shared" si="16"/>
        <v/>
      </c>
      <c r="AJ36" s="62" t="str">
        <f t="shared" si="16"/>
        <v/>
      </c>
      <c r="AK36" s="70" t="str">
        <f t="shared" si="17"/>
        <v/>
      </c>
      <c r="AL36" s="74" t="str">
        <f t="shared" si="18"/>
        <v/>
      </c>
      <c r="AM36" s="62" t="str">
        <f t="shared" si="18"/>
        <v/>
      </c>
      <c r="AN36" s="70" t="str">
        <f t="shared" si="19"/>
        <v/>
      </c>
    </row>
    <row r="37" spans="1:40" ht="18" customHeight="1" x14ac:dyDescent="0.2">
      <c r="A37" s="76" t="str">
        <f>IF($C$9="Data Not Entered On Set-Up Worksheet","",IF(OR(VLOOKUP($C$9,County_Lookup_MC,22,FALSE)="",VLOOKUP($C$9,County_Lookup_MC,22,FALSE)=0),"",VLOOKUP($C$9,County_Lookup_MC,22,FALSE)))</f>
        <v/>
      </c>
      <c r="B37" s="69"/>
      <c r="C37" s="61"/>
      <c r="D37" s="70" t="str">
        <f t="shared" si="3"/>
        <v/>
      </c>
      <c r="E37" s="69"/>
      <c r="F37" s="61"/>
      <c r="G37" s="70" t="str">
        <f t="shared" si="4"/>
        <v/>
      </c>
      <c r="H37" s="69"/>
      <c r="I37" s="61"/>
      <c r="J37" s="70" t="str">
        <f t="shared" si="5"/>
        <v/>
      </c>
      <c r="K37" s="74" t="str">
        <f t="shared" si="6"/>
        <v/>
      </c>
      <c r="L37" s="62" t="str">
        <f t="shared" si="6"/>
        <v/>
      </c>
      <c r="M37" s="70" t="str">
        <f t="shared" si="7"/>
        <v/>
      </c>
      <c r="N37" s="69"/>
      <c r="O37" s="61"/>
      <c r="P37" s="70" t="str">
        <f t="shared" si="8"/>
        <v/>
      </c>
      <c r="Q37" s="69"/>
      <c r="R37" s="61"/>
      <c r="S37" s="70" t="str">
        <f t="shared" si="9"/>
        <v/>
      </c>
      <c r="T37" s="69"/>
      <c r="U37" s="61"/>
      <c r="V37" s="70" t="str">
        <f t="shared" si="10"/>
        <v/>
      </c>
      <c r="W37" s="74" t="str">
        <f t="shared" si="11"/>
        <v/>
      </c>
      <c r="X37" s="62" t="str">
        <f t="shared" si="11"/>
        <v/>
      </c>
      <c r="Y37" s="70" t="str">
        <f t="shared" si="12"/>
        <v/>
      </c>
      <c r="Z37" s="69"/>
      <c r="AA37" s="61"/>
      <c r="AB37" s="70" t="str">
        <f t="shared" si="13"/>
        <v/>
      </c>
      <c r="AC37" s="69"/>
      <c r="AD37" s="61"/>
      <c r="AE37" s="70" t="str">
        <f t="shared" si="14"/>
        <v/>
      </c>
      <c r="AF37" s="69"/>
      <c r="AG37" s="61"/>
      <c r="AH37" s="70" t="str">
        <f t="shared" si="15"/>
        <v/>
      </c>
      <c r="AI37" s="74" t="str">
        <f t="shared" si="16"/>
        <v/>
      </c>
      <c r="AJ37" s="62" t="str">
        <f t="shared" si="16"/>
        <v/>
      </c>
      <c r="AK37" s="70" t="str">
        <f t="shared" si="17"/>
        <v/>
      </c>
      <c r="AL37" s="74" t="str">
        <f t="shared" si="18"/>
        <v/>
      </c>
      <c r="AM37" s="62" t="str">
        <f t="shared" si="18"/>
        <v/>
      </c>
      <c r="AN37" s="70" t="str">
        <f t="shared" si="19"/>
        <v/>
      </c>
    </row>
    <row r="38" spans="1:40" ht="18" customHeight="1" x14ac:dyDescent="0.2">
      <c r="A38" s="77" t="str">
        <f>IF($C$9="Data Not Entered On Set-Up Worksheet","",IF(OR(VLOOKUP($C$9,County_Lookup_MC,23,FALSE)="",VLOOKUP($C$9,County_Lookup_MC,23,FALSE)=0),"",VLOOKUP($C$9,County_Lookup_MC,23,FALSE)))</f>
        <v/>
      </c>
      <c r="B38" s="69"/>
      <c r="C38" s="61"/>
      <c r="D38" s="70" t="str">
        <f t="shared" si="3"/>
        <v/>
      </c>
      <c r="E38" s="69"/>
      <c r="F38" s="61"/>
      <c r="G38" s="70" t="str">
        <f t="shared" si="4"/>
        <v/>
      </c>
      <c r="H38" s="69"/>
      <c r="I38" s="61"/>
      <c r="J38" s="70" t="str">
        <f t="shared" si="5"/>
        <v/>
      </c>
      <c r="K38" s="74" t="str">
        <f t="shared" si="6"/>
        <v/>
      </c>
      <c r="L38" s="62" t="str">
        <f t="shared" si="6"/>
        <v/>
      </c>
      <c r="M38" s="70" t="str">
        <f t="shared" si="7"/>
        <v/>
      </c>
      <c r="N38" s="69"/>
      <c r="O38" s="61"/>
      <c r="P38" s="70" t="str">
        <f t="shared" si="8"/>
        <v/>
      </c>
      <c r="Q38" s="69"/>
      <c r="R38" s="61"/>
      <c r="S38" s="70" t="str">
        <f t="shared" si="9"/>
        <v/>
      </c>
      <c r="T38" s="69"/>
      <c r="U38" s="61"/>
      <c r="V38" s="70" t="str">
        <f t="shared" si="10"/>
        <v/>
      </c>
      <c r="W38" s="74" t="str">
        <f t="shared" si="11"/>
        <v/>
      </c>
      <c r="X38" s="62" t="str">
        <f t="shared" si="11"/>
        <v/>
      </c>
      <c r="Y38" s="70" t="str">
        <f t="shared" si="12"/>
        <v/>
      </c>
      <c r="Z38" s="69"/>
      <c r="AA38" s="61"/>
      <c r="AB38" s="70" t="str">
        <f t="shared" si="13"/>
        <v/>
      </c>
      <c r="AC38" s="69"/>
      <c r="AD38" s="61"/>
      <c r="AE38" s="70" t="str">
        <f t="shared" si="14"/>
        <v/>
      </c>
      <c r="AF38" s="69"/>
      <c r="AG38" s="61"/>
      <c r="AH38" s="70" t="str">
        <f t="shared" si="15"/>
        <v/>
      </c>
      <c r="AI38" s="74" t="str">
        <f t="shared" si="16"/>
        <v/>
      </c>
      <c r="AJ38" s="62" t="str">
        <f t="shared" si="16"/>
        <v/>
      </c>
      <c r="AK38" s="70" t="str">
        <f t="shared" si="17"/>
        <v/>
      </c>
      <c r="AL38" s="74" t="str">
        <f t="shared" si="18"/>
        <v/>
      </c>
      <c r="AM38" s="62" t="str">
        <f t="shared" si="18"/>
        <v/>
      </c>
      <c r="AN38" s="70" t="str">
        <f t="shared" si="19"/>
        <v/>
      </c>
    </row>
    <row r="39" spans="1:40" ht="18" customHeight="1" x14ac:dyDescent="0.2">
      <c r="A39" s="77" t="str">
        <f>IF($C$9="Data Not Entered On Set-Up Worksheet","",IF(OR(VLOOKUP($C$9,County_Lookup_MC,24,FALSE)="",VLOOKUP($C$9,County_Lookup_MC,24,FALSE)=0),"",VLOOKUP($C$9,County_Lookup_MC,24,FALSE)))</f>
        <v/>
      </c>
      <c r="B39" s="69"/>
      <c r="C39" s="61"/>
      <c r="D39" s="70" t="str">
        <f t="shared" ref="D39:D40" si="20">IF($A39="","",IF(C39=0,0,B39/C39))</f>
        <v/>
      </c>
      <c r="E39" s="69"/>
      <c r="F39" s="61"/>
      <c r="G39" s="70" t="str">
        <f t="shared" ref="G39:G40" si="21">IF($A39="","",IF(F39=0,0,E39/F39))</f>
        <v/>
      </c>
      <c r="H39" s="69"/>
      <c r="I39" s="61"/>
      <c r="J39" s="70" t="str">
        <f t="shared" ref="J39:J40" si="22">IF($A39="","",IF(I39=0,0,H39/I39))</f>
        <v/>
      </c>
      <c r="K39" s="74" t="str">
        <f t="shared" ref="K39:K40" si="23">IF($A39="","",SUM(E39,H39))</f>
        <v/>
      </c>
      <c r="L39" s="62" t="str">
        <f t="shared" ref="L39:L40" si="24">IF($A39="","",SUM(F39,I39))</f>
        <v/>
      </c>
      <c r="M39" s="70" t="str">
        <f t="shared" ref="M39:M40" si="25">IF($A39="","",IF(L39=0,0,K39/L39))</f>
        <v/>
      </c>
      <c r="N39" s="69"/>
      <c r="O39" s="61"/>
      <c r="P39" s="70" t="str">
        <f t="shared" ref="P39:P40" si="26">IF($A39="","",IF(O39=0,0,N39/O39))</f>
        <v/>
      </c>
      <c r="Q39" s="69"/>
      <c r="R39" s="61"/>
      <c r="S39" s="70" t="str">
        <f t="shared" ref="S39:S40" si="27">IF($A39="","",IF(R39=0,0,Q39/R39))</f>
        <v/>
      </c>
      <c r="T39" s="69"/>
      <c r="U39" s="61"/>
      <c r="V39" s="70" t="str">
        <f t="shared" ref="V39:V40" si="28">IF($A39="","",IF(U39=0,0,T39/U39))</f>
        <v/>
      </c>
      <c r="W39" s="74" t="str">
        <f t="shared" ref="W39:W40" si="29">IF($A39="","",SUM(Q39,T39))</f>
        <v/>
      </c>
      <c r="X39" s="62" t="str">
        <f t="shared" ref="X39:X40" si="30">IF($A39="","",SUM(R39,U39))</f>
        <v/>
      </c>
      <c r="Y39" s="70" t="str">
        <f t="shared" ref="Y39:Y40" si="31">IF($A39="","",IF(X39=0,0,W39/X39))</f>
        <v/>
      </c>
      <c r="Z39" s="69"/>
      <c r="AA39" s="61"/>
      <c r="AB39" s="70" t="str">
        <f t="shared" ref="AB39:AB40" si="32">IF($A39="","",IF(AA39=0,0,Z39/AA39))</f>
        <v/>
      </c>
      <c r="AC39" s="69"/>
      <c r="AD39" s="61"/>
      <c r="AE39" s="70" t="str">
        <f t="shared" ref="AE39:AE40" si="33">IF($A39="","",IF(AD39=0,0,AC39/AD39))</f>
        <v/>
      </c>
      <c r="AF39" s="69"/>
      <c r="AG39" s="61"/>
      <c r="AH39" s="70" t="str">
        <f t="shared" ref="AH39:AH40" si="34">IF($A39="","",IF(AG39=0,0,AF39/AG39))</f>
        <v/>
      </c>
      <c r="AI39" s="74" t="str">
        <f t="shared" ref="AI39:AI40" si="35">IF($A39="","",SUM(AC39,AF39))</f>
        <v/>
      </c>
      <c r="AJ39" s="62" t="str">
        <f t="shared" ref="AJ39:AJ40" si="36">IF($A39="","",SUM(AD39,AG39))</f>
        <v/>
      </c>
      <c r="AK39" s="70" t="str">
        <f t="shared" ref="AK39:AK40" si="37">IF($A39="","",IF(AJ39=0,0,AI39/AJ39))</f>
        <v/>
      </c>
      <c r="AL39" s="74" t="str">
        <f t="shared" ref="AL39:AL40" si="38">IF($A39="","",SUM(B39,E39,H39,N39,Q39,T39,Z39,AC39,AF39))</f>
        <v/>
      </c>
      <c r="AM39" s="62" t="str">
        <f t="shared" ref="AM39:AM40" si="39">IF($A39="","",SUM(C39,F39,I39,O39,R39,U39,AA39,AD39,AG39))</f>
        <v/>
      </c>
      <c r="AN39" s="70" t="str">
        <f t="shared" ref="AN39:AN40" si="40">IF($A39="","",IF(AM39=0,0,AL39/AM39))</f>
        <v/>
      </c>
    </row>
    <row r="40" spans="1:40" ht="18" customHeight="1" x14ac:dyDescent="0.2">
      <c r="A40" s="77" t="str">
        <f>IF($C$9="Data Not Entered On Set-Up Worksheet","",IF(OR(VLOOKUP($C$9,County_Lookup_MC,25,FALSE)="",VLOOKUP($C$9,County_Lookup_MC,25,FALSE)=0),"",VLOOKUP($C$9,County_Lookup_MC,25,FALSE)))</f>
        <v/>
      </c>
      <c r="B40" s="69"/>
      <c r="C40" s="61"/>
      <c r="D40" s="70" t="str">
        <f t="shared" si="20"/>
        <v/>
      </c>
      <c r="E40" s="69"/>
      <c r="F40" s="61"/>
      <c r="G40" s="70" t="str">
        <f t="shared" si="21"/>
        <v/>
      </c>
      <c r="H40" s="69"/>
      <c r="I40" s="61"/>
      <c r="J40" s="70" t="str">
        <f t="shared" si="22"/>
        <v/>
      </c>
      <c r="K40" s="74" t="str">
        <f t="shared" si="23"/>
        <v/>
      </c>
      <c r="L40" s="62" t="str">
        <f t="shared" si="24"/>
        <v/>
      </c>
      <c r="M40" s="70" t="str">
        <f t="shared" si="25"/>
        <v/>
      </c>
      <c r="N40" s="69"/>
      <c r="O40" s="61"/>
      <c r="P40" s="70" t="str">
        <f t="shared" si="26"/>
        <v/>
      </c>
      <c r="Q40" s="69"/>
      <c r="R40" s="61"/>
      <c r="S40" s="70" t="str">
        <f t="shared" si="27"/>
        <v/>
      </c>
      <c r="T40" s="69"/>
      <c r="U40" s="61"/>
      <c r="V40" s="70" t="str">
        <f t="shared" si="28"/>
        <v/>
      </c>
      <c r="W40" s="74" t="str">
        <f t="shared" si="29"/>
        <v/>
      </c>
      <c r="X40" s="62" t="str">
        <f t="shared" si="30"/>
        <v/>
      </c>
      <c r="Y40" s="70" t="str">
        <f t="shared" si="31"/>
        <v/>
      </c>
      <c r="Z40" s="69"/>
      <c r="AA40" s="61"/>
      <c r="AB40" s="70" t="str">
        <f t="shared" si="32"/>
        <v/>
      </c>
      <c r="AC40" s="69"/>
      <c r="AD40" s="61"/>
      <c r="AE40" s="70" t="str">
        <f t="shared" si="33"/>
        <v/>
      </c>
      <c r="AF40" s="69"/>
      <c r="AG40" s="61"/>
      <c r="AH40" s="70" t="str">
        <f t="shared" si="34"/>
        <v/>
      </c>
      <c r="AI40" s="74" t="str">
        <f t="shared" si="35"/>
        <v/>
      </c>
      <c r="AJ40" s="62" t="str">
        <f t="shared" si="36"/>
        <v/>
      </c>
      <c r="AK40" s="70" t="str">
        <f t="shared" si="37"/>
        <v/>
      </c>
      <c r="AL40" s="74" t="str">
        <f t="shared" si="38"/>
        <v/>
      </c>
      <c r="AM40" s="62" t="str">
        <f t="shared" si="39"/>
        <v/>
      </c>
      <c r="AN40" s="70" t="str">
        <f t="shared" si="40"/>
        <v/>
      </c>
    </row>
    <row r="41" spans="1:40" ht="18" customHeight="1" x14ac:dyDescent="0.2">
      <c r="A41" s="77" t="str">
        <f>IF($C$9="Data Not Entered On Set-Up Worksheet","",IF(OR(VLOOKUP($C$9,County_Lookup_MC,26,FALSE)="",VLOOKUP($C$9,County_Lookup_MC,26,FALSE)=0),"",VLOOKUP($C$9,County_Lookup_MC,26,FALSE)))</f>
        <v/>
      </c>
      <c r="B41" s="69"/>
      <c r="C41" s="61"/>
      <c r="D41" s="70" t="str">
        <f t="shared" si="3"/>
        <v/>
      </c>
      <c r="E41" s="69"/>
      <c r="F41" s="61"/>
      <c r="G41" s="70" t="str">
        <f t="shared" si="4"/>
        <v/>
      </c>
      <c r="H41" s="69"/>
      <c r="I41" s="61"/>
      <c r="J41" s="70" t="str">
        <f t="shared" si="5"/>
        <v/>
      </c>
      <c r="K41" s="74" t="str">
        <f t="shared" si="6"/>
        <v/>
      </c>
      <c r="L41" s="62" t="str">
        <f t="shared" si="6"/>
        <v/>
      </c>
      <c r="M41" s="70" t="str">
        <f t="shared" si="7"/>
        <v/>
      </c>
      <c r="N41" s="69"/>
      <c r="O41" s="61"/>
      <c r="P41" s="70" t="str">
        <f t="shared" si="8"/>
        <v/>
      </c>
      <c r="Q41" s="69"/>
      <c r="R41" s="61"/>
      <c r="S41" s="70" t="str">
        <f t="shared" si="9"/>
        <v/>
      </c>
      <c r="T41" s="69"/>
      <c r="U41" s="61"/>
      <c r="V41" s="70" t="str">
        <f t="shared" si="10"/>
        <v/>
      </c>
      <c r="W41" s="74" t="str">
        <f t="shared" si="11"/>
        <v/>
      </c>
      <c r="X41" s="62" t="str">
        <f t="shared" si="11"/>
        <v/>
      </c>
      <c r="Y41" s="70" t="str">
        <f t="shared" si="12"/>
        <v/>
      </c>
      <c r="Z41" s="69"/>
      <c r="AA41" s="61"/>
      <c r="AB41" s="70" t="str">
        <f t="shared" si="13"/>
        <v/>
      </c>
      <c r="AC41" s="69"/>
      <c r="AD41" s="61"/>
      <c r="AE41" s="70" t="str">
        <f t="shared" si="14"/>
        <v/>
      </c>
      <c r="AF41" s="69"/>
      <c r="AG41" s="61"/>
      <c r="AH41" s="70" t="str">
        <f t="shared" si="15"/>
        <v/>
      </c>
      <c r="AI41" s="74" t="str">
        <f t="shared" si="16"/>
        <v/>
      </c>
      <c r="AJ41" s="62" t="str">
        <f t="shared" si="16"/>
        <v/>
      </c>
      <c r="AK41" s="70" t="str">
        <f t="shared" si="17"/>
        <v/>
      </c>
      <c r="AL41" s="74" t="str">
        <f t="shared" si="18"/>
        <v/>
      </c>
      <c r="AM41" s="62" t="str">
        <f t="shared" si="18"/>
        <v/>
      </c>
      <c r="AN41" s="70" t="str">
        <f t="shared" si="19"/>
        <v/>
      </c>
    </row>
    <row r="42" spans="1:40" ht="18" customHeight="1" thickBot="1" x14ac:dyDescent="0.25">
      <c r="A42" s="78" t="s">
        <v>0</v>
      </c>
      <c r="B42" s="71">
        <f>SUM(B17:B41)</f>
        <v>0</v>
      </c>
      <c r="C42" s="72">
        <f>SUM(C17:C41)</f>
        <v>0</v>
      </c>
      <c r="D42" s="73">
        <f t="shared" ref="D42" si="41">IF(C42=0,0,B42/C42)</f>
        <v>0</v>
      </c>
      <c r="E42" s="71">
        <f>SUM(E17:E41)</f>
        <v>0</v>
      </c>
      <c r="F42" s="72">
        <f>SUM(F17:F41)</f>
        <v>0</v>
      </c>
      <c r="G42" s="73">
        <f t="shared" ref="G42" si="42">IF(F42=0,0,E42/F42)</f>
        <v>0</v>
      </c>
      <c r="H42" s="71">
        <f>SUM(H17:H41)</f>
        <v>0</v>
      </c>
      <c r="I42" s="72">
        <f>SUM(I17:I41)</f>
        <v>0</v>
      </c>
      <c r="J42" s="73">
        <f t="shared" ref="J42" si="43">IF(I42=0,0,H42/I42)</f>
        <v>0</v>
      </c>
      <c r="K42" s="71">
        <f>SUM(K17:K41)</f>
        <v>0</v>
      </c>
      <c r="L42" s="72">
        <f>SUM(L17:L41)</f>
        <v>0</v>
      </c>
      <c r="M42" s="73">
        <f t="shared" ref="M42" si="44">IF(L42=0,0,K42/L42)</f>
        <v>0</v>
      </c>
      <c r="N42" s="71">
        <f>SUM(N17:N41)</f>
        <v>0</v>
      </c>
      <c r="O42" s="72">
        <f>SUM(O17:O41)</f>
        <v>0</v>
      </c>
      <c r="P42" s="73">
        <f t="shared" ref="P42" si="45">IF(O42=0,0,N42/O42)</f>
        <v>0</v>
      </c>
      <c r="Q42" s="71">
        <f>SUM(Q17:Q41)</f>
        <v>0</v>
      </c>
      <c r="R42" s="72">
        <f>SUM(R17:R41)</f>
        <v>0</v>
      </c>
      <c r="S42" s="73">
        <f t="shared" ref="S42" si="46">IF(R42=0,0,Q42/R42)</f>
        <v>0</v>
      </c>
      <c r="T42" s="71">
        <f>SUM(T17:T41)</f>
        <v>0</v>
      </c>
      <c r="U42" s="72">
        <f>SUM(U17:U41)</f>
        <v>0</v>
      </c>
      <c r="V42" s="73">
        <f t="shared" ref="V42" si="47">IF(U42=0,0,T42/U42)</f>
        <v>0</v>
      </c>
      <c r="W42" s="71">
        <f>SUM(W17:W41)</f>
        <v>0</v>
      </c>
      <c r="X42" s="72">
        <f>SUM(X17:X41)</f>
        <v>0</v>
      </c>
      <c r="Y42" s="73">
        <f t="shared" ref="Y42" si="48">IF(X42=0,0,W42/X42)</f>
        <v>0</v>
      </c>
      <c r="Z42" s="71">
        <f>SUM(Z17:Z41)</f>
        <v>0</v>
      </c>
      <c r="AA42" s="72">
        <f>SUM(AA17:AA41)</f>
        <v>0</v>
      </c>
      <c r="AB42" s="73">
        <f t="shared" ref="AB42" si="49">IF(AA42=0,0,Z42/AA42)</f>
        <v>0</v>
      </c>
      <c r="AC42" s="71">
        <f>SUM(AC17:AC41)</f>
        <v>0</v>
      </c>
      <c r="AD42" s="72">
        <f>SUM(AD17:AD41)</f>
        <v>0</v>
      </c>
      <c r="AE42" s="73">
        <f t="shared" ref="AE42" si="50">IF(AD42=0,0,AC42/AD42)</f>
        <v>0</v>
      </c>
      <c r="AF42" s="71">
        <f>SUM(AF17:AF41)</f>
        <v>0</v>
      </c>
      <c r="AG42" s="72">
        <f>SUM(AG17:AG41)</f>
        <v>0</v>
      </c>
      <c r="AH42" s="73">
        <f t="shared" ref="AH42" si="51">IF(AG42=0,0,AF42/AG42)</f>
        <v>0</v>
      </c>
      <c r="AI42" s="71">
        <f>SUM(AI17:AI41)</f>
        <v>0</v>
      </c>
      <c r="AJ42" s="72">
        <f>SUM(AJ17:AJ41)</f>
        <v>0</v>
      </c>
      <c r="AK42" s="73">
        <f t="shared" ref="AK42" si="52">IF(AJ42=0,0,AI42/AJ42)</f>
        <v>0</v>
      </c>
      <c r="AL42" s="71">
        <f>SUM(AL17:AL41)</f>
        <v>0</v>
      </c>
      <c r="AM42" s="72">
        <f>SUM(AM17:AM41)</f>
        <v>0</v>
      </c>
      <c r="AN42" s="73">
        <f t="shared" ref="AN42" si="53">IF(AM42=0,0,AL42/AM42)</f>
        <v>0</v>
      </c>
    </row>
  </sheetData>
  <sheetProtection sheet="1" objects="1" scenarios="1"/>
  <conditionalFormatting sqref="C3:C4">
    <cfRule type="expression" dxfId="462" priority="76">
      <formula>C3="Data Not Entered On Set-Up Worksheet"</formula>
    </cfRule>
  </conditionalFormatting>
  <conditionalFormatting sqref="C9">
    <cfRule type="expression" dxfId="461" priority="75">
      <formula>C9="Data Not Entered On Set-Up Worksheet"</formula>
    </cfRule>
  </conditionalFormatting>
  <conditionalFormatting sqref="C12">
    <cfRule type="expression" dxfId="460" priority="74">
      <formula>C12="Data Not Entered On Set-Up Worksheet"</formula>
    </cfRule>
  </conditionalFormatting>
  <conditionalFormatting sqref="B17:C39 B41:C41">
    <cfRule type="expression" dxfId="459" priority="73">
      <formula>AND($A17&lt;&gt;"",B17="")</formula>
    </cfRule>
  </conditionalFormatting>
  <conditionalFormatting sqref="F3">
    <cfRule type="expression" dxfId="458" priority="72">
      <formula>F3="Data Not Entered On Set-Up Worksheet"</formula>
    </cfRule>
  </conditionalFormatting>
  <conditionalFormatting sqref="F12">
    <cfRule type="expression" dxfId="457" priority="71">
      <formula>F12="Data Not Entered On Set-Up Worksheet"</formula>
    </cfRule>
  </conditionalFormatting>
  <conditionalFormatting sqref="I3">
    <cfRule type="expression" dxfId="456" priority="70">
      <formula>I3="Data Not Entered On Set-Up Worksheet"</formula>
    </cfRule>
  </conditionalFormatting>
  <conditionalFormatting sqref="I9">
    <cfRule type="expression" dxfId="455" priority="69">
      <formula>I9="Data Not Entered On Set-Up Worksheet"</formula>
    </cfRule>
  </conditionalFormatting>
  <conditionalFormatting sqref="I11:I12">
    <cfRule type="expression" dxfId="454" priority="68">
      <formula>I11="Data Not Entered On Set-Up Worksheet"</formula>
    </cfRule>
  </conditionalFormatting>
  <conditionalFormatting sqref="L3">
    <cfRule type="expression" dxfId="453" priority="67">
      <formula>L3="Data Not Entered On Set-Up Worksheet"</formula>
    </cfRule>
  </conditionalFormatting>
  <conditionalFormatting sqref="L9">
    <cfRule type="expression" dxfId="452" priority="66">
      <formula>L9="Data Not Entered On Set-Up Worksheet"</formula>
    </cfRule>
  </conditionalFormatting>
  <conditionalFormatting sqref="L11:L12">
    <cfRule type="expression" dxfId="451" priority="65">
      <formula>L11="Data Not Entered On Set-Up Worksheet"</formula>
    </cfRule>
  </conditionalFormatting>
  <conditionalFormatting sqref="O3">
    <cfRule type="expression" dxfId="450" priority="64">
      <formula>O3="Data Not Entered On Set-Up Worksheet"</formula>
    </cfRule>
  </conditionalFormatting>
  <conditionalFormatting sqref="O9">
    <cfRule type="expression" dxfId="449" priority="63">
      <formula>O9="Data Not Entered On Set-Up Worksheet"</formula>
    </cfRule>
  </conditionalFormatting>
  <conditionalFormatting sqref="O11:O12">
    <cfRule type="expression" dxfId="448" priority="62">
      <formula>O11="Data Not Entered On Set-Up Worksheet"</formula>
    </cfRule>
  </conditionalFormatting>
  <conditionalFormatting sqref="R3">
    <cfRule type="expression" dxfId="447" priority="61">
      <formula>R3="Data Not Entered On Set-Up Worksheet"</formula>
    </cfRule>
  </conditionalFormatting>
  <conditionalFormatting sqref="R9">
    <cfRule type="expression" dxfId="446" priority="60">
      <formula>R9="Data Not Entered On Set-Up Worksheet"</formula>
    </cfRule>
  </conditionalFormatting>
  <conditionalFormatting sqref="R11:R12">
    <cfRule type="expression" dxfId="445" priority="59">
      <formula>R11="Data Not Entered On Set-Up Worksheet"</formula>
    </cfRule>
  </conditionalFormatting>
  <conditionalFormatting sqref="U3">
    <cfRule type="expression" dxfId="444" priority="58">
      <formula>U3="Data Not Entered On Set-Up Worksheet"</formula>
    </cfRule>
  </conditionalFormatting>
  <conditionalFormatting sqref="U9">
    <cfRule type="expression" dxfId="443" priority="57">
      <formula>U9="Data Not Entered On Set-Up Worksheet"</formula>
    </cfRule>
  </conditionalFormatting>
  <conditionalFormatting sqref="U11:U12">
    <cfRule type="expression" dxfId="442" priority="56">
      <formula>U11="Data Not Entered On Set-Up Worksheet"</formula>
    </cfRule>
  </conditionalFormatting>
  <conditionalFormatting sqref="AM3">
    <cfRule type="expression" dxfId="441" priority="55">
      <formula>AM3="Data Not Entered On Set-Up Worksheet"</formula>
    </cfRule>
  </conditionalFormatting>
  <conditionalFormatting sqref="AM9">
    <cfRule type="expression" dxfId="440" priority="54">
      <formula>AM9="Data Not Entered On Set-Up Worksheet"</formula>
    </cfRule>
  </conditionalFormatting>
  <conditionalFormatting sqref="AM11:AM12">
    <cfRule type="expression" dxfId="439" priority="53">
      <formula>AM11="Data Not Entered On Set-Up Worksheet"</formula>
    </cfRule>
  </conditionalFormatting>
  <conditionalFormatting sqref="E17:F39 E41:F41">
    <cfRule type="expression" dxfId="438" priority="52">
      <formula>AND($A17&lt;&gt;"",E17="")</formula>
    </cfRule>
  </conditionalFormatting>
  <conditionalFormatting sqref="H17:I39 H41:I41">
    <cfRule type="expression" dxfId="437" priority="51">
      <formula>AND($A17&lt;&gt;"",H17="")</formula>
    </cfRule>
  </conditionalFormatting>
  <conditionalFormatting sqref="N17:O39 N41:O41">
    <cfRule type="expression" dxfId="436" priority="50">
      <formula>AND($A17&lt;&gt;"",N17="")</formula>
    </cfRule>
  </conditionalFormatting>
  <conditionalFormatting sqref="Q17:R39 Q41:R41">
    <cfRule type="expression" dxfId="435" priority="49">
      <formula>AND($A17&lt;&gt;"",Q17="")</formula>
    </cfRule>
  </conditionalFormatting>
  <conditionalFormatting sqref="T17:U39 T41:U41">
    <cfRule type="expression" dxfId="434" priority="48">
      <formula>AND($A17&lt;&gt;"",T17="")</formula>
    </cfRule>
  </conditionalFormatting>
  <conditionalFormatting sqref="C11">
    <cfRule type="expression" dxfId="433" priority="47">
      <formula>C11="Data Not Entered On Set-Up Worksheet"</formula>
    </cfRule>
  </conditionalFormatting>
  <conditionalFormatting sqref="X3">
    <cfRule type="expression" dxfId="432" priority="46">
      <formula>X3="Data Not Entered On Set-Up Worksheet"</formula>
    </cfRule>
  </conditionalFormatting>
  <conditionalFormatting sqref="X9">
    <cfRule type="expression" dxfId="431" priority="45">
      <formula>X9="Data Not Entered On Set-Up Worksheet"</formula>
    </cfRule>
  </conditionalFormatting>
  <conditionalFormatting sqref="X11:X12">
    <cfRule type="expression" dxfId="430" priority="44">
      <formula>X11="Data Not Entered On Set-Up Worksheet"</formula>
    </cfRule>
  </conditionalFormatting>
  <conditionalFormatting sqref="AA3">
    <cfRule type="expression" dxfId="429" priority="43">
      <formula>AA3="Data Not Entered On Set-Up Worksheet"</formula>
    </cfRule>
  </conditionalFormatting>
  <conditionalFormatting sqref="AA9">
    <cfRule type="expression" dxfId="428" priority="42">
      <formula>AA9="Data Not Entered On Set-Up Worksheet"</formula>
    </cfRule>
  </conditionalFormatting>
  <conditionalFormatting sqref="AA11:AA12">
    <cfRule type="expression" dxfId="427" priority="41">
      <formula>AA11="Data Not Entered On Set-Up Worksheet"</formula>
    </cfRule>
  </conditionalFormatting>
  <conditionalFormatting sqref="AD3">
    <cfRule type="expression" dxfId="426" priority="40">
      <formula>AD3="Data Not Entered On Set-Up Worksheet"</formula>
    </cfRule>
  </conditionalFormatting>
  <conditionalFormatting sqref="AD9">
    <cfRule type="expression" dxfId="425" priority="39">
      <formula>AD9="Data Not Entered On Set-Up Worksheet"</formula>
    </cfRule>
  </conditionalFormatting>
  <conditionalFormatting sqref="AD11:AD12">
    <cfRule type="expression" dxfId="424" priority="38">
      <formula>AD11="Data Not Entered On Set-Up Worksheet"</formula>
    </cfRule>
  </conditionalFormatting>
  <conditionalFormatting sqref="AG3">
    <cfRule type="expression" dxfId="423" priority="37">
      <formula>AG3="Data Not Entered On Set-Up Worksheet"</formula>
    </cfRule>
  </conditionalFormatting>
  <conditionalFormatting sqref="AG9">
    <cfRule type="expression" dxfId="422" priority="36">
      <formula>AG9="Data Not Entered On Set-Up Worksheet"</formula>
    </cfRule>
  </conditionalFormatting>
  <conditionalFormatting sqref="AG11:AG12">
    <cfRule type="expression" dxfId="421" priority="35">
      <formula>AG11="Data Not Entered On Set-Up Worksheet"</formula>
    </cfRule>
  </conditionalFormatting>
  <conditionalFormatting sqref="Z17:AA39 Z41:AA41">
    <cfRule type="expression" dxfId="420" priority="34">
      <formula>AND($A17&lt;&gt;"",Z17="")</formula>
    </cfRule>
  </conditionalFormatting>
  <conditionalFormatting sqref="AC17:AD39 AC41:AD41">
    <cfRule type="expression" dxfId="419" priority="33">
      <formula>AND($A17&lt;&gt;"",AC17="")</formula>
    </cfRule>
  </conditionalFormatting>
  <conditionalFormatting sqref="AF17:AG39 AF41:AG41">
    <cfRule type="expression" dxfId="418" priority="32">
      <formula>AND($A17&lt;&gt;"",AF17="")</formula>
    </cfRule>
  </conditionalFormatting>
  <conditionalFormatting sqref="AJ3">
    <cfRule type="expression" dxfId="417" priority="31">
      <formula>AJ3="Data Not Entered On Set-Up Worksheet"</formula>
    </cfRule>
  </conditionalFormatting>
  <conditionalFormatting sqref="AJ9">
    <cfRule type="expression" dxfId="416" priority="30">
      <formula>AJ9="Data Not Entered On Set-Up Worksheet"</formula>
    </cfRule>
  </conditionalFormatting>
  <conditionalFormatting sqref="AJ11:AJ12">
    <cfRule type="expression" dxfId="415" priority="29">
      <formula>AJ11="Data Not Entered On Set-Up Worksheet"</formula>
    </cfRule>
  </conditionalFormatting>
  <conditionalFormatting sqref="F10:F11">
    <cfRule type="expression" dxfId="414" priority="19">
      <formula>F10="Data Not Entered On Set-Up Worksheet"</formula>
    </cfRule>
  </conditionalFormatting>
  <conditionalFormatting sqref="E39:F39">
    <cfRule type="expression" dxfId="413" priority="17">
      <formula>AND($A39&lt;&gt;"",E39="")</formula>
    </cfRule>
  </conditionalFormatting>
  <conditionalFormatting sqref="H39:I39">
    <cfRule type="expression" dxfId="412" priority="16">
      <formula>AND($A39&lt;&gt;"",H39="")</formula>
    </cfRule>
  </conditionalFormatting>
  <conditionalFormatting sqref="N39:O39">
    <cfRule type="expression" dxfId="411" priority="15">
      <formula>AND($A39&lt;&gt;"",N39="")</formula>
    </cfRule>
  </conditionalFormatting>
  <conditionalFormatting sqref="Q39:R39">
    <cfRule type="expression" dxfId="410" priority="14">
      <formula>AND($A39&lt;&gt;"",Q39="")</formula>
    </cfRule>
  </conditionalFormatting>
  <conditionalFormatting sqref="T39:U39">
    <cfRule type="expression" dxfId="409" priority="13">
      <formula>AND($A39&lt;&gt;"",T39="")</formula>
    </cfRule>
  </conditionalFormatting>
  <conditionalFormatting sqref="Z39:AA39">
    <cfRule type="expression" dxfId="408" priority="12">
      <formula>AND($A39&lt;&gt;"",Z39="")</formula>
    </cfRule>
  </conditionalFormatting>
  <conditionalFormatting sqref="AC39:AD39">
    <cfRule type="expression" dxfId="407" priority="11">
      <formula>AND($A39&lt;&gt;"",AC39="")</formula>
    </cfRule>
  </conditionalFormatting>
  <conditionalFormatting sqref="AF39:AG39">
    <cfRule type="expression" dxfId="406" priority="10">
      <formula>AND($A39&lt;&gt;"",AF39="")</formula>
    </cfRule>
  </conditionalFormatting>
  <conditionalFormatting sqref="B40:C40">
    <cfRule type="expression" dxfId="405" priority="9">
      <formula>AND($A40&lt;&gt;"",B40="")</formula>
    </cfRule>
  </conditionalFormatting>
  <conditionalFormatting sqref="E40:F40">
    <cfRule type="expression" dxfId="404" priority="8">
      <formula>AND($A40&lt;&gt;"",E40="")</formula>
    </cfRule>
  </conditionalFormatting>
  <conditionalFormatting sqref="H40:I40">
    <cfRule type="expression" dxfId="403" priority="7">
      <formula>AND($A40&lt;&gt;"",H40="")</formula>
    </cfRule>
  </conditionalFormatting>
  <conditionalFormatting sqref="N40:O40">
    <cfRule type="expression" dxfId="402" priority="6">
      <formula>AND($A40&lt;&gt;"",N40="")</formula>
    </cfRule>
  </conditionalFormatting>
  <conditionalFormatting sqref="Q40:R40">
    <cfRule type="expression" dxfId="401" priority="5">
      <formula>AND($A40&lt;&gt;"",Q40="")</formula>
    </cfRule>
  </conditionalFormatting>
  <conditionalFormatting sqref="T40:U40">
    <cfRule type="expression" dxfId="400" priority="4">
      <formula>AND($A40&lt;&gt;"",T40="")</formula>
    </cfRule>
  </conditionalFormatting>
  <conditionalFormatting sqref="Z40:AA40">
    <cfRule type="expression" dxfId="399" priority="3">
      <formula>AND($A40&lt;&gt;"",Z40="")</formula>
    </cfRule>
  </conditionalFormatting>
  <conditionalFormatting sqref="AC40:AD40">
    <cfRule type="expression" dxfId="398" priority="2">
      <formula>AND($A40&lt;&gt;"",AC40="")</formula>
    </cfRule>
  </conditionalFormatting>
  <conditionalFormatting sqref="AF40:AG40">
    <cfRule type="expression" dxfId="397" priority="1">
      <formula>AND($A40&lt;&gt;"",AF40="")</formula>
    </cfRule>
  </conditionalFormatting>
  <pageMargins left="0.5" right="0.5" top="0.5" bottom="0.5" header="0.3" footer="0.3"/>
  <pageSetup scale="55" orientation="landscape" r:id="rId1"/>
  <headerFooter>
    <oddFooter>&amp;LNC DHHS LME-MCO Performance Measures Report Part II DMH/DD/SAS Measures&amp;C&amp;P&amp;R&amp;F</oddFooter>
  </headerFooter>
  <colBreaks count="3" manualBreakCount="3">
    <brk id="13" max="1048575" man="1"/>
    <brk id="25" max="1048575" man="1"/>
    <brk id="37" max="1048575" man="1"/>
  </col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I16"/>
  <sheetViews>
    <sheetView showGridLines="0" workbookViewId="0">
      <selection activeCell="E7" sqref="E7"/>
    </sheetView>
  </sheetViews>
  <sheetFormatPr defaultRowHeight="12.75" x14ac:dyDescent="0.2"/>
  <cols>
    <col min="1" max="1" width="22.42578125" style="22" customWidth="1"/>
    <col min="2" max="2" width="9.140625" style="22"/>
    <col min="3" max="3" width="20" style="22" customWidth="1"/>
    <col min="4" max="4" width="15.7109375" style="22" customWidth="1"/>
    <col min="5" max="5" width="21" style="22" bestFit="1" customWidth="1"/>
    <col min="6" max="6" width="15.7109375" style="22" customWidth="1"/>
    <col min="7" max="16384" width="9.140625" style="22"/>
  </cols>
  <sheetData>
    <row r="1" spans="1:9" ht="15" customHeight="1" x14ac:dyDescent="0.2">
      <c r="A1" s="36" t="s">
        <v>28</v>
      </c>
    </row>
    <row r="2" spans="1:9" ht="15" customHeight="1" x14ac:dyDescent="0.2">
      <c r="A2" s="36" t="s">
        <v>196</v>
      </c>
    </row>
    <row r="3" spans="1:9" ht="15" customHeight="1" x14ac:dyDescent="0.2">
      <c r="A3" s="30" t="s">
        <v>194</v>
      </c>
      <c r="C3" s="147">
        <f>IF('Set-Up Worksheet'!F3="","Data Not Entered On Set-Up Worksheet",'Set-Up Worksheet'!F3)</f>
        <v>2018</v>
      </c>
    </row>
    <row r="4" spans="1:9" ht="15" customHeight="1" x14ac:dyDescent="0.2">
      <c r="A4" s="30" t="s">
        <v>195</v>
      </c>
      <c r="C4" s="147" t="str">
        <f>IF('Set-Up Worksheet'!F4="","Data Not Entered On Set-Up Worksheet",'Set-Up Worksheet'!F4)</f>
        <v>1st Quarter</v>
      </c>
    </row>
    <row r="5" spans="1:9" ht="15" customHeight="1" x14ac:dyDescent="0.2">
      <c r="C5" s="32"/>
    </row>
    <row r="6" spans="1:9" ht="15" customHeight="1" x14ac:dyDescent="0.2">
      <c r="A6" s="30" t="s">
        <v>337</v>
      </c>
      <c r="C6" s="32"/>
    </row>
    <row r="7" spans="1:9" ht="15" customHeight="1" x14ac:dyDescent="0.2">
      <c r="A7" s="30" t="s">
        <v>382</v>
      </c>
      <c r="C7" s="32"/>
    </row>
    <row r="8" spans="1:9" ht="15" customHeight="1" x14ac:dyDescent="0.2">
      <c r="A8" s="30"/>
      <c r="C8" s="32"/>
    </row>
    <row r="9" spans="1:9" ht="15" customHeight="1" x14ac:dyDescent="0.2">
      <c r="A9" s="30" t="s">
        <v>29</v>
      </c>
      <c r="C9" s="39" t="str">
        <f>IF('Set-Up Worksheet'!E7="","Data Not Entered On Set-Up Worksheet",'Set-Up Worksheet'!E7)</f>
        <v>Data Not Entered On Set-Up Worksheet</v>
      </c>
    </row>
    <row r="10" spans="1:9" ht="15" customHeight="1" x14ac:dyDescent="0.2">
      <c r="A10" s="30" t="s">
        <v>9</v>
      </c>
      <c r="C10" s="32" t="s">
        <v>10</v>
      </c>
    </row>
    <row r="11" spans="1:9" ht="15" customHeight="1" x14ac:dyDescent="0.2">
      <c r="A11" s="30" t="s">
        <v>197</v>
      </c>
      <c r="C11" s="54" t="s">
        <v>385</v>
      </c>
      <c r="D11" s="40" t="str">
        <f>IF(C4="Data Not Entered On Set-Up Worksheet","Data Not Entered On Set-Up Worksheet",IF(C4="1st Quarter",'Report Schedule'!D37,IF(C4="2nd Quarter",'Report Schedule'!E37,IF(C4="3rd Quarter",'Report Schedule'!F37,IF(C4="4th Quarter",'Report Schedule'!G37,"")))))</f>
        <v>Apr - Jun 2017</v>
      </c>
      <c r="E11" s="54" t="s">
        <v>386</v>
      </c>
      <c r="F11" s="22" t="str">
        <f>IF(C4="Data Not Entered On Set-Up Worksheet","Data Not Entered On Set-Up Worksheet",IF(C4="1st Quarter",'Report Schedule'!D40,IF(C4="2nd Quarter",'Report Schedule'!E40,IF(C4="3rd Quarter",'Report Schedule'!F40,IF(C4="4th Quarter",'Report Schedule'!G40,"")))))</f>
        <v>Jan - Mar 2017</v>
      </c>
    </row>
    <row r="14" spans="1:9" ht="112.5" customHeight="1" x14ac:dyDescent="0.2">
      <c r="A14" s="560" t="s">
        <v>383</v>
      </c>
      <c r="B14" s="560"/>
      <c r="C14" s="560"/>
      <c r="D14" s="560"/>
      <c r="E14" s="560"/>
      <c r="F14" s="560"/>
      <c r="G14" s="560"/>
      <c r="H14" s="560"/>
      <c r="I14" s="47"/>
    </row>
    <row r="15" spans="1:9" x14ac:dyDescent="0.2">
      <c r="A15" s="47"/>
      <c r="B15" s="47"/>
      <c r="C15" s="47"/>
      <c r="D15" s="47"/>
      <c r="E15" s="47"/>
      <c r="F15" s="47"/>
      <c r="G15" s="47"/>
      <c r="H15" s="47"/>
      <c r="I15" s="47"/>
    </row>
    <row r="16" spans="1:9" x14ac:dyDescent="0.2">
      <c r="A16" s="47"/>
      <c r="B16" s="47"/>
      <c r="C16" s="47"/>
      <c r="D16" s="47"/>
      <c r="E16" s="47"/>
      <c r="F16" s="47"/>
      <c r="G16" s="47"/>
      <c r="H16" s="47"/>
      <c r="I16" s="47"/>
    </row>
  </sheetData>
  <sheetProtection sheet="1" objects="1" scenarios="1"/>
  <mergeCells count="1">
    <mergeCell ref="A14:H14"/>
  </mergeCells>
  <conditionalFormatting sqref="C3:C4">
    <cfRule type="expression" dxfId="396" priority="3">
      <formula>C3="Data Not Entered On Set-Up Worksheet"</formula>
    </cfRule>
  </conditionalFormatting>
  <conditionalFormatting sqref="C9">
    <cfRule type="expression" dxfId="395" priority="2">
      <formula>C9="Data Not Entered On Set-Up Worksheet"</formula>
    </cfRule>
  </conditionalFormatting>
  <conditionalFormatting sqref="D11">
    <cfRule type="expression" dxfId="394" priority="1">
      <formula>D11="Data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2"/>
  <sheetViews>
    <sheetView showGridLines="0" workbookViewId="0">
      <pane ySplit="15" topLeftCell="A16" activePane="bottomLeft" state="frozen"/>
      <selection activeCell="E7" sqref="E7:I7"/>
      <selection pane="bottomLeft" activeCell="B16" sqref="B16"/>
    </sheetView>
  </sheetViews>
  <sheetFormatPr defaultRowHeight="12.75" x14ac:dyDescent="0.2"/>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x14ac:dyDescent="0.2">
      <c r="A1" s="36" t="s">
        <v>28</v>
      </c>
      <c r="E1" s="30"/>
      <c r="H1" s="30"/>
    </row>
    <row r="2" spans="1:22" ht="15" customHeight="1" x14ac:dyDescent="0.2">
      <c r="A2" s="36" t="s">
        <v>196</v>
      </c>
      <c r="E2" s="321"/>
      <c r="H2" s="321"/>
    </row>
    <row r="3" spans="1:22" ht="15" customHeight="1" x14ac:dyDescent="0.2">
      <c r="A3" s="30" t="s">
        <v>194</v>
      </c>
      <c r="C3" s="147">
        <f>IF('Set-Up Worksheet'!F3="","Data Not Entered On Set-Up Worksheet",'Set-Up Worksheet'!F3)</f>
        <v>2018</v>
      </c>
      <c r="D3" s="147"/>
      <c r="G3" s="147"/>
      <c r="J3" s="147"/>
    </row>
    <row r="4" spans="1:22" ht="15" customHeight="1" x14ac:dyDescent="0.2">
      <c r="A4" s="30" t="s">
        <v>195</v>
      </c>
      <c r="C4" s="147" t="str">
        <f>IF('Set-Up Worksheet'!F4="","Data Not Entered On Set-Up Worksheet",'Set-Up Worksheet'!F4)</f>
        <v>1st Quarter</v>
      </c>
      <c r="D4" s="147"/>
      <c r="G4" s="147"/>
      <c r="J4" s="147"/>
    </row>
    <row r="5" spans="1:22" ht="15" customHeight="1" x14ac:dyDescent="0.2">
      <c r="A5" s="30"/>
      <c r="C5" s="32"/>
      <c r="D5" s="32"/>
      <c r="G5" s="32"/>
      <c r="J5" s="32"/>
    </row>
    <row r="6" spans="1:22" ht="15" customHeight="1" x14ac:dyDescent="0.2">
      <c r="A6" s="30" t="s">
        <v>337</v>
      </c>
      <c r="C6" s="32"/>
      <c r="D6" s="32"/>
      <c r="E6" s="30"/>
      <c r="G6" s="32"/>
      <c r="H6" s="30"/>
      <c r="J6" s="32"/>
    </row>
    <row r="7" spans="1:22" ht="15" customHeight="1" x14ac:dyDescent="0.2">
      <c r="A7" s="31" t="s">
        <v>387</v>
      </c>
      <c r="C7" s="32"/>
      <c r="D7" s="32"/>
      <c r="E7" s="30"/>
      <c r="G7" s="32"/>
      <c r="H7" s="30"/>
      <c r="J7" s="32"/>
    </row>
    <row r="8" spans="1:22" ht="15" customHeight="1" x14ac:dyDescent="0.2">
      <c r="A8" s="30"/>
      <c r="C8" s="32"/>
      <c r="D8" s="32"/>
      <c r="G8" s="32"/>
      <c r="J8" s="32"/>
      <c r="N8" s="54"/>
      <c r="O8" s="54"/>
      <c r="P8" s="55"/>
      <c r="Q8" s="54"/>
      <c r="R8" s="54"/>
      <c r="S8" s="54"/>
      <c r="T8" s="54"/>
      <c r="U8" s="30"/>
      <c r="V8" s="35"/>
    </row>
    <row r="9" spans="1:22" ht="15" customHeight="1" x14ac:dyDescent="0.2">
      <c r="A9" s="30" t="s">
        <v>29</v>
      </c>
      <c r="C9" s="39" t="str">
        <f>IF('Set-Up Worksheet'!E7="","Data Not Entered On Set-Up Worksheet",'Set-Up Worksheet'!E7)</f>
        <v>Data Not Entered On Set-Up Worksheet</v>
      </c>
      <c r="D9" s="39"/>
      <c r="F9" s="79" t="s">
        <v>444</v>
      </c>
      <c r="G9" s="39"/>
      <c r="J9" s="39"/>
    </row>
    <row r="10" spans="1:22" ht="15" customHeight="1" x14ac:dyDescent="0.2">
      <c r="A10" s="30" t="s">
        <v>9</v>
      </c>
      <c r="C10" s="32" t="s">
        <v>10</v>
      </c>
      <c r="D10" s="32"/>
      <c r="F10" s="79"/>
      <c r="G10" s="32"/>
      <c r="J10" s="32"/>
    </row>
    <row r="11" spans="1:22" ht="15" customHeight="1" x14ac:dyDescent="0.2">
      <c r="A11" s="30" t="s">
        <v>197</v>
      </c>
      <c r="C11" s="40" t="str">
        <f>IF(C4="Data Not Entered On Set-Up Worksheet","Data Not Entered On Set-Up Worksheet",IF(C4="1st Quarter",'Report Schedule'!D43,IF(C4="2nd Quarter",'Report Schedule'!E43,IF(C4="3rd Quarter",'Report Schedule'!F43,IF(C4="4th Quarter",'Report Schedule'!G43,"")))))</f>
        <v>Apr - Jun 2017</v>
      </c>
      <c r="D11" s="40"/>
      <c r="G11" s="40"/>
      <c r="J11" s="40"/>
    </row>
    <row r="12" spans="1:22" ht="15" customHeight="1" thickBot="1" x14ac:dyDescent="0.25">
      <c r="A12" s="30"/>
      <c r="C12" s="40"/>
      <c r="D12" s="40"/>
      <c r="G12" s="40"/>
      <c r="J12" s="40"/>
    </row>
    <row r="13" spans="1:22" ht="18" customHeight="1" thickBot="1" x14ac:dyDescent="0.25">
      <c r="A13" s="226" t="s">
        <v>327</v>
      </c>
      <c r="B13" s="384" t="s">
        <v>39</v>
      </c>
      <c r="C13" s="235"/>
      <c r="D13" s="236"/>
      <c r="E13" s="383" t="s">
        <v>241</v>
      </c>
      <c r="F13" s="231"/>
      <c r="G13" s="232"/>
      <c r="H13" s="384" t="s">
        <v>243</v>
      </c>
      <c r="I13" s="235"/>
      <c r="J13" s="236"/>
    </row>
    <row r="14" spans="1:22" s="35" customFormat="1" ht="13.5" thickBot="1" x14ac:dyDescent="0.25">
      <c r="A14" s="30"/>
      <c r="B14" s="45" t="s">
        <v>3</v>
      </c>
      <c r="C14" s="57" t="s">
        <v>4</v>
      </c>
      <c r="D14" s="57" t="s">
        <v>8</v>
      </c>
      <c r="E14" s="45" t="s">
        <v>3</v>
      </c>
      <c r="F14" s="57" t="s">
        <v>4</v>
      </c>
      <c r="G14" s="57" t="s">
        <v>8</v>
      </c>
      <c r="H14" s="45" t="s">
        <v>3</v>
      </c>
      <c r="I14" s="57" t="s">
        <v>4</v>
      </c>
      <c r="J14" s="57" t="s">
        <v>8</v>
      </c>
      <c r="K14" s="33"/>
      <c r="L14" s="30"/>
      <c r="M14" s="30"/>
      <c r="N14" s="30"/>
      <c r="O14" s="30"/>
      <c r="P14" s="30"/>
    </row>
    <row r="15" spans="1:22" ht="38.25" x14ac:dyDescent="0.2">
      <c r="A15" s="75" t="s">
        <v>43</v>
      </c>
      <c r="B15" s="242" t="s">
        <v>31</v>
      </c>
      <c r="C15" s="240" t="s">
        <v>30</v>
      </c>
      <c r="D15" s="241" t="s">
        <v>32</v>
      </c>
      <c r="E15" s="333" t="s">
        <v>31</v>
      </c>
      <c r="F15" s="67" t="s">
        <v>30</v>
      </c>
      <c r="G15" s="68" t="s">
        <v>32</v>
      </c>
      <c r="H15" s="335" t="s">
        <v>31</v>
      </c>
      <c r="I15" s="240" t="s">
        <v>30</v>
      </c>
      <c r="J15" s="241" t="s">
        <v>32</v>
      </c>
    </row>
    <row r="16" spans="1:22" ht="18" customHeight="1" x14ac:dyDescent="0.2">
      <c r="A16" s="76" t="str">
        <f>IF($C$9="Data Not Entered On Set-Up Worksheet","",IF(OR(VLOOKUP($C$9,County_Lookup,2,FALSE)="",VLOOKUP($C$9,County_Lookup,2,FALSE)=0),"",VLOOKUP($C$9,County_Lookup,2,FALSE)))</f>
        <v/>
      </c>
      <c r="B16" s="222"/>
      <c r="C16" s="61"/>
      <c r="D16" s="87" t="str">
        <f t="shared" ref="D16:D42" si="0">IF($A16="","",IF($C16=0,0,B16/$C16))</f>
        <v/>
      </c>
      <c r="E16" s="69"/>
      <c r="F16" s="61"/>
      <c r="G16" s="87" t="str">
        <f t="shared" ref="G16:G42" si="1">IF($A16="","",IF($F16=0,0,E16/$F16))</f>
        <v/>
      </c>
      <c r="H16" s="69"/>
      <c r="I16" s="61"/>
      <c r="J16" s="87" t="str">
        <f t="shared" ref="J16:J42" si="2">IF($A16="","",IF($I16=0,0,H16/$I16))</f>
        <v/>
      </c>
    </row>
    <row r="17" spans="1:10" ht="18" customHeight="1" x14ac:dyDescent="0.2">
      <c r="A17" s="77" t="str">
        <f>IF($C$9="Data Not Entered On Set-Up Worksheet","",IF(OR(VLOOKUP($C$9,County_Lookup,3,FALSE)="",VLOOKUP($C$9,County_Lookup,3,FALSE)=0),"",VLOOKUP($C$9,County_Lookup,3,FALSE)))</f>
        <v/>
      </c>
      <c r="B17" s="222"/>
      <c r="C17" s="61"/>
      <c r="D17" s="87" t="str">
        <f t="shared" si="0"/>
        <v/>
      </c>
      <c r="E17" s="69"/>
      <c r="F17" s="61"/>
      <c r="G17" s="87" t="str">
        <f t="shared" si="1"/>
        <v/>
      </c>
      <c r="H17" s="69"/>
      <c r="I17" s="61"/>
      <c r="J17" s="87" t="str">
        <f t="shared" si="2"/>
        <v/>
      </c>
    </row>
    <row r="18" spans="1:10" ht="18" customHeight="1" x14ac:dyDescent="0.2">
      <c r="A18" s="77" t="str">
        <f>IF($C$9="Data Not Entered On Set-Up Worksheet","",IF(OR(VLOOKUP($C$9,County_Lookup,4,FALSE)="",VLOOKUP($C$9,County_Lookup,4,FALSE)=0),"",VLOOKUP($C$9,County_Lookup,4,FALSE)))</f>
        <v/>
      </c>
      <c r="B18" s="222"/>
      <c r="C18" s="61"/>
      <c r="D18" s="87" t="str">
        <f t="shared" si="0"/>
        <v/>
      </c>
      <c r="E18" s="69"/>
      <c r="F18" s="61"/>
      <c r="G18" s="87" t="str">
        <f t="shared" si="1"/>
        <v/>
      </c>
      <c r="H18" s="69"/>
      <c r="I18" s="61"/>
      <c r="J18" s="87" t="str">
        <f t="shared" si="2"/>
        <v/>
      </c>
    </row>
    <row r="19" spans="1:10" ht="18" customHeight="1" x14ac:dyDescent="0.2">
      <c r="A19" s="77" t="str">
        <f>IF($C$9="Data Not Entered On Set-Up Worksheet","",IF(OR(VLOOKUP($C$9,County_Lookup,5,FALSE)="",VLOOKUP($C$9,County_Lookup,5,FALSE)=0),"",VLOOKUP($C$9,County_Lookup,5,FALSE)))</f>
        <v/>
      </c>
      <c r="B19" s="222"/>
      <c r="C19" s="61"/>
      <c r="D19" s="87" t="str">
        <f t="shared" si="0"/>
        <v/>
      </c>
      <c r="E19" s="69"/>
      <c r="F19" s="61"/>
      <c r="G19" s="87" t="str">
        <f t="shared" si="1"/>
        <v/>
      </c>
      <c r="H19" s="69"/>
      <c r="I19" s="61"/>
      <c r="J19" s="87" t="str">
        <f t="shared" si="2"/>
        <v/>
      </c>
    </row>
    <row r="20" spans="1:10" ht="18" customHeight="1" x14ac:dyDescent="0.2">
      <c r="A20" s="77" t="str">
        <f>IF($C$9="Data Not Entered On Set-Up Worksheet","",IF(OR(VLOOKUP($C$9,County_Lookup,6,FALSE)="",VLOOKUP($C$9,County_Lookup,6,FALSE)=0),"",VLOOKUP($C$9,County_Lookup,6,FALSE)))</f>
        <v/>
      </c>
      <c r="B20" s="222"/>
      <c r="C20" s="61"/>
      <c r="D20" s="87" t="str">
        <f t="shared" si="0"/>
        <v/>
      </c>
      <c r="E20" s="69"/>
      <c r="F20" s="61"/>
      <c r="G20" s="87" t="str">
        <f t="shared" si="1"/>
        <v/>
      </c>
      <c r="H20" s="69"/>
      <c r="I20" s="61"/>
      <c r="J20" s="87" t="str">
        <f t="shared" si="2"/>
        <v/>
      </c>
    </row>
    <row r="21" spans="1:10" ht="18" customHeight="1" x14ac:dyDescent="0.2">
      <c r="A21" s="77" t="str">
        <f>IF($C$9="Data Not Entered On Set-Up Worksheet","",IF(OR(VLOOKUP($C$9,County_Lookup,7,FALSE)="",VLOOKUP($C$9,County_Lookup,7,FALSE)=0),"",VLOOKUP($C$9,County_Lookup,7,FALSE)))</f>
        <v/>
      </c>
      <c r="B21" s="222"/>
      <c r="C21" s="61"/>
      <c r="D21" s="87" t="str">
        <f t="shared" si="0"/>
        <v/>
      </c>
      <c r="E21" s="69"/>
      <c r="F21" s="61"/>
      <c r="G21" s="87" t="str">
        <f t="shared" si="1"/>
        <v/>
      </c>
      <c r="H21" s="69"/>
      <c r="I21" s="61"/>
      <c r="J21" s="87" t="str">
        <f t="shared" si="2"/>
        <v/>
      </c>
    </row>
    <row r="22" spans="1:10" ht="18" customHeight="1" x14ac:dyDescent="0.2">
      <c r="A22" s="76" t="str">
        <f>IF($C$9="Data Not Entered On Set-Up Worksheet","",IF(OR(VLOOKUP($C$9,County_Lookup,8,FALSE)="",VLOOKUP($C$9,County_Lookup,8,FALSE)=0),"",VLOOKUP($C$9,County_Lookup,8,FALSE)))</f>
        <v/>
      </c>
      <c r="B22" s="222"/>
      <c r="C22" s="61"/>
      <c r="D22" s="87" t="str">
        <f t="shared" si="0"/>
        <v/>
      </c>
      <c r="E22" s="69"/>
      <c r="F22" s="61"/>
      <c r="G22" s="87" t="str">
        <f t="shared" si="1"/>
        <v/>
      </c>
      <c r="H22" s="69"/>
      <c r="I22" s="61"/>
      <c r="J22" s="87" t="str">
        <f t="shared" si="2"/>
        <v/>
      </c>
    </row>
    <row r="23" spans="1:10" ht="18" customHeight="1" x14ac:dyDescent="0.2">
      <c r="A23" s="77" t="str">
        <f>IF($C$9="Data Not Entered On Set-Up Worksheet","",IF(OR(VLOOKUP($C$9,County_Lookup,9,FALSE)="",VLOOKUP($C$9,County_Lookup,9,FALSE)=0),"",VLOOKUP($C$9,County_Lookup,9,FALSE)))</f>
        <v/>
      </c>
      <c r="B23" s="222"/>
      <c r="C23" s="61"/>
      <c r="D23" s="87" t="str">
        <f t="shared" si="0"/>
        <v/>
      </c>
      <c r="E23" s="69"/>
      <c r="F23" s="61"/>
      <c r="G23" s="87" t="str">
        <f t="shared" si="1"/>
        <v/>
      </c>
      <c r="H23" s="69"/>
      <c r="I23" s="61"/>
      <c r="J23" s="87" t="str">
        <f t="shared" si="2"/>
        <v/>
      </c>
    </row>
    <row r="24" spans="1:10" ht="18" customHeight="1" x14ac:dyDescent="0.2">
      <c r="A24" s="77" t="str">
        <f>IF($C$9="Data Not Entered On Set-Up Worksheet","",IF(OR(VLOOKUP($C$9,County_Lookup,10,FALSE)="",VLOOKUP($C$9,County_Lookup,10,FALSE)=0),"",VLOOKUP($C$9,County_Lookup,10,FALSE)))</f>
        <v/>
      </c>
      <c r="B24" s="222"/>
      <c r="C24" s="61"/>
      <c r="D24" s="87" t="str">
        <f t="shared" si="0"/>
        <v/>
      </c>
      <c r="E24" s="69"/>
      <c r="F24" s="61"/>
      <c r="G24" s="87" t="str">
        <f t="shared" si="1"/>
        <v/>
      </c>
      <c r="H24" s="69"/>
      <c r="I24" s="61"/>
      <c r="J24" s="87" t="str">
        <f t="shared" si="2"/>
        <v/>
      </c>
    </row>
    <row r="25" spans="1:10" ht="18" customHeight="1" x14ac:dyDescent="0.2">
      <c r="A25" s="77" t="str">
        <f>IF($C$9="Data Not Entered On Set-Up Worksheet","",IF(OR(VLOOKUP($C$9,County_Lookup,11,FALSE)="",VLOOKUP($C$9,County_Lookup,11,FALSE)=0),"",VLOOKUP($C$9,County_Lookup,11,FALSE)))</f>
        <v/>
      </c>
      <c r="B25" s="222"/>
      <c r="C25" s="61"/>
      <c r="D25" s="87" t="str">
        <f t="shared" si="0"/>
        <v/>
      </c>
      <c r="E25" s="69"/>
      <c r="F25" s="61"/>
      <c r="G25" s="87" t="str">
        <f t="shared" si="1"/>
        <v/>
      </c>
      <c r="H25" s="69"/>
      <c r="I25" s="61"/>
      <c r="J25" s="87" t="str">
        <f t="shared" si="2"/>
        <v/>
      </c>
    </row>
    <row r="26" spans="1:10" ht="18" customHeight="1" x14ac:dyDescent="0.2">
      <c r="A26" s="77" t="str">
        <f>IF($C$9="Data Not Entered On Set-Up Worksheet","",IF(OR(VLOOKUP($C$9,County_Lookup,12,FALSE)="",VLOOKUP($C$9,County_Lookup,12,FALSE)=0),"",VLOOKUP($C$9,County_Lookup,12,FALSE)))</f>
        <v/>
      </c>
      <c r="B26" s="222"/>
      <c r="C26" s="61"/>
      <c r="D26" s="87" t="str">
        <f t="shared" si="0"/>
        <v/>
      </c>
      <c r="E26" s="69"/>
      <c r="F26" s="61"/>
      <c r="G26" s="87" t="str">
        <f t="shared" si="1"/>
        <v/>
      </c>
      <c r="H26" s="69"/>
      <c r="I26" s="61"/>
      <c r="J26" s="87" t="str">
        <f t="shared" si="2"/>
        <v/>
      </c>
    </row>
    <row r="27" spans="1:10" ht="18" customHeight="1" x14ac:dyDescent="0.2">
      <c r="A27" s="77" t="str">
        <f>IF($C$9="Data Not Entered On Set-Up Worksheet","",IF(OR(VLOOKUP($C$9,County_Lookup,13,FALSE)="",VLOOKUP($C$9,County_Lookup,13,FALSE)=0),"",VLOOKUP($C$9,County_Lookup,13,FALSE)))</f>
        <v/>
      </c>
      <c r="B27" s="222"/>
      <c r="C27" s="61"/>
      <c r="D27" s="87" t="str">
        <f t="shared" si="0"/>
        <v/>
      </c>
      <c r="E27" s="69"/>
      <c r="F27" s="61"/>
      <c r="G27" s="87" t="str">
        <f t="shared" si="1"/>
        <v/>
      </c>
      <c r="H27" s="69"/>
      <c r="I27" s="61"/>
      <c r="J27" s="87" t="str">
        <f t="shared" si="2"/>
        <v/>
      </c>
    </row>
    <row r="28" spans="1:10" ht="18" customHeight="1" x14ac:dyDescent="0.2">
      <c r="A28" s="77" t="str">
        <f>IF($C$9="Data Not Entered On Set-Up Worksheet","",IF(OR(VLOOKUP($C$9,County_Lookup,14,FALSE)="",VLOOKUP($C$9,County_Lookup,14,FALSE)=0),"",VLOOKUP($C$9,County_Lookup,14,FALSE)))</f>
        <v/>
      </c>
      <c r="B28" s="222"/>
      <c r="C28" s="61"/>
      <c r="D28" s="87" t="str">
        <f t="shared" si="0"/>
        <v/>
      </c>
      <c r="E28" s="69"/>
      <c r="F28" s="61"/>
      <c r="G28" s="87" t="str">
        <f t="shared" si="1"/>
        <v/>
      </c>
      <c r="H28" s="69"/>
      <c r="I28" s="61"/>
      <c r="J28" s="87" t="str">
        <f t="shared" si="2"/>
        <v/>
      </c>
    </row>
    <row r="29" spans="1:10" ht="18" customHeight="1" x14ac:dyDescent="0.2">
      <c r="A29" s="76" t="str">
        <f>IF($C$9="Data Not Entered On Set-Up Worksheet","",IF(OR(VLOOKUP($C$9,County_Lookup,15,FALSE)="",VLOOKUP($C$9,County_Lookup,15,FALSE)=0),"",VLOOKUP($C$9,County_Lookup,15,FALSE)))</f>
        <v/>
      </c>
      <c r="B29" s="222"/>
      <c r="C29" s="61"/>
      <c r="D29" s="87" t="str">
        <f t="shared" si="0"/>
        <v/>
      </c>
      <c r="E29" s="69"/>
      <c r="F29" s="61"/>
      <c r="G29" s="87" t="str">
        <f t="shared" si="1"/>
        <v/>
      </c>
      <c r="H29" s="69"/>
      <c r="I29" s="61"/>
      <c r="J29" s="87" t="str">
        <f t="shared" si="2"/>
        <v/>
      </c>
    </row>
    <row r="30" spans="1:10" ht="18" customHeight="1" x14ac:dyDescent="0.2">
      <c r="A30" s="77" t="str">
        <f>IF($C$9="Data Not Entered On Set-Up Worksheet","",IF(OR(VLOOKUP($C$9,County_Lookup,16,FALSE)="",VLOOKUP($C$9,County_Lookup,16,FALSE)=0),"",VLOOKUP($C$9,County_Lookup,16,FALSE)))</f>
        <v/>
      </c>
      <c r="B30" s="222"/>
      <c r="C30" s="61"/>
      <c r="D30" s="87" t="str">
        <f t="shared" si="0"/>
        <v/>
      </c>
      <c r="E30" s="69"/>
      <c r="F30" s="61"/>
      <c r="G30" s="87" t="str">
        <f t="shared" si="1"/>
        <v/>
      </c>
      <c r="H30" s="69"/>
      <c r="I30" s="61"/>
      <c r="J30" s="87" t="str">
        <f t="shared" si="2"/>
        <v/>
      </c>
    </row>
    <row r="31" spans="1:10" ht="18" customHeight="1" x14ac:dyDescent="0.2">
      <c r="A31" s="77" t="str">
        <f>IF($C$9="Data Not Entered On Set-Up Worksheet","",IF(OR(VLOOKUP($C$9,County_Lookup,17,FALSE)="",VLOOKUP($C$9,County_Lookup,17,FALSE)=0),"",VLOOKUP($C$9,County_Lookup,17,FALSE)))</f>
        <v/>
      </c>
      <c r="B31" s="222"/>
      <c r="C31" s="61"/>
      <c r="D31" s="87" t="str">
        <f t="shared" si="0"/>
        <v/>
      </c>
      <c r="E31" s="69"/>
      <c r="F31" s="61"/>
      <c r="G31" s="87" t="str">
        <f t="shared" si="1"/>
        <v/>
      </c>
      <c r="H31" s="69"/>
      <c r="I31" s="61"/>
      <c r="J31" s="87" t="str">
        <f t="shared" si="2"/>
        <v/>
      </c>
    </row>
    <row r="32" spans="1:10" ht="18" customHeight="1" x14ac:dyDescent="0.2">
      <c r="A32" s="77" t="str">
        <f>IF($C$9="Data Not Entered On Set-Up Worksheet","",IF(OR(VLOOKUP($C$9,County_Lookup,18,FALSE)="",VLOOKUP($C$9,County_Lookup,18,FALSE)=0),"",VLOOKUP($C$9,County_Lookup,18,FALSE)))</f>
        <v/>
      </c>
      <c r="B32" s="222"/>
      <c r="C32" s="61"/>
      <c r="D32" s="87" t="str">
        <f t="shared" si="0"/>
        <v/>
      </c>
      <c r="E32" s="69"/>
      <c r="F32" s="61"/>
      <c r="G32" s="87" t="str">
        <f t="shared" si="1"/>
        <v/>
      </c>
      <c r="H32" s="69"/>
      <c r="I32" s="61"/>
      <c r="J32" s="87" t="str">
        <f t="shared" si="2"/>
        <v/>
      </c>
    </row>
    <row r="33" spans="1:10" ht="18" customHeight="1" x14ac:dyDescent="0.2">
      <c r="A33" s="77" t="str">
        <f>IF($C$9="Data Not Entered On Set-Up Worksheet","",IF(OR(VLOOKUP($C$9,County_Lookup,19,FALSE)="",VLOOKUP($C$9,County_Lookup,19,FALSE)=0),"",VLOOKUP($C$9,County_Lookup,19,FALSE)))</f>
        <v/>
      </c>
      <c r="B33" s="222"/>
      <c r="C33" s="61"/>
      <c r="D33" s="87" t="str">
        <f t="shared" si="0"/>
        <v/>
      </c>
      <c r="E33" s="69"/>
      <c r="F33" s="61"/>
      <c r="G33" s="87" t="str">
        <f t="shared" si="1"/>
        <v/>
      </c>
      <c r="H33" s="69"/>
      <c r="I33" s="61"/>
      <c r="J33" s="87" t="str">
        <f t="shared" si="2"/>
        <v/>
      </c>
    </row>
    <row r="34" spans="1:10" ht="18" customHeight="1" x14ac:dyDescent="0.2">
      <c r="A34" s="77" t="str">
        <f>IF($C$9="Data Not Entered On Set-Up Worksheet","",IF(OR(VLOOKUP($C$9,County_Lookup,20,FALSE)="",VLOOKUP($C$9,County_Lookup,20,FALSE)=0),"",VLOOKUP($C$9,County_Lookup,20,FALSE)))</f>
        <v/>
      </c>
      <c r="B34" s="222"/>
      <c r="C34" s="61"/>
      <c r="D34" s="87" t="str">
        <f t="shared" si="0"/>
        <v/>
      </c>
      <c r="E34" s="69"/>
      <c r="F34" s="61"/>
      <c r="G34" s="87" t="str">
        <f t="shared" si="1"/>
        <v/>
      </c>
      <c r="H34" s="69"/>
      <c r="I34" s="61"/>
      <c r="J34" s="87" t="str">
        <f t="shared" si="2"/>
        <v/>
      </c>
    </row>
    <row r="35" spans="1:10" ht="18" customHeight="1" x14ac:dyDescent="0.2">
      <c r="A35" s="77" t="str">
        <f>IF($C$9="Data Not Entered On Set-Up Worksheet","",IF(OR(VLOOKUP($C$9,County_Lookup,21,FALSE)="",VLOOKUP($C$9,County_Lookup,21,FALSE)=0),"",VLOOKUP($C$9,County_Lookup,21,FALSE)))</f>
        <v/>
      </c>
      <c r="B35" s="222"/>
      <c r="C35" s="61"/>
      <c r="D35" s="87" t="str">
        <f t="shared" si="0"/>
        <v/>
      </c>
      <c r="E35" s="69"/>
      <c r="F35" s="61"/>
      <c r="G35" s="87" t="str">
        <f t="shared" si="1"/>
        <v/>
      </c>
      <c r="H35" s="69"/>
      <c r="I35" s="61"/>
      <c r="J35" s="87" t="str">
        <f t="shared" si="2"/>
        <v/>
      </c>
    </row>
    <row r="36" spans="1:10" ht="18" customHeight="1" x14ac:dyDescent="0.2">
      <c r="A36" s="76" t="str">
        <f>IF($C$9="Data Not Entered On Set-Up Worksheet","",IF(OR(VLOOKUP($C$9,County_Lookup,22,FALSE)="",VLOOKUP($C$9,County_Lookup,22,FALSE)=0),"",VLOOKUP($C$9,County_Lookup,22,FALSE)))</f>
        <v/>
      </c>
      <c r="B36" s="222"/>
      <c r="C36" s="61"/>
      <c r="D36" s="87" t="str">
        <f t="shared" si="0"/>
        <v/>
      </c>
      <c r="E36" s="69"/>
      <c r="F36" s="61"/>
      <c r="G36" s="87" t="str">
        <f t="shared" si="1"/>
        <v/>
      </c>
      <c r="H36" s="69"/>
      <c r="I36" s="61"/>
      <c r="J36" s="87" t="str">
        <f t="shared" si="2"/>
        <v/>
      </c>
    </row>
    <row r="37" spans="1:10" ht="18" customHeight="1" x14ac:dyDescent="0.2">
      <c r="A37" s="77" t="str">
        <f>IF($C$9="Data Not Entered On Set-Up Worksheet","",IF(OR(VLOOKUP($C$9,County_Lookup,23,FALSE)="",VLOOKUP($C$9,County_Lookup,23,FALSE)=0),"",VLOOKUP($C$9,County_Lookup,23,FALSE)))</f>
        <v/>
      </c>
      <c r="B37" s="222"/>
      <c r="C37" s="61"/>
      <c r="D37" s="87" t="str">
        <f t="shared" si="0"/>
        <v/>
      </c>
      <c r="E37" s="69"/>
      <c r="F37" s="61"/>
      <c r="G37" s="87" t="str">
        <f t="shared" si="1"/>
        <v/>
      </c>
      <c r="H37" s="69"/>
      <c r="I37" s="61"/>
      <c r="J37" s="87" t="str">
        <f t="shared" si="2"/>
        <v/>
      </c>
    </row>
    <row r="38" spans="1:10" ht="18" customHeight="1" x14ac:dyDescent="0.2">
      <c r="A38" s="77" t="str">
        <f>IF($C$9="Data Not Entered On Set-Up Worksheet","",IF(OR(VLOOKUP($C$9,County_Lookup,24,FALSE)="",VLOOKUP($C$9,County_Lookup,24,FALSE)=0),"",VLOOKUP($C$9,County_Lookup,24,FALSE)))</f>
        <v/>
      </c>
      <c r="B38" s="222"/>
      <c r="C38" s="61"/>
      <c r="D38" s="87" t="str">
        <f t="shared" ref="D38:D40" si="3">IF($A38="","",IF($C38=0,0,B38/$C38))</f>
        <v/>
      </c>
      <c r="E38" s="69"/>
      <c r="F38" s="61"/>
      <c r="G38" s="87" t="str">
        <f t="shared" ref="G38:G40" si="4">IF($A38="","",IF($F38=0,0,E38/$F38))</f>
        <v/>
      </c>
      <c r="H38" s="69"/>
      <c r="I38" s="61"/>
      <c r="J38" s="87" t="str">
        <f t="shared" ref="J38:J40" si="5">IF($A38="","",IF($I38=0,0,H38/$I38))</f>
        <v/>
      </c>
    </row>
    <row r="39" spans="1:10" ht="18" customHeight="1" x14ac:dyDescent="0.2">
      <c r="A39" s="77" t="str">
        <f>IF($C$9="Data Not Entered On Set-Up Worksheet","",IF(OR(VLOOKUP($C$9,County_Lookup,25,FALSE)="",VLOOKUP($C$9,County_Lookup,25,FALSE)=0),"",VLOOKUP($C$9,County_Lookup,25,FALSE)))</f>
        <v/>
      </c>
      <c r="B39" s="222"/>
      <c r="C39" s="61"/>
      <c r="D39" s="87" t="str">
        <f t="shared" si="3"/>
        <v/>
      </c>
      <c r="E39" s="69"/>
      <c r="F39" s="61"/>
      <c r="G39" s="87" t="str">
        <f t="shared" si="4"/>
        <v/>
      </c>
      <c r="H39" s="69"/>
      <c r="I39" s="61"/>
      <c r="J39" s="87" t="str">
        <f t="shared" si="5"/>
        <v/>
      </c>
    </row>
    <row r="40" spans="1:10" ht="18" customHeight="1" x14ac:dyDescent="0.2">
      <c r="A40" s="77" t="str">
        <f>IF($C$9="Data Not Entered On Set-Up Worksheet","",IF(OR(VLOOKUP($C$9,County_Lookup,26,FALSE)="",VLOOKUP($C$9,County_Lookup,26,FALSE)=0),"",VLOOKUP($C$9,County_Lookup,26,FALSE)))</f>
        <v/>
      </c>
      <c r="B40" s="222"/>
      <c r="C40" s="61"/>
      <c r="D40" s="87" t="str">
        <f t="shared" si="3"/>
        <v/>
      </c>
      <c r="E40" s="69"/>
      <c r="F40" s="61"/>
      <c r="G40" s="87" t="str">
        <f t="shared" si="4"/>
        <v/>
      </c>
      <c r="H40" s="69"/>
      <c r="I40" s="61"/>
      <c r="J40" s="87" t="str">
        <f t="shared" si="5"/>
        <v/>
      </c>
    </row>
    <row r="41" spans="1:10" ht="18" customHeight="1" x14ac:dyDescent="0.2">
      <c r="A41" s="77" t="str">
        <f>IF($C$9="Data Not Entered On Set-Up Worksheet","",IF(OR(VLOOKUP($C$9,County_Lookup,27,FALSE)="",VLOOKUP($C$9,County_Lookup,27,FALSE)=0),"",VLOOKUP($C$9,County_Lookup,27,FALSE)))</f>
        <v/>
      </c>
      <c r="B41" s="222"/>
      <c r="C41" s="61"/>
      <c r="D41" s="87" t="str">
        <f t="shared" si="0"/>
        <v/>
      </c>
      <c r="E41" s="69"/>
      <c r="F41" s="61"/>
      <c r="G41" s="87" t="str">
        <f t="shared" si="1"/>
        <v/>
      </c>
      <c r="H41" s="69"/>
      <c r="I41" s="61"/>
      <c r="J41" s="87" t="str">
        <f t="shared" si="2"/>
        <v/>
      </c>
    </row>
    <row r="42" spans="1:10" ht="18" customHeight="1" thickBot="1" x14ac:dyDescent="0.25">
      <c r="A42" s="78" t="s">
        <v>0</v>
      </c>
      <c r="B42" s="223">
        <f t="shared" ref="B42" si="6">SUM(B16:B41)</f>
        <v>0</v>
      </c>
      <c r="C42" s="72">
        <f>SUM(C16:C41)</f>
        <v>0</v>
      </c>
      <c r="D42" s="53">
        <f t="shared" si="0"/>
        <v>0</v>
      </c>
      <c r="E42" s="334">
        <f t="shared" ref="E42" si="7">SUM(E16:E41)</f>
        <v>0</v>
      </c>
      <c r="F42" s="72">
        <f>SUM(F16:F41)</f>
        <v>0</v>
      </c>
      <c r="G42" s="53">
        <f t="shared" si="1"/>
        <v>0</v>
      </c>
      <c r="H42" s="334">
        <f t="shared" ref="H42" si="8">SUM(H16:H41)</f>
        <v>0</v>
      </c>
      <c r="I42" s="72">
        <f>SUM(I16:I41)</f>
        <v>0</v>
      </c>
      <c r="J42" s="53">
        <f t="shared" si="2"/>
        <v>0</v>
      </c>
    </row>
  </sheetData>
  <sheetProtection sheet="1" objects="1" scenarios="1"/>
  <conditionalFormatting sqref="C3:D4 C9:D9 C11:D12">
    <cfRule type="expression" dxfId="393" priority="20">
      <formula>C3="Data Not Entered On Set-Up Worksheet"</formula>
    </cfRule>
  </conditionalFormatting>
  <conditionalFormatting sqref="B16:C38 E16:F38 H16:I38 H41:I41 E41:F41 B41:C41">
    <cfRule type="expression" dxfId="392" priority="18">
      <formula>AND($A16&lt;&gt;"",B16="")</formula>
    </cfRule>
  </conditionalFormatting>
  <conditionalFormatting sqref="G3:G4 G9 G11:G12">
    <cfRule type="expression" dxfId="391" priority="17">
      <formula>G3="Data Not Entered On Set-Up Worksheet"</formula>
    </cfRule>
  </conditionalFormatting>
  <conditionalFormatting sqref="J3:J4 J9 J11:J12">
    <cfRule type="expression" dxfId="390" priority="14">
      <formula>J3="Data Not Entered On Set-Up Worksheet"</formula>
    </cfRule>
  </conditionalFormatting>
  <conditionalFormatting sqref="F9:F10">
    <cfRule type="expression" dxfId="389" priority="11">
      <formula>F9="Data Not Entered On Set-Up Worksheet"</formula>
    </cfRule>
  </conditionalFormatting>
  <conditionalFormatting sqref="B16:C38 B41:C41">
    <cfRule type="expression" dxfId="388" priority="5">
      <formula>$A16="Other"</formula>
    </cfRule>
  </conditionalFormatting>
  <conditionalFormatting sqref="H39:I39 E39:F39 B39:C39">
    <cfRule type="expression" dxfId="387" priority="4">
      <formula>AND($A39&lt;&gt;"",B39="")</formula>
    </cfRule>
  </conditionalFormatting>
  <conditionalFormatting sqref="B39:C39">
    <cfRule type="expression" dxfId="386" priority="3">
      <formula>$A39="Other"</formula>
    </cfRule>
  </conditionalFormatting>
  <conditionalFormatting sqref="H40:I40 E40:F40 B40:C40">
    <cfRule type="expression" dxfId="385" priority="2">
      <formula>AND($A40&lt;&gt;"",B40="")</formula>
    </cfRule>
  </conditionalFormatting>
  <conditionalFormatting sqref="B40:C40">
    <cfRule type="expression" dxfId="384" priority="1">
      <formula>$A40="Other"</formula>
    </cfRule>
  </conditionalFormatting>
  <pageMargins left="0.5" right="0.5" top="0.5" bottom="0.5" header="0.3" footer="0.3"/>
  <pageSetup scale="61" orientation="landscape" r:id="rId1"/>
  <headerFooter>
    <oddFooter>&amp;LNC DHHS LME-MCO Performance Measures Report Part II DMH/DD/SAS Measures&amp;C&amp;P&amp;R&amp;F</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G32"/>
  <sheetViews>
    <sheetView showGridLines="0" workbookViewId="0">
      <selection activeCell="D5" sqref="D5"/>
    </sheetView>
  </sheetViews>
  <sheetFormatPr defaultRowHeight="12.75" x14ac:dyDescent="0.2"/>
  <cols>
    <col min="1" max="1" width="30.7109375" style="22" customWidth="1"/>
    <col min="2" max="6" width="18.7109375" style="22" customWidth="1"/>
    <col min="7" max="16384" width="9.140625" style="22"/>
  </cols>
  <sheetData>
    <row r="1" spans="1:7" ht="15" customHeight="1" x14ac:dyDescent="0.2">
      <c r="A1" s="36" t="s">
        <v>28</v>
      </c>
    </row>
    <row r="2" spans="1:7" ht="15" customHeight="1" x14ac:dyDescent="0.2">
      <c r="A2" s="36" t="s">
        <v>196</v>
      </c>
    </row>
    <row r="3" spans="1:7" ht="15" customHeight="1" x14ac:dyDescent="0.2">
      <c r="A3" s="30" t="s">
        <v>194</v>
      </c>
      <c r="C3" s="147">
        <f>IF('Set-Up Worksheet'!F3="","Data Not Entered On Set-Up Worksheet",'Set-Up Worksheet'!F3)</f>
        <v>2018</v>
      </c>
    </row>
    <row r="4" spans="1:7" ht="15" customHeight="1" x14ac:dyDescent="0.2">
      <c r="A4" s="30" t="s">
        <v>195</v>
      </c>
      <c r="C4" s="147" t="str">
        <f>IF('Set-Up Worksheet'!F4="","Data Not Entered On Set-Up Worksheet",'Set-Up Worksheet'!F4)</f>
        <v>1st Quarter</v>
      </c>
    </row>
    <row r="5" spans="1:7" ht="15" customHeight="1" x14ac:dyDescent="0.2">
      <c r="C5" s="32"/>
    </row>
    <row r="6" spans="1:7" ht="15" customHeight="1" x14ac:dyDescent="0.2">
      <c r="A6" s="30" t="s">
        <v>151</v>
      </c>
      <c r="C6" s="32"/>
    </row>
    <row r="7" spans="1:7" ht="15" customHeight="1" x14ac:dyDescent="0.2">
      <c r="A7" s="30" t="s">
        <v>152</v>
      </c>
      <c r="C7" s="32"/>
    </row>
    <row r="8" spans="1:7" ht="15" customHeight="1" x14ac:dyDescent="0.2">
      <c r="A8" s="30"/>
      <c r="C8" s="32"/>
    </row>
    <row r="9" spans="1:7" ht="15" customHeight="1" x14ac:dyDescent="0.2">
      <c r="A9" s="30" t="s">
        <v>29</v>
      </c>
      <c r="C9" s="39" t="str">
        <f>IF('Set-Up Worksheet'!E7="","Data Not Entered On Set-Up Worksheet",'Set-Up Worksheet'!E7)</f>
        <v>Data Not Entered On Set-Up Worksheet</v>
      </c>
    </row>
    <row r="10" spans="1:7" ht="15" customHeight="1" x14ac:dyDescent="0.2">
      <c r="A10" s="30" t="s">
        <v>9</v>
      </c>
      <c r="C10" s="32" t="s">
        <v>10</v>
      </c>
    </row>
    <row r="11" spans="1:7" ht="15" customHeight="1" x14ac:dyDescent="0.2">
      <c r="A11" s="30" t="s">
        <v>197</v>
      </c>
      <c r="C11" s="40" t="str">
        <f>IF(C4="Data Not Entered On Set-Up Worksheet","Data Not Entered On Set-Up Worksheet",IF(C4="1st Quarter",'Report Schedule'!D10,IF(C4="2nd Quarter",'Report Schedule'!E10,IF(C4="3rd Quarter",'Report Schedule'!F10,IF(C4="4th Quarter",'Report Schedule'!G10,"")))))</f>
        <v>Oct 2016 - Sep 2017</v>
      </c>
    </row>
    <row r="14" spans="1:7" ht="75.75" customHeight="1" x14ac:dyDescent="0.2">
      <c r="A14" s="560" t="s">
        <v>548</v>
      </c>
      <c r="B14" s="560"/>
      <c r="C14" s="560"/>
      <c r="D14" s="560"/>
      <c r="E14" s="560"/>
      <c r="F14" s="560"/>
      <c r="G14" s="47"/>
    </row>
    <row r="15" spans="1:7" x14ac:dyDescent="0.2">
      <c r="A15" s="47"/>
      <c r="B15" s="47"/>
      <c r="C15" s="47"/>
      <c r="D15" s="47"/>
      <c r="E15" s="47"/>
      <c r="F15" s="47"/>
      <c r="G15" s="47"/>
    </row>
    <row r="16" spans="1:7" ht="51.95" customHeight="1" x14ac:dyDescent="0.2">
      <c r="A16" s="48" t="s">
        <v>198</v>
      </c>
      <c r="B16" s="51" t="s">
        <v>199</v>
      </c>
      <c r="C16" s="51" t="s">
        <v>261</v>
      </c>
      <c r="D16" s="51" t="s">
        <v>262</v>
      </c>
      <c r="E16" s="51" t="s">
        <v>200</v>
      </c>
      <c r="F16" s="51" t="s">
        <v>263</v>
      </c>
      <c r="G16" s="47"/>
    </row>
    <row r="17" spans="1:6" ht="18" customHeight="1" x14ac:dyDescent="0.2">
      <c r="A17" s="196"/>
      <c r="B17" s="152" t="str">
        <f t="shared" ref="B17:B31" si="0">IF(A17="","",VLOOKUP(A17,SA_EBP_Lookup,2,FALSE))</f>
        <v/>
      </c>
      <c r="C17" s="193"/>
      <c r="D17" s="187"/>
      <c r="E17" s="187"/>
      <c r="F17" s="188"/>
    </row>
    <row r="18" spans="1:6" ht="18" customHeight="1" x14ac:dyDescent="0.2">
      <c r="A18" s="197"/>
      <c r="B18" s="153" t="str">
        <f t="shared" si="0"/>
        <v/>
      </c>
      <c r="C18" s="194"/>
      <c r="D18" s="189"/>
      <c r="E18" s="189"/>
      <c r="F18" s="190"/>
    </row>
    <row r="19" spans="1:6" ht="18" customHeight="1" x14ac:dyDescent="0.2">
      <c r="A19" s="198"/>
      <c r="B19" s="154" t="str">
        <f t="shared" si="0"/>
        <v/>
      </c>
      <c r="C19" s="194"/>
      <c r="D19" s="189"/>
      <c r="E19" s="189"/>
      <c r="F19" s="190"/>
    </row>
    <row r="20" spans="1:6" ht="18" customHeight="1" x14ac:dyDescent="0.2">
      <c r="A20" s="198"/>
      <c r="B20" s="154" t="str">
        <f t="shared" si="0"/>
        <v/>
      </c>
      <c r="C20" s="194"/>
      <c r="D20" s="189"/>
      <c r="E20" s="189"/>
      <c r="F20" s="190"/>
    </row>
    <row r="21" spans="1:6" ht="18" customHeight="1" x14ac:dyDescent="0.2">
      <c r="A21" s="198"/>
      <c r="B21" s="154" t="str">
        <f t="shared" si="0"/>
        <v/>
      </c>
      <c r="C21" s="194"/>
      <c r="D21" s="189"/>
      <c r="E21" s="189"/>
      <c r="F21" s="190"/>
    </row>
    <row r="22" spans="1:6" ht="18" customHeight="1" x14ac:dyDescent="0.2">
      <c r="A22" s="198"/>
      <c r="B22" s="154" t="str">
        <f t="shared" si="0"/>
        <v/>
      </c>
      <c r="C22" s="194"/>
      <c r="D22" s="189"/>
      <c r="E22" s="189"/>
      <c r="F22" s="190"/>
    </row>
    <row r="23" spans="1:6" ht="18" customHeight="1" x14ac:dyDescent="0.2">
      <c r="A23" s="198"/>
      <c r="B23" s="154" t="str">
        <f t="shared" si="0"/>
        <v/>
      </c>
      <c r="C23" s="194"/>
      <c r="D23" s="189"/>
      <c r="E23" s="189"/>
      <c r="F23" s="190"/>
    </row>
    <row r="24" spans="1:6" ht="18" customHeight="1" x14ac:dyDescent="0.2">
      <c r="A24" s="198"/>
      <c r="B24" s="154" t="str">
        <f t="shared" si="0"/>
        <v/>
      </c>
      <c r="C24" s="194"/>
      <c r="D24" s="189"/>
      <c r="E24" s="189"/>
      <c r="F24" s="190"/>
    </row>
    <row r="25" spans="1:6" ht="18" customHeight="1" x14ac:dyDescent="0.2">
      <c r="A25" s="198"/>
      <c r="B25" s="154" t="str">
        <f t="shared" si="0"/>
        <v/>
      </c>
      <c r="C25" s="194"/>
      <c r="D25" s="189"/>
      <c r="E25" s="189"/>
      <c r="F25" s="190"/>
    </row>
    <row r="26" spans="1:6" ht="18" customHeight="1" x14ac:dyDescent="0.2">
      <c r="A26" s="198"/>
      <c r="B26" s="154" t="str">
        <f t="shared" si="0"/>
        <v/>
      </c>
      <c r="C26" s="194"/>
      <c r="D26" s="189"/>
      <c r="E26" s="189"/>
      <c r="F26" s="190"/>
    </row>
    <row r="27" spans="1:6" ht="18" customHeight="1" x14ac:dyDescent="0.2">
      <c r="A27" s="198"/>
      <c r="B27" s="154" t="str">
        <f t="shared" si="0"/>
        <v/>
      </c>
      <c r="C27" s="194"/>
      <c r="D27" s="189"/>
      <c r="E27" s="189"/>
      <c r="F27" s="190"/>
    </row>
    <row r="28" spans="1:6" ht="18" customHeight="1" x14ac:dyDescent="0.2">
      <c r="A28" s="198"/>
      <c r="B28" s="154" t="str">
        <f t="shared" si="0"/>
        <v/>
      </c>
      <c r="C28" s="194"/>
      <c r="D28" s="189"/>
      <c r="E28" s="189"/>
      <c r="F28" s="190"/>
    </row>
    <row r="29" spans="1:6" ht="18" customHeight="1" x14ac:dyDescent="0.2">
      <c r="A29" s="198"/>
      <c r="B29" s="154" t="str">
        <f t="shared" si="0"/>
        <v/>
      </c>
      <c r="C29" s="194"/>
      <c r="D29" s="189"/>
      <c r="E29" s="189"/>
      <c r="F29" s="190"/>
    </row>
    <row r="30" spans="1:6" ht="18" customHeight="1" x14ac:dyDescent="0.2">
      <c r="A30" s="198"/>
      <c r="B30" s="154" t="str">
        <f t="shared" si="0"/>
        <v/>
      </c>
      <c r="C30" s="194"/>
      <c r="D30" s="189"/>
      <c r="E30" s="189"/>
      <c r="F30" s="190"/>
    </row>
    <row r="31" spans="1:6" ht="18" customHeight="1" x14ac:dyDescent="0.2">
      <c r="A31" s="199"/>
      <c r="B31" s="155" t="str">
        <f t="shared" si="0"/>
        <v/>
      </c>
      <c r="C31" s="195"/>
      <c r="D31" s="191"/>
      <c r="E31" s="191"/>
      <c r="F31" s="192"/>
    </row>
    <row r="32" spans="1:6" ht="20.100000000000001" customHeight="1" x14ac:dyDescent="0.2">
      <c r="A32" s="227" t="s">
        <v>0</v>
      </c>
      <c r="B32" s="228"/>
      <c r="C32" s="229">
        <f>SUM(C17:C31)</f>
        <v>0</v>
      </c>
      <c r="D32" s="229">
        <f>IF($C$9="Data Not Entered On Set-Up Worksheet",0,IF($C$3=2017,VLOOKUP($C$9,SA_Prevention_Pop_2017,4,FALSE),IF($C$3=2018,VLOOKUP($C$9,SA_Prevention_Pop_2018,4,FALSE),IF($C$3=2016,VLOOKUP($C$9,SA_Prevention_Pop_2016,4,FALSE),"Update Lookup"))))</f>
        <v>0</v>
      </c>
      <c r="E32" s="229">
        <f>IF($C$9="Data Not Entered On Set-Up Worksheet",0,IF($C$3=2018,VLOOKUP($C$9,SA_Prevention_Pop_2018,7,FALSE),IF($C$3=2017,VLOOKUP($C$9,SA_Prevention_Pop_2017,7,FALSE),IF($C$3=2016,VLOOKUP($C$9,SA_Prevention_Pop_2016,7,FALSE),"Update Lookup"))))</f>
        <v>0</v>
      </c>
      <c r="F32" s="230">
        <f>IF(E32=0,0,C32/E32)</f>
        <v>0</v>
      </c>
    </row>
  </sheetData>
  <sheetProtection sheet="1" objects="1" scenarios="1"/>
  <mergeCells count="1">
    <mergeCell ref="A14:F14"/>
  </mergeCells>
  <conditionalFormatting sqref="C3:C4">
    <cfRule type="expression" dxfId="943" priority="6">
      <formula>C3="Data Not Entered On Set-Up Worksheet"</formula>
    </cfRule>
  </conditionalFormatting>
  <conditionalFormatting sqref="C9">
    <cfRule type="expression" dxfId="942" priority="5">
      <formula>C9="Data Not Entered On Set-Up Worksheet"</formula>
    </cfRule>
  </conditionalFormatting>
  <conditionalFormatting sqref="C11">
    <cfRule type="expression" dxfId="941" priority="4">
      <formula>C11="Data Not Entered On Set-Up Worksheet"</formula>
    </cfRule>
  </conditionalFormatting>
  <conditionalFormatting sqref="C17:C31">
    <cfRule type="expression" dxfId="940" priority="3">
      <formula>AND(A17&lt;&gt;"",C17="")</formula>
    </cfRule>
  </conditionalFormatting>
  <conditionalFormatting sqref="B17:B31">
    <cfRule type="cellIs" dxfId="939" priority="2" operator="equal">
      <formula>""</formula>
    </cfRule>
  </conditionalFormatting>
  <conditionalFormatting sqref="A17:A31">
    <cfRule type="expression" dxfId="938" priority="1">
      <formula>AND(A17="",C17&lt;&gt;"")</formula>
    </cfRule>
  </conditionalFormatting>
  <dataValidations count="1">
    <dataValidation type="list" allowBlank="1" showInputMessage="1" showErrorMessage="1" prompt="Select the Evidence-Based SA Prevention Program from the drop-down list." sqref="A17:A31">
      <formula1>SA_EBP</formula1>
    </dataValidation>
  </dataValidations>
  <pageMargins left="0.5" right="0.5" top="0.5" bottom="0.5" header="0.3" footer="0.3"/>
  <pageSetup scale="86" orientation="landscape" r:id="rId1"/>
  <headerFooter>
    <oddFooter>&amp;LNC DHHS LME-MCO Performance Measures Report Part II DMH/DD/SAS Measures&amp;C&amp;P&amp;R&amp;F</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2"/>
  <sheetViews>
    <sheetView showGridLines="0" workbookViewId="0">
      <pane ySplit="15" topLeftCell="A16" activePane="bottomLeft" state="frozen"/>
      <selection activeCell="E7" sqref="E7:I7"/>
      <selection pane="bottomLeft" activeCell="B16" sqref="B16"/>
    </sheetView>
  </sheetViews>
  <sheetFormatPr defaultRowHeight="12.75" x14ac:dyDescent="0.2"/>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x14ac:dyDescent="0.2">
      <c r="A1" s="36" t="s">
        <v>28</v>
      </c>
      <c r="E1" s="30"/>
      <c r="H1" s="30"/>
    </row>
    <row r="2" spans="1:22" ht="15" customHeight="1" x14ac:dyDescent="0.2">
      <c r="A2" s="36" t="s">
        <v>196</v>
      </c>
      <c r="E2" s="321"/>
      <c r="H2" s="321"/>
    </row>
    <row r="3" spans="1:22" ht="15" customHeight="1" x14ac:dyDescent="0.2">
      <c r="A3" s="30" t="s">
        <v>194</v>
      </c>
      <c r="C3" s="147">
        <f>IF('Set-Up Worksheet'!F3="","Data Not Entered On Set-Up Worksheet",'Set-Up Worksheet'!F3)</f>
        <v>2018</v>
      </c>
      <c r="D3" s="147"/>
      <c r="G3" s="147"/>
      <c r="J3" s="147"/>
    </row>
    <row r="4" spans="1:22" ht="15" customHeight="1" x14ac:dyDescent="0.2">
      <c r="A4" s="30" t="s">
        <v>195</v>
      </c>
      <c r="C4" s="147" t="str">
        <f>IF('Set-Up Worksheet'!F4="","Data Not Entered On Set-Up Worksheet",'Set-Up Worksheet'!F4)</f>
        <v>1st Quarter</v>
      </c>
      <c r="D4" s="147"/>
      <c r="G4" s="147"/>
      <c r="J4" s="147"/>
    </row>
    <row r="5" spans="1:22" ht="15" customHeight="1" x14ac:dyDescent="0.2">
      <c r="A5" s="30"/>
      <c r="C5" s="32"/>
      <c r="D5" s="32"/>
      <c r="G5" s="32"/>
      <c r="J5" s="32"/>
    </row>
    <row r="6" spans="1:22" ht="15" customHeight="1" x14ac:dyDescent="0.2">
      <c r="A6" s="30" t="s">
        <v>337</v>
      </c>
      <c r="C6" s="32"/>
      <c r="D6" s="32"/>
      <c r="E6" s="30"/>
      <c r="G6" s="32"/>
      <c r="H6" s="30"/>
      <c r="J6" s="32"/>
    </row>
    <row r="7" spans="1:22" ht="15" customHeight="1" x14ac:dyDescent="0.2">
      <c r="A7" s="31" t="s">
        <v>388</v>
      </c>
      <c r="C7" s="32"/>
      <c r="D7" s="32"/>
      <c r="E7" s="30"/>
      <c r="G7" s="32"/>
      <c r="H7" s="30"/>
      <c r="J7" s="32"/>
    </row>
    <row r="8" spans="1:22" ht="15" customHeight="1" x14ac:dyDescent="0.2">
      <c r="A8" s="30"/>
      <c r="C8" s="32"/>
      <c r="D8" s="32"/>
      <c r="G8" s="32"/>
      <c r="J8" s="32"/>
      <c r="N8" s="54"/>
      <c r="O8" s="54"/>
      <c r="P8" s="55"/>
      <c r="Q8" s="54"/>
      <c r="R8" s="54"/>
      <c r="S8" s="54"/>
      <c r="T8" s="54"/>
      <c r="U8" s="30"/>
      <c r="V8" s="35"/>
    </row>
    <row r="9" spans="1:22" ht="15" customHeight="1" x14ac:dyDescent="0.2">
      <c r="A9" s="30" t="s">
        <v>29</v>
      </c>
      <c r="C9" s="39" t="str">
        <f>IF('Set-Up Worksheet'!E7="","Data Not Entered On Set-Up Worksheet",'Set-Up Worksheet'!E7)</f>
        <v>Data Not Entered On Set-Up Worksheet</v>
      </c>
      <c r="D9" s="39"/>
      <c r="F9" s="79" t="s">
        <v>444</v>
      </c>
      <c r="G9" s="39"/>
      <c r="J9" s="39"/>
    </row>
    <row r="10" spans="1:22" ht="15" customHeight="1" x14ac:dyDescent="0.2">
      <c r="A10" s="30" t="s">
        <v>9</v>
      </c>
      <c r="C10" s="32" t="s">
        <v>10</v>
      </c>
      <c r="D10" s="32"/>
      <c r="F10" s="79"/>
      <c r="G10" s="32"/>
      <c r="J10" s="32"/>
    </row>
    <row r="11" spans="1:22" ht="15" customHeight="1" x14ac:dyDescent="0.2">
      <c r="A11" s="30" t="s">
        <v>197</v>
      </c>
      <c r="C11" s="40" t="str">
        <f>IF(C4="Data Not Entered On Set-Up Worksheet","Data Not Entered On Set-Up Worksheet",IF(C4="1st Quarter",'Report Schedule'!D43,IF(C4="2nd Quarter",'Report Schedule'!E43,IF(C4="3rd Quarter",'Report Schedule'!F43,IF(C4="4th Quarter",'Report Schedule'!G43,"")))))</f>
        <v>Apr - Jun 2017</v>
      </c>
      <c r="D11" s="40"/>
      <c r="G11" s="40"/>
      <c r="J11" s="40"/>
    </row>
    <row r="12" spans="1:22" ht="15" customHeight="1" thickBot="1" x14ac:dyDescent="0.25">
      <c r="A12" s="30"/>
      <c r="C12" s="40"/>
      <c r="D12" s="40"/>
      <c r="G12" s="40"/>
      <c r="J12" s="40"/>
    </row>
    <row r="13" spans="1:22" ht="18" customHeight="1" thickBot="1" x14ac:dyDescent="0.25">
      <c r="A13" s="226" t="s">
        <v>327</v>
      </c>
      <c r="B13" s="384" t="s">
        <v>39</v>
      </c>
      <c r="C13" s="235"/>
      <c r="D13" s="236"/>
      <c r="E13" s="383" t="s">
        <v>241</v>
      </c>
      <c r="F13" s="231"/>
      <c r="G13" s="232"/>
      <c r="H13" s="384" t="s">
        <v>243</v>
      </c>
      <c r="I13" s="235"/>
      <c r="J13" s="236"/>
    </row>
    <row r="14" spans="1:22" s="35" customFormat="1" ht="13.5" thickBot="1" x14ac:dyDescent="0.25">
      <c r="A14" s="30"/>
      <c r="B14" s="45" t="s">
        <v>3</v>
      </c>
      <c r="C14" s="57" t="s">
        <v>4</v>
      </c>
      <c r="D14" s="57" t="s">
        <v>8</v>
      </c>
      <c r="E14" s="45" t="s">
        <v>3</v>
      </c>
      <c r="F14" s="57" t="s">
        <v>4</v>
      </c>
      <c r="G14" s="57" t="s">
        <v>8</v>
      </c>
      <c r="H14" s="45" t="s">
        <v>3</v>
      </c>
      <c r="I14" s="57" t="s">
        <v>4</v>
      </c>
      <c r="J14" s="57" t="s">
        <v>8</v>
      </c>
      <c r="K14" s="33"/>
      <c r="L14" s="30"/>
      <c r="M14" s="30"/>
      <c r="N14" s="30"/>
      <c r="O14" s="30"/>
      <c r="P14" s="30"/>
    </row>
    <row r="15" spans="1:22" ht="38.25" x14ac:dyDescent="0.2">
      <c r="A15" s="75" t="s">
        <v>43</v>
      </c>
      <c r="B15" s="242" t="s">
        <v>31</v>
      </c>
      <c r="C15" s="240" t="s">
        <v>30</v>
      </c>
      <c r="D15" s="241" t="s">
        <v>32</v>
      </c>
      <c r="E15" s="333" t="s">
        <v>31</v>
      </c>
      <c r="F15" s="67" t="s">
        <v>30</v>
      </c>
      <c r="G15" s="68" t="s">
        <v>32</v>
      </c>
      <c r="H15" s="335" t="s">
        <v>31</v>
      </c>
      <c r="I15" s="240" t="s">
        <v>30</v>
      </c>
      <c r="J15" s="241" t="s">
        <v>32</v>
      </c>
    </row>
    <row r="16" spans="1:22" ht="18" customHeight="1" x14ac:dyDescent="0.2">
      <c r="A16" s="76" t="str">
        <f>IF($C$9="Data Not Entered On Set-Up Worksheet","",IF(OR(VLOOKUP($C$9,County_Lookup,2,FALSE)="",VLOOKUP($C$9,County_Lookup,2,FALSE)=0),"",VLOOKUP($C$9,County_Lookup,2,FALSE)))</f>
        <v/>
      </c>
      <c r="B16" s="222"/>
      <c r="C16" s="61"/>
      <c r="D16" s="87" t="str">
        <f t="shared" ref="D16:D42" si="0">IF($A16="","",IF($C16=0,0,B16/$C16))</f>
        <v/>
      </c>
      <c r="E16" s="69"/>
      <c r="F16" s="61"/>
      <c r="G16" s="87" t="str">
        <f t="shared" ref="G16:G42" si="1">IF($A16="","",IF($F16=0,0,E16/$F16))</f>
        <v/>
      </c>
      <c r="H16" s="69"/>
      <c r="I16" s="61"/>
      <c r="J16" s="87" t="str">
        <f t="shared" ref="J16:J42" si="2">IF($A16="","",IF($I16=0,0,H16/$I16))</f>
        <v/>
      </c>
    </row>
    <row r="17" spans="1:10" ht="18" customHeight="1" x14ac:dyDescent="0.2">
      <c r="A17" s="77" t="str">
        <f>IF($C$9="Data Not Entered On Set-Up Worksheet","",IF(OR(VLOOKUP($C$9,County_Lookup,3,FALSE)="",VLOOKUP($C$9,County_Lookup,3,FALSE)=0),"",VLOOKUP($C$9,County_Lookup,3,FALSE)))</f>
        <v/>
      </c>
      <c r="B17" s="222"/>
      <c r="C17" s="61"/>
      <c r="D17" s="87" t="str">
        <f t="shared" si="0"/>
        <v/>
      </c>
      <c r="E17" s="69"/>
      <c r="F17" s="61"/>
      <c r="G17" s="87" t="str">
        <f t="shared" si="1"/>
        <v/>
      </c>
      <c r="H17" s="69"/>
      <c r="I17" s="61"/>
      <c r="J17" s="87" t="str">
        <f t="shared" si="2"/>
        <v/>
      </c>
    </row>
    <row r="18" spans="1:10" ht="18" customHeight="1" x14ac:dyDescent="0.2">
      <c r="A18" s="77" t="str">
        <f>IF($C$9="Data Not Entered On Set-Up Worksheet","",IF(OR(VLOOKUP($C$9,County_Lookup,4,FALSE)="",VLOOKUP($C$9,County_Lookup,4,FALSE)=0),"",VLOOKUP($C$9,County_Lookup,4,FALSE)))</f>
        <v/>
      </c>
      <c r="B18" s="222"/>
      <c r="C18" s="61"/>
      <c r="D18" s="87" t="str">
        <f t="shared" si="0"/>
        <v/>
      </c>
      <c r="E18" s="69"/>
      <c r="F18" s="61"/>
      <c r="G18" s="87" t="str">
        <f t="shared" si="1"/>
        <v/>
      </c>
      <c r="H18" s="69"/>
      <c r="I18" s="61"/>
      <c r="J18" s="87" t="str">
        <f t="shared" si="2"/>
        <v/>
      </c>
    </row>
    <row r="19" spans="1:10" ht="18" customHeight="1" x14ac:dyDescent="0.2">
      <c r="A19" s="77" t="str">
        <f>IF($C$9="Data Not Entered On Set-Up Worksheet","",IF(OR(VLOOKUP($C$9,County_Lookup,5,FALSE)="",VLOOKUP($C$9,County_Lookup,5,FALSE)=0),"",VLOOKUP($C$9,County_Lookup,5,FALSE)))</f>
        <v/>
      </c>
      <c r="B19" s="222"/>
      <c r="C19" s="61"/>
      <c r="D19" s="87" t="str">
        <f t="shared" si="0"/>
        <v/>
      </c>
      <c r="E19" s="69"/>
      <c r="F19" s="61"/>
      <c r="G19" s="87" t="str">
        <f t="shared" si="1"/>
        <v/>
      </c>
      <c r="H19" s="69"/>
      <c r="I19" s="61"/>
      <c r="J19" s="87" t="str">
        <f t="shared" si="2"/>
        <v/>
      </c>
    </row>
    <row r="20" spans="1:10" ht="18" customHeight="1" x14ac:dyDescent="0.2">
      <c r="A20" s="77" t="str">
        <f>IF($C$9="Data Not Entered On Set-Up Worksheet","",IF(OR(VLOOKUP($C$9,County_Lookup,6,FALSE)="",VLOOKUP($C$9,County_Lookup,6,FALSE)=0),"",VLOOKUP($C$9,County_Lookup,6,FALSE)))</f>
        <v/>
      </c>
      <c r="B20" s="222"/>
      <c r="C20" s="61"/>
      <c r="D20" s="87" t="str">
        <f t="shared" si="0"/>
        <v/>
      </c>
      <c r="E20" s="69"/>
      <c r="F20" s="61"/>
      <c r="G20" s="87" t="str">
        <f t="shared" si="1"/>
        <v/>
      </c>
      <c r="H20" s="69"/>
      <c r="I20" s="61"/>
      <c r="J20" s="87" t="str">
        <f t="shared" si="2"/>
        <v/>
      </c>
    </row>
    <row r="21" spans="1:10" ht="18" customHeight="1" x14ac:dyDescent="0.2">
      <c r="A21" s="77" t="str">
        <f>IF($C$9="Data Not Entered On Set-Up Worksheet","",IF(OR(VLOOKUP($C$9,County_Lookup,7,FALSE)="",VLOOKUP($C$9,County_Lookup,7,FALSE)=0),"",VLOOKUP($C$9,County_Lookup,7,FALSE)))</f>
        <v/>
      </c>
      <c r="B21" s="222"/>
      <c r="C21" s="61"/>
      <c r="D21" s="87" t="str">
        <f t="shared" si="0"/>
        <v/>
      </c>
      <c r="E21" s="69"/>
      <c r="F21" s="61"/>
      <c r="G21" s="87" t="str">
        <f t="shared" si="1"/>
        <v/>
      </c>
      <c r="H21" s="69"/>
      <c r="I21" s="61"/>
      <c r="J21" s="87" t="str">
        <f t="shared" si="2"/>
        <v/>
      </c>
    </row>
    <row r="22" spans="1:10" ht="18" customHeight="1" x14ac:dyDescent="0.2">
      <c r="A22" s="76" t="str">
        <f>IF($C$9="Data Not Entered On Set-Up Worksheet","",IF(OR(VLOOKUP($C$9,County_Lookup,8,FALSE)="",VLOOKUP($C$9,County_Lookup,8,FALSE)=0),"",VLOOKUP($C$9,County_Lookup,8,FALSE)))</f>
        <v/>
      </c>
      <c r="B22" s="222"/>
      <c r="C22" s="61"/>
      <c r="D22" s="87" t="str">
        <f t="shared" si="0"/>
        <v/>
      </c>
      <c r="E22" s="69"/>
      <c r="F22" s="61"/>
      <c r="G22" s="87" t="str">
        <f t="shared" si="1"/>
        <v/>
      </c>
      <c r="H22" s="69"/>
      <c r="I22" s="61"/>
      <c r="J22" s="87" t="str">
        <f t="shared" si="2"/>
        <v/>
      </c>
    </row>
    <row r="23" spans="1:10" ht="18" customHeight="1" x14ac:dyDescent="0.2">
      <c r="A23" s="77" t="str">
        <f>IF($C$9="Data Not Entered On Set-Up Worksheet","",IF(OR(VLOOKUP($C$9,County_Lookup,9,FALSE)="",VLOOKUP($C$9,County_Lookup,9,FALSE)=0),"",VLOOKUP($C$9,County_Lookup,9,FALSE)))</f>
        <v/>
      </c>
      <c r="B23" s="222"/>
      <c r="C23" s="61"/>
      <c r="D23" s="87" t="str">
        <f t="shared" si="0"/>
        <v/>
      </c>
      <c r="E23" s="69"/>
      <c r="F23" s="61"/>
      <c r="G23" s="87" t="str">
        <f t="shared" si="1"/>
        <v/>
      </c>
      <c r="H23" s="69"/>
      <c r="I23" s="61"/>
      <c r="J23" s="87" t="str">
        <f t="shared" si="2"/>
        <v/>
      </c>
    </row>
    <row r="24" spans="1:10" ht="18" customHeight="1" x14ac:dyDescent="0.2">
      <c r="A24" s="77" t="str">
        <f>IF($C$9="Data Not Entered On Set-Up Worksheet","",IF(OR(VLOOKUP($C$9,County_Lookup,10,FALSE)="",VLOOKUP($C$9,County_Lookup,10,FALSE)=0),"",VLOOKUP($C$9,County_Lookup,10,FALSE)))</f>
        <v/>
      </c>
      <c r="B24" s="222"/>
      <c r="C24" s="61"/>
      <c r="D24" s="87" t="str">
        <f t="shared" si="0"/>
        <v/>
      </c>
      <c r="E24" s="69"/>
      <c r="F24" s="61"/>
      <c r="G24" s="87" t="str">
        <f t="shared" si="1"/>
        <v/>
      </c>
      <c r="H24" s="69"/>
      <c r="I24" s="61"/>
      <c r="J24" s="87" t="str">
        <f t="shared" si="2"/>
        <v/>
      </c>
    </row>
    <row r="25" spans="1:10" ht="18" customHeight="1" x14ac:dyDescent="0.2">
      <c r="A25" s="77" t="str">
        <f>IF($C$9="Data Not Entered On Set-Up Worksheet","",IF(OR(VLOOKUP($C$9,County_Lookup,11,FALSE)="",VLOOKUP($C$9,County_Lookup,11,FALSE)=0),"",VLOOKUP($C$9,County_Lookup,11,FALSE)))</f>
        <v/>
      </c>
      <c r="B25" s="222"/>
      <c r="C25" s="61"/>
      <c r="D25" s="87" t="str">
        <f t="shared" si="0"/>
        <v/>
      </c>
      <c r="E25" s="69"/>
      <c r="F25" s="61"/>
      <c r="G25" s="87" t="str">
        <f t="shared" si="1"/>
        <v/>
      </c>
      <c r="H25" s="69"/>
      <c r="I25" s="61"/>
      <c r="J25" s="87" t="str">
        <f t="shared" si="2"/>
        <v/>
      </c>
    </row>
    <row r="26" spans="1:10" ht="18" customHeight="1" x14ac:dyDescent="0.2">
      <c r="A26" s="77" t="str">
        <f>IF($C$9="Data Not Entered On Set-Up Worksheet","",IF(OR(VLOOKUP($C$9,County_Lookup,12,FALSE)="",VLOOKUP($C$9,County_Lookup,12,FALSE)=0),"",VLOOKUP($C$9,County_Lookup,12,FALSE)))</f>
        <v/>
      </c>
      <c r="B26" s="222"/>
      <c r="C26" s="61"/>
      <c r="D26" s="87" t="str">
        <f t="shared" si="0"/>
        <v/>
      </c>
      <c r="E26" s="69"/>
      <c r="F26" s="61"/>
      <c r="G26" s="87" t="str">
        <f t="shared" si="1"/>
        <v/>
      </c>
      <c r="H26" s="69"/>
      <c r="I26" s="61"/>
      <c r="J26" s="87" t="str">
        <f t="shared" si="2"/>
        <v/>
      </c>
    </row>
    <row r="27" spans="1:10" ht="18" customHeight="1" x14ac:dyDescent="0.2">
      <c r="A27" s="77" t="str">
        <f>IF($C$9="Data Not Entered On Set-Up Worksheet","",IF(OR(VLOOKUP($C$9,County_Lookup,13,FALSE)="",VLOOKUP($C$9,County_Lookup,13,FALSE)=0),"",VLOOKUP($C$9,County_Lookup,13,FALSE)))</f>
        <v/>
      </c>
      <c r="B27" s="222"/>
      <c r="C27" s="61"/>
      <c r="D27" s="87" t="str">
        <f t="shared" si="0"/>
        <v/>
      </c>
      <c r="E27" s="69"/>
      <c r="F27" s="61"/>
      <c r="G27" s="87" t="str">
        <f t="shared" si="1"/>
        <v/>
      </c>
      <c r="H27" s="69"/>
      <c r="I27" s="61"/>
      <c r="J27" s="87" t="str">
        <f t="shared" si="2"/>
        <v/>
      </c>
    </row>
    <row r="28" spans="1:10" ht="18" customHeight="1" x14ac:dyDescent="0.2">
      <c r="A28" s="77" t="str">
        <f>IF($C$9="Data Not Entered On Set-Up Worksheet","",IF(OR(VLOOKUP($C$9,County_Lookup,14,FALSE)="",VLOOKUP($C$9,County_Lookup,14,FALSE)=0),"",VLOOKUP($C$9,County_Lookup,14,FALSE)))</f>
        <v/>
      </c>
      <c r="B28" s="222"/>
      <c r="C28" s="61"/>
      <c r="D28" s="87" t="str">
        <f t="shared" si="0"/>
        <v/>
      </c>
      <c r="E28" s="69"/>
      <c r="F28" s="61"/>
      <c r="G28" s="87" t="str">
        <f t="shared" si="1"/>
        <v/>
      </c>
      <c r="H28" s="69"/>
      <c r="I28" s="61"/>
      <c r="J28" s="87" t="str">
        <f t="shared" si="2"/>
        <v/>
      </c>
    </row>
    <row r="29" spans="1:10" ht="18" customHeight="1" x14ac:dyDescent="0.2">
      <c r="A29" s="76" t="str">
        <f>IF($C$9="Data Not Entered On Set-Up Worksheet","",IF(OR(VLOOKUP($C$9,County_Lookup,15,FALSE)="",VLOOKUP($C$9,County_Lookup,15,FALSE)=0),"",VLOOKUP($C$9,County_Lookup,15,FALSE)))</f>
        <v/>
      </c>
      <c r="B29" s="222"/>
      <c r="C29" s="61"/>
      <c r="D29" s="87" t="str">
        <f t="shared" si="0"/>
        <v/>
      </c>
      <c r="E29" s="69"/>
      <c r="F29" s="61"/>
      <c r="G29" s="87" t="str">
        <f t="shared" si="1"/>
        <v/>
      </c>
      <c r="H29" s="69"/>
      <c r="I29" s="61"/>
      <c r="J29" s="87" t="str">
        <f t="shared" si="2"/>
        <v/>
      </c>
    </row>
    <row r="30" spans="1:10" ht="18" customHeight="1" x14ac:dyDescent="0.2">
      <c r="A30" s="77" t="str">
        <f>IF($C$9="Data Not Entered On Set-Up Worksheet","",IF(OR(VLOOKUP($C$9,County_Lookup,16,FALSE)="",VLOOKUP($C$9,County_Lookup,16,FALSE)=0),"",VLOOKUP($C$9,County_Lookup,16,FALSE)))</f>
        <v/>
      </c>
      <c r="B30" s="222"/>
      <c r="C30" s="61"/>
      <c r="D30" s="87" t="str">
        <f t="shared" si="0"/>
        <v/>
      </c>
      <c r="E30" s="69"/>
      <c r="F30" s="61"/>
      <c r="G30" s="87" t="str">
        <f t="shared" si="1"/>
        <v/>
      </c>
      <c r="H30" s="69"/>
      <c r="I30" s="61"/>
      <c r="J30" s="87" t="str">
        <f t="shared" si="2"/>
        <v/>
      </c>
    </row>
    <row r="31" spans="1:10" ht="18" customHeight="1" x14ac:dyDescent="0.2">
      <c r="A31" s="77" t="str">
        <f>IF($C$9="Data Not Entered On Set-Up Worksheet","",IF(OR(VLOOKUP($C$9,County_Lookup,17,FALSE)="",VLOOKUP($C$9,County_Lookup,17,FALSE)=0),"",VLOOKUP($C$9,County_Lookup,17,FALSE)))</f>
        <v/>
      </c>
      <c r="B31" s="222"/>
      <c r="C31" s="61"/>
      <c r="D31" s="87" t="str">
        <f t="shared" si="0"/>
        <v/>
      </c>
      <c r="E31" s="69"/>
      <c r="F31" s="61"/>
      <c r="G31" s="87" t="str">
        <f t="shared" si="1"/>
        <v/>
      </c>
      <c r="H31" s="69"/>
      <c r="I31" s="61"/>
      <c r="J31" s="87" t="str">
        <f t="shared" si="2"/>
        <v/>
      </c>
    </row>
    <row r="32" spans="1:10" ht="18" customHeight="1" x14ac:dyDescent="0.2">
      <c r="A32" s="77" t="str">
        <f>IF($C$9="Data Not Entered On Set-Up Worksheet","",IF(OR(VLOOKUP($C$9,County_Lookup,18,FALSE)="",VLOOKUP($C$9,County_Lookup,18,FALSE)=0),"",VLOOKUP($C$9,County_Lookup,18,FALSE)))</f>
        <v/>
      </c>
      <c r="B32" s="222"/>
      <c r="C32" s="61"/>
      <c r="D32" s="87" t="str">
        <f t="shared" si="0"/>
        <v/>
      </c>
      <c r="E32" s="69"/>
      <c r="F32" s="61"/>
      <c r="G32" s="87" t="str">
        <f t="shared" si="1"/>
        <v/>
      </c>
      <c r="H32" s="69"/>
      <c r="I32" s="61"/>
      <c r="J32" s="87" t="str">
        <f t="shared" si="2"/>
        <v/>
      </c>
    </row>
    <row r="33" spans="1:10" ht="18" customHeight="1" x14ac:dyDescent="0.2">
      <c r="A33" s="77" t="str">
        <f>IF($C$9="Data Not Entered On Set-Up Worksheet","",IF(OR(VLOOKUP($C$9,County_Lookup,19,FALSE)="",VLOOKUP($C$9,County_Lookup,19,FALSE)=0),"",VLOOKUP($C$9,County_Lookup,19,FALSE)))</f>
        <v/>
      </c>
      <c r="B33" s="222"/>
      <c r="C33" s="61"/>
      <c r="D33" s="87" t="str">
        <f t="shared" si="0"/>
        <v/>
      </c>
      <c r="E33" s="69"/>
      <c r="F33" s="61"/>
      <c r="G33" s="87" t="str">
        <f t="shared" si="1"/>
        <v/>
      </c>
      <c r="H33" s="69"/>
      <c r="I33" s="61"/>
      <c r="J33" s="87" t="str">
        <f t="shared" si="2"/>
        <v/>
      </c>
    </row>
    <row r="34" spans="1:10" ht="18" customHeight="1" x14ac:dyDescent="0.2">
      <c r="A34" s="77" t="str">
        <f>IF($C$9="Data Not Entered On Set-Up Worksheet","",IF(OR(VLOOKUP($C$9,County_Lookup,20,FALSE)="",VLOOKUP($C$9,County_Lookup,20,FALSE)=0),"",VLOOKUP($C$9,County_Lookup,20,FALSE)))</f>
        <v/>
      </c>
      <c r="B34" s="222"/>
      <c r="C34" s="61"/>
      <c r="D34" s="87" t="str">
        <f t="shared" si="0"/>
        <v/>
      </c>
      <c r="E34" s="69"/>
      <c r="F34" s="61"/>
      <c r="G34" s="87" t="str">
        <f t="shared" si="1"/>
        <v/>
      </c>
      <c r="H34" s="69"/>
      <c r="I34" s="61"/>
      <c r="J34" s="87" t="str">
        <f t="shared" si="2"/>
        <v/>
      </c>
    </row>
    <row r="35" spans="1:10" ht="18" customHeight="1" x14ac:dyDescent="0.2">
      <c r="A35" s="77" t="str">
        <f>IF($C$9="Data Not Entered On Set-Up Worksheet","",IF(OR(VLOOKUP($C$9,County_Lookup,21,FALSE)="",VLOOKUP($C$9,County_Lookup,21,FALSE)=0),"",VLOOKUP($C$9,County_Lookup,21,FALSE)))</f>
        <v/>
      </c>
      <c r="B35" s="222"/>
      <c r="C35" s="61"/>
      <c r="D35" s="87" t="str">
        <f t="shared" si="0"/>
        <v/>
      </c>
      <c r="E35" s="69"/>
      <c r="F35" s="61"/>
      <c r="G35" s="87" t="str">
        <f t="shared" si="1"/>
        <v/>
      </c>
      <c r="H35" s="69"/>
      <c r="I35" s="61"/>
      <c r="J35" s="87" t="str">
        <f t="shared" si="2"/>
        <v/>
      </c>
    </row>
    <row r="36" spans="1:10" ht="18" customHeight="1" x14ac:dyDescent="0.2">
      <c r="A36" s="76" t="str">
        <f>IF($C$9="Data Not Entered On Set-Up Worksheet","",IF(OR(VLOOKUP($C$9,County_Lookup,22,FALSE)="",VLOOKUP($C$9,County_Lookup,22,FALSE)=0),"",VLOOKUP($C$9,County_Lookup,22,FALSE)))</f>
        <v/>
      </c>
      <c r="B36" s="222"/>
      <c r="C36" s="61"/>
      <c r="D36" s="87" t="str">
        <f t="shared" si="0"/>
        <v/>
      </c>
      <c r="E36" s="69"/>
      <c r="F36" s="61"/>
      <c r="G36" s="87" t="str">
        <f t="shared" si="1"/>
        <v/>
      </c>
      <c r="H36" s="69"/>
      <c r="I36" s="61"/>
      <c r="J36" s="87" t="str">
        <f t="shared" si="2"/>
        <v/>
      </c>
    </row>
    <row r="37" spans="1:10" ht="18" customHeight="1" x14ac:dyDescent="0.2">
      <c r="A37" s="77" t="str">
        <f>IF($C$9="Data Not Entered On Set-Up Worksheet","",IF(OR(VLOOKUP($C$9,County_Lookup,23,FALSE)="",VLOOKUP($C$9,County_Lookup,23,FALSE)=0),"",VLOOKUP($C$9,County_Lookup,23,FALSE)))</f>
        <v/>
      </c>
      <c r="B37" s="222"/>
      <c r="C37" s="61"/>
      <c r="D37" s="87" t="str">
        <f t="shared" si="0"/>
        <v/>
      </c>
      <c r="E37" s="69"/>
      <c r="F37" s="61"/>
      <c r="G37" s="87" t="str">
        <f t="shared" si="1"/>
        <v/>
      </c>
      <c r="H37" s="69"/>
      <c r="I37" s="61"/>
      <c r="J37" s="87" t="str">
        <f t="shared" si="2"/>
        <v/>
      </c>
    </row>
    <row r="38" spans="1:10" ht="18" customHeight="1" x14ac:dyDescent="0.2">
      <c r="A38" s="77" t="str">
        <f>IF($C$9="Data Not Entered On Set-Up Worksheet","",IF(OR(VLOOKUP($C$9,County_Lookup,24,FALSE)="",VLOOKUP($C$9,County_Lookup,24,FALSE)=0),"",VLOOKUP($C$9,County_Lookup,24,FALSE)))</f>
        <v/>
      </c>
      <c r="B38" s="222"/>
      <c r="C38" s="61"/>
      <c r="D38" s="87" t="str">
        <f t="shared" ref="D38:D40" si="3">IF($A38="","",IF($C38=0,0,B38/$C38))</f>
        <v/>
      </c>
      <c r="E38" s="69"/>
      <c r="F38" s="61"/>
      <c r="G38" s="87" t="str">
        <f t="shared" ref="G38:G40" si="4">IF($A38="","",IF($F38=0,0,E38/$F38))</f>
        <v/>
      </c>
      <c r="H38" s="69"/>
      <c r="I38" s="61"/>
      <c r="J38" s="87" t="str">
        <f t="shared" ref="J38:J40" si="5">IF($A38="","",IF($I38=0,0,H38/$I38))</f>
        <v/>
      </c>
    </row>
    <row r="39" spans="1:10" ht="18" customHeight="1" x14ac:dyDescent="0.2">
      <c r="A39" s="77" t="str">
        <f>IF($C$9="Data Not Entered On Set-Up Worksheet","",IF(OR(VLOOKUP($C$9,County_Lookup,25,FALSE)="",VLOOKUP($C$9,County_Lookup,25,FALSE)=0),"",VLOOKUP($C$9,County_Lookup,25,FALSE)))</f>
        <v/>
      </c>
      <c r="B39" s="222"/>
      <c r="C39" s="61"/>
      <c r="D39" s="87" t="str">
        <f t="shared" si="3"/>
        <v/>
      </c>
      <c r="E39" s="69"/>
      <c r="F39" s="61"/>
      <c r="G39" s="87" t="str">
        <f t="shared" si="4"/>
        <v/>
      </c>
      <c r="H39" s="69"/>
      <c r="I39" s="61"/>
      <c r="J39" s="87" t="str">
        <f t="shared" si="5"/>
        <v/>
      </c>
    </row>
    <row r="40" spans="1:10" ht="18" customHeight="1" x14ac:dyDescent="0.2">
      <c r="A40" s="77" t="str">
        <f>IF($C$9="Data Not Entered On Set-Up Worksheet","",IF(OR(VLOOKUP($C$9,County_Lookup,26,FALSE)="",VLOOKUP($C$9,County_Lookup,26,FALSE)=0),"",VLOOKUP($C$9,County_Lookup,26,FALSE)))</f>
        <v/>
      </c>
      <c r="B40" s="222"/>
      <c r="C40" s="61"/>
      <c r="D40" s="87" t="str">
        <f t="shared" si="3"/>
        <v/>
      </c>
      <c r="E40" s="69"/>
      <c r="F40" s="61"/>
      <c r="G40" s="87" t="str">
        <f t="shared" si="4"/>
        <v/>
      </c>
      <c r="H40" s="69"/>
      <c r="I40" s="61"/>
      <c r="J40" s="87" t="str">
        <f t="shared" si="5"/>
        <v/>
      </c>
    </row>
    <row r="41" spans="1:10" ht="18" customHeight="1" x14ac:dyDescent="0.2">
      <c r="A41" s="77" t="str">
        <f>IF($C$9="Data Not Entered On Set-Up Worksheet","",IF(OR(VLOOKUP($C$9,County_Lookup,27,FALSE)="",VLOOKUP($C$9,County_Lookup,27,FALSE)=0),"",VLOOKUP($C$9,County_Lookup,27,FALSE)))</f>
        <v/>
      </c>
      <c r="B41" s="222"/>
      <c r="C41" s="61"/>
      <c r="D41" s="87" t="str">
        <f t="shared" si="0"/>
        <v/>
      </c>
      <c r="E41" s="69"/>
      <c r="F41" s="61"/>
      <c r="G41" s="87" t="str">
        <f t="shared" si="1"/>
        <v/>
      </c>
      <c r="H41" s="69"/>
      <c r="I41" s="61"/>
      <c r="J41" s="87" t="str">
        <f t="shared" si="2"/>
        <v/>
      </c>
    </row>
    <row r="42" spans="1:10" ht="18" customHeight="1" thickBot="1" x14ac:dyDescent="0.25">
      <c r="A42" s="78" t="s">
        <v>0</v>
      </c>
      <c r="B42" s="223">
        <f t="shared" ref="B42" si="6">SUM(B16:B41)</f>
        <v>0</v>
      </c>
      <c r="C42" s="72">
        <f>SUM(C16:C41)</f>
        <v>0</v>
      </c>
      <c r="D42" s="53">
        <f t="shared" si="0"/>
        <v>0</v>
      </c>
      <c r="E42" s="334">
        <f t="shared" ref="E42" si="7">SUM(E16:E41)</f>
        <v>0</v>
      </c>
      <c r="F42" s="72">
        <f>SUM(F16:F41)</f>
        <v>0</v>
      </c>
      <c r="G42" s="53">
        <f t="shared" si="1"/>
        <v>0</v>
      </c>
      <c r="H42" s="334">
        <f t="shared" ref="H42" si="8">SUM(H16:H41)</f>
        <v>0</v>
      </c>
      <c r="I42" s="72">
        <f>SUM(I16:I41)</f>
        <v>0</v>
      </c>
      <c r="J42" s="53">
        <f t="shared" si="2"/>
        <v>0</v>
      </c>
    </row>
  </sheetData>
  <sheetProtection sheet="1" objects="1" scenarios="1"/>
  <conditionalFormatting sqref="C3:D4 C9:D9 C11:D12">
    <cfRule type="expression" dxfId="383" priority="17">
      <formula>C3="Data Not Entered On Set-Up Worksheet"</formula>
    </cfRule>
  </conditionalFormatting>
  <conditionalFormatting sqref="B16:C38 E16:F38 H16:I38 H41:I41 E41:F41 B41:C41">
    <cfRule type="expression" dxfId="382" priority="16">
      <formula>AND($A16&lt;&gt;"",B16="")</formula>
    </cfRule>
  </conditionalFormatting>
  <conditionalFormatting sqref="G3:G4 G9 G11:G12">
    <cfRule type="expression" dxfId="381" priority="15">
      <formula>G3="Data Not Entered On Set-Up Worksheet"</formula>
    </cfRule>
  </conditionalFormatting>
  <conditionalFormatting sqref="J3:J4 J9 J11:J12">
    <cfRule type="expression" dxfId="380" priority="13">
      <formula>J3="Data Not Entered On Set-Up Worksheet"</formula>
    </cfRule>
  </conditionalFormatting>
  <conditionalFormatting sqref="F9:F10">
    <cfRule type="expression" dxfId="379" priority="11">
      <formula>F9="Data Not Entered On Set-Up Worksheet"</formula>
    </cfRule>
  </conditionalFormatting>
  <conditionalFormatting sqref="B16:C38 B41:C41">
    <cfRule type="expression" dxfId="378" priority="5">
      <formula>$A16="Other"</formula>
    </cfRule>
  </conditionalFormatting>
  <conditionalFormatting sqref="H39:I39 E39:F39 B39:C39">
    <cfRule type="expression" dxfId="377" priority="4">
      <formula>AND($A39&lt;&gt;"",B39="")</formula>
    </cfRule>
  </conditionalFormatting>
  <conditionalFormatting sqref="B39:C39">
    <cfRule type="expression" dxfId="376" priority="3">
      <formula>$A39="Other"</formula>
    </cfRule>
  </conditionalFormatting>
  <conditionalFormatting sqref="H40:I40 E40:F40 B40:C40">
    <cfRule type="expression" dxfId="375" priority="2">
      <formula>AND($A40&lt;&gt;"",B40="")</formula>
    </cfRule>
  </conditionalFormatting>
  <conditionalFormatting sqref="B40:C40">
    <cfRule type="expression" dxfId="374" priority="1">
      <formula>$A40="Other"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2"/>
  <sheetViews>
    <sheetView showGridLines="0" workbookViewId="0">
      <pane ySplit="15" topLeftCell="A16" activePane="bottomLeft" state="frozen"/>
      <selection activeCell="E7" sqref="E7:I7"/>
      <selection pane="bottomLeft" activeCell="B16" sqref="B16"/>
    </sheetView>
  </sheetViews>
  <sheetFormatPr defaultRowHeight="12.75" x14ac:dyDescent="0.2"/>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x14ac:dyDescent="0.2">
      <c r="A1" s="36" t="s">
        <v>28</v>
      </c>
      <c r="E1" s="30"/>
      <c r="H1" s="30"/>
    </row>
    <row r="2" spans="1:22" ht="15" customHeight="1" x14ac:dyDescent="0.2">
      <c r="A2" s="36" t="s">
        <v>196</v>
      </c>
      <c r="E2" s="321"/>
      <c r="H2" s="321"/>
    </row>
    <row r="3" spans="1:22" ht="15" customHeight="1" x14ac:dyDescent="0.2">
      <c r="A3" s="30" t="s">
        <v>194</v>
      </c>
      <c r="C3" s="147">
        <f>IF('Set-Up Worksheet'!F3="","Data Not Entered On Set-Up Worksheet",'Set-Up Worksheet'!F3)</f>
        <v>2018</v>
      </c>
      <c r="D3" s="147"/>
      <c r="G3" s="147"/>
      <c r="J3" s="147"/>
    </row>
    <row r="4" spans="1:22" ht="15" customHeight="1" x14ac:dyDescent="0.2">
      <c r="A4" s="30" t="s">
        <v>195</v>
      </c>
      <c r="C4" s="147" t="str">
        <f>IF('Set-Up Worksheet'!F4="","Data Not Entered On Set-Up Worksheet",'Set-Up Worksheet'!F4)</f>
        <v>1st Quarter</v>
      </c>
      <c r="D4" s="147"/>
      <c r="G4" s="147"/>
      <c r="J4" s="147"/>
    </row>
    <row r="5" spans="1:22" ht="15" customHeight="1" x14ac:dyDescent="0.2">
      <c r="A5" s="30"/>
      <c r="C5" s="32"/>
      <c r="D5" s="32"/>
      <c r="G5" s="32"/>
      <c r="J5" s="32"/>
    </row>
    <row r="6" spans="1:22" ht="15" customHeight="1" x14ac:dyDescent="0.2">
      <c r="A6" s="30" t="s">
        <v>337</v>
      </c>
      <c r="C6" s="32"/>
      <c r="D6" s="32"/>
      <c r="E6" s="30"/>
      <c r="G6" s="32"/>
      <c r="H6" s="30"/>
      <c r="J6" s="32"/>
    </row>
    <row r="7" spans="1:22" ht="15" customHeight="1" x14ac:dyDescent="0.2">
      <c r="A7" s="31" t="s">
        <v>389</v>
      </c>
      <c r="C7" s="32"/>
      <c r="D7" s="32"/>
      <c r="E7" s="30"/>
      <c r="G7" s="32"/>
      <c r="H7" s="30"/>
      <c r="J7" s="32"/>
    </row>
    <row r="8" spans="1:22" ht="15" customHeight="1" x14ac:dyDescent="0.2">
      <c r="A8" s="30"/>
      <c r="C8" s="32"/>
      <c r="D8" s="32"/>
      <c r="G8" s="32"/>
      <c r="J8" s="32"/>
      <c r="N8" s="54"/>
      <c r="O8" s="54"/>
      <c r="P8" s="55"/>
      <c r="Q8" s="54"/>
      <c r="R8" s="54"/>
      <c r="S8" s="54"/>
      <c r="T8" s="54"/>
      <c r="U8" s="30"/>
      <c r="V8" s="35"/>
    </row>
    <row r="9" spans="1:22" ht="15" customHeight="1" x14ac:dyDescent="0.2">
      <c r="A9" s="30" t="s">
        <v>29</v>
      </c>
      <c r="C9" s="39" t="str">
        <f>IF('Set-Up Worksheet'!E7="","Data Not Entered On Set-Up Worksheet",'Set-Up Worksheet'!E7)</f>
        <v>Data Not Entered On Set-Up Worksheet</v>
      </c>
      <c r="D9" s="39"/>
      <c r="F9" s="79" t="s">
        <v>444</v>
      </c>
      <c r="G9" s="39"/>
      <c r="J9" s="39"/>
    </row>
    <row r="10" spans="1:22" ht="15" customHeight="1" x14ac:dyDescent="0.2">
      <c r="A10" s="30" t="s">
        <v>9</v>
      </c>
      <c r="C10" s="32" t="s">
        <v>10</v>
      </c>
      <c r="D10" s="32"/>
      <c r="F10" s="79"/>
      <c r="G10" s="32"/>
      <c r="J10" s="32"/>
    </row>
    <row r="11" spans="1:22" ht="15" customHeight="1" x14ac:dyDescent="0.2">
      <c r="A11" s="30" t="s">
        <v>197</v>
      </c>
      <c r="C11" s="40" t="str">
        <f>IF(C4="Data Not Entered On Set-Up Worksheet","Data Not Entered On Set-Up Worksheet",IF(C4="1st Quarter",'Report Schedule'!D43,IF(C4="2nd Quarter",'Report Schedule'!E43,IF(C4="3rd Quarter",'Report Schedule'!F43,IF(C4="4th Quarter",'Report Schedule'!G43,"")))))</f>
        <v>Apr - Jun 2017</v>
      </c>
      <c r="D11" s="40"/>
      <c r="G11" s="40"/>
      <c r="J11" s="40"/>
    </row>
    <row r="12" spans="1:22" ht="15" customHeight="1" thickBot="1" x14ac:dyDescent="0.25">
      <c r="A12" s="30"/>
      <c r="C12" s="40"/>
      <c r="D12" s="40"/>
      <c r="G12" s="40"/>
      <c r="J12" s="40"/>
    </row>
    <row r="13" spans="1:22" ht="18" customHeight="1" thickBot="1" x14ac:dyDescent="0.25">
      <c r="A13" s="226" t="s">
        <v>327</v>
      </c>
      <c r="B13" s="384" t="s">
        <v>39</v>
      </c>
      <c r="C13" s="235"/>
      <c r="D13" s="236"/>
      <c r="E13" s="383" t="s">
        <v>241</v>
      </c>
      <c r="F13" s="231"/>
      <c r="G13" s="232"/>
      <c r="H13" s="384" t="s">
        <v>243</v>
      </c>
      <c r="I13" s="235"/>
      <c r="J13" s="236"/>
    </row>
    <row r="14" spans="1:22" s="35" customFormat="1" ht="13.5" thickBot="1" x14ac:dyDescent="0.25">
      <c r="A14" s="30"/>
      <c r="B14" s="45" t="s">
        <v>3</v>
      </c>
      <c r="C14" s="57" t="s">
        <v>4</v>
      </c>
      <c r="D14" s="57" t="s">
        <v>8</v>
      </c>
      <c r="E14" s="45" t="s">
        <v>3</v>
      </c>
      <c r="F14" s="57" t="s">
        <v>4</v>
      </c>
      <c r="G14" s="57" t="s">
        <v>8</v>
      </c>
      <c r="H14" s="45" t="s">
        <v>3</v>
      </c>
      <c r="I14" s="57" t="s">
        <v>4</v>
      </c>
      <c r="J14" s="57" t="s">
        <v>8</v>
      </c>
      <c r="K14" s="33"/>
      <c r="L14" s="30"/>
      <c r="M14" s="30"/>
      <c r="N14" s="30"/>
      <c r="O14" s="30"/>
      <c r="P14" s="30"/>
    </row>
    <row r="15" spans="1:22" ht="38.25" x14ac:dyDescent="0.2">
      <c r="A15" s="75" t="s">
        <v>43</v>
      </c>
      <c r="B15" s="242" t="s">
        <v>31</v>
      </c>
      <c r="C15" s="240" t="s">
        <v>30</v>
      </c>
      <c r="D15" s="241" t="s">
        <v>32</v>
      </c>
      <c r="E15" s="333" t="s">
        <v>31</v>
      </c>
      <c r="F15" s="67" t="s">
        <v>30</v>
      </c>
      <c r="G15" s="68" t="s">
        <v>32</v>
      </c>
      <c r="H15" s="335" t="s">
        <v>31</v>
      </c>
      <c r="I15" s="240" t="s">
        <v>30</v>
      </c>
      <c r="J15" s="241" t="s">
        <v>32</v>
      </c>
    </row>
    <row r="16" spans="1:22" ht="18" customHeight="1" x14ac:dyDescent="0.2">
      <c r="A16" s="76" t="str">
        <f>IF($C$9="Data Not Entered On Set-Up Worksheet","",IF(OR(VLOOKUP($C$9,County_Lookup,2,FALSE)="",VLOOKUP($C$9,County_Lookup,2,FALSE)=0),"",VLOOKUP($C$9,County_Lookup,2,FALSE)))</f>
        <v/>
      </c>
      <c r="B16" s="222"/>
      <c r="C16" s="61"/>
      <c r="D16" s="87" t="str">
        <f t="shared" ref="D16:D42" si="0">IF($A16="","",IF($C16=0,0,B16/$C16))</f>
        <v/>
      </c>
      <c r="E16" s="69"/>
      <c r="F16" s="61"/>
      <c r="G16" s="87" t="str">
        <f t="shared" ref="G16:G42" si="1">IF($A16="","",IF($F16=0,0,E16/$F16))</f>
        <v/>
      </c>
      <c r="H16" s="69"/>
      <c r="I16" s="61"/>
      <c r="J16" s="87" t="str">
        <f t="shared" ref="J16:J42" si="2">IF($A16="","",IF($I16=0,0,H16/$I16))</f>
        <v/>
      </c>
    </row>
    <row r="17" spans="1:10" ht="18" customHeight="1" x14ac:dyDescent="0.2">
      <c r="A17" s="77" t="str">
        <f>IF($C$9="Data Not Entered On Set-Up Worksheet","",IF(OR(VLOOKUP($C$9,County_Lookup,3,FALSE)="",VLOOKUP($C$9,County_Lookup,3,FALSE)=0),"",VLOOKUP($C$9,County_Lookup,3,FALSE)))</f>
        <v/>
      </c>
      <c r="B17" s="222"/>
      <c r="C17" s="61"/>
      <c r="D17" s="87" t="str">
        <f t="shared" si="0"/>
        <v/>
      </c>
      <c r="E17" s="69"/>
      <c r="F17" s="61"/>
      <c r="G17" s="87" t="str">
        <f t="shared" si="1"/>
        <v/>
      </c>
      <c r="H17" s="69"/>
      <c r="I17" s="61"/>
      <c r="J17" s="87" t="str">
        <f t="shared" si="2"/>
        <v/>
      </c>
    </row>
    <row r="18" spans="1:10" ht="18" customHeight="1" x14ac:dyDescent="0.2">
      <c r="A18" s="77" t="str">
        <f>IF($C$9="Data Not Entered On Set-Up Worksheet","",IF(OR(VLOOKUP($C$9,County_Lookup,4,FALSE)="",VLOOKUP($C$9,County_Lookup,4,FALSE)=0),"",VLOOKUP($C$9,County_Lookup,4,FALSE)))</f>
        <v/>
      </c>
      <c r="B18" s="222"/>
      <c r="C18" s="61"/>
      <c r="D18" s="87" t="str">
        <f t="shared" si="0"/>
        <v/>
      </c>
      <c r="E18" s="69"/>
      <c r="F18" s="61"/>
      <c r="G18" s="87" t="str">
        <f t="shared" si="1"/>
        <v/>
      </c>
      <c r="H18" s="69"/>
      <c r="I18" s="61"/>
      <c r="J18" s="87" t="str">
        <f t="shared" si="2"/>
        <v/>
      </c>
    </row>
    <row r="19" spans="1:10" ht="18" customHeight="1" x14ac:dyDescent="0.2">
      <c r="A19" s="77" t="str">
        <f>IF($C$9="Data Not Entered On Set-Up Worksheet","",IF(OR(VLOOKUP($C$9,County_Lookup,5,FALSE)="",VLOOKUP($C$9,County_Lookup,5,FALSE)=0),"",VLOOKUP($C$9,County_Lookup,5,FALSE)))</f>
        <v/>
      </c>
      <c r="B19" s="222"/>
      <c r="C19" s="61"/>
      <c r="D19" s="87" t="str">
        <f t="shared" si="0"/>
        <v/>
      </c>
      <c r="E19" s="69"/>
      <c r="F19" s="61"/>
      <c r="G19" s="87" t="str">
        <f t="shared" si="1"/>
        <v/>
      </c>
      <c r="H19" s="69"/>
      <c r="I19" s="61"/>
      <c r="J19" s="87" t="str">
        <f t="shared" si="2"/>
        <v/>
      </c>
    </row>
    <row r="20" spans="1:10" ht="18" customHeight="1" x14ac:dyDescent="0.2">
      <c r="A20" s="77" t="str">
        <f>IF($C$9="Data Not Entered On Set-Up Worksheet","",IF(OR(VLOOKUP($C$9,County_Lookup,6,FALSE)="",VLOOKUP($C$9,County_Lookup,6,FALSE)=0),"",VLOOKUP($C$9,County_Lookup,6,FALSE)))</f>
        <v/>
      </c>
      <c r="B20" s="222"/>
      <c r="C20" s="61"/>
      <c r="D20" s="87" t="str">
        <f t="shared" si="0"/>
        <v/>
      </c>
      <c r="E20" s="69"/>
      <c r="F20" s="61"/>
      <c r="G20" s="87" t="str">
        <f t="shared" si="1"/>
        <v/>
      </c>
      <c r="H20" s="69"/>
      <c r="I20" s="61"/>
      <c r="J20" s="87" t="str">
        <f t="shared" si="2"/>
        <v/>
      </c>
    </row>
    <row r="21" spans="1:10" ht="18" customHeight="1" x14ac:dyDescent="0.2">
      <c r="A21" s="77" t="str">
        <f>IF($C$9="Data Not Entered On Set-Up Worksheet","",IF(OR(VLOOKUP($C$9,County_Lookup,7,FALSE)="",VLOOKUP($C$9,County_Lookup,7,FALSE)=0),"",VLOOKUP($C$9,County_Lookup,7,FALSE)))</f>
        <v/>
      </c>
      <c r="B21" s="222"/>
      <c r="C21" s="61"/>
      <c r="D21" s="87" t="str">
        <f t="shared" si="0"/>
        <v/>
      </c>
      <c r="E21" s="69"/>
      <c r="F21" s="61"/>
      <c r="G21" s="87" t="str">
        <f t="shared" si="1"/>
        <v/>
      </c>
      <c r="H21" s="69"/>
      <c r="I21" s="61"/>
      <c r="J21" s="87" t="str">
        <f t="shared" si="2"/>
        <v/>
      </c>
    </row>
    <row r="22" spans="1:10" ht="18" customHeight="1" x14ac:dyDescent="0.2">
      <c r="A22" s="76" t="str">
        <f>IF($C$9="Data Not Entered On Set-Up Worksheet","",IF(OR(VLOOKUP($C$9,County_Lookup,8,FALSE)="",VLOOKUP($C$9,County_Lookup,8,FALSE)=0),"",VLOOKUP($C$9,County_Lookup,8,FALSE)))</f>
        <v/>
      </c>
      <c r="B22" s="222"/>
      <c r="C22" s="61"/>
      <c r="D22" s="87" t="str">
        <f t="shared" si="0"/>
        <v/>
      </c>
      <c r="E22" s="69"/>
      <c r="F22" s="61"/>
      <c r="G22" s="87" t="str">
        <f t="shared" si="1"/>
        <v/>
      </c>
      <c r="H22" s="69"/>
      <c r="I22" s="61"/>
      <c r="J22" s="87" t="str">
        <f t="shared" si="2"/>
        <v/>
      </c>
    </row>
    <row r="23" spans="1:10" ht="18" customHeight="1" x14ac:dyDescent="0.2">
      <c r="A23" s="77" t="str">
        <f>IF($C$9="Data Not Entered On Set-Up Worksheet","",IF(OR(VLOOKUP($C$9,County_Lookup,9,FALSE)="",VLOOKUP($C$9,County_Lookup,9,FALSE)=0),"",VLOOKUP($C$9,County_Lookup,9,FALSE)))</f>
        <v/>
      </c>
      <c r="B23" s="222"/>
      <c r="C23" s="61"/>
      <c r="D23" s="87" t="str">
        <f t="shared" si="0"/>
        <v/>
      </c>
      <c r="E23" s="69"/>
      <c r="F23" s="61"/>
      <c r="G23" s="87" t="str">
        <f t="shared" si="1"/>
        <v/>
      </c>
      <c r="H23" s="69"/>
      <c r="I23" s="61"/>
      <c r="J23" s="87" t="str">
        <f t="shared" si="2"/>
        <v/>
      </c>
    </row>
    <row r="24" spans="1:10" ht="18" customHeight="1" x14ac:dyDescent="0.2">
      <c r="A24" s="77" t="str">
        <f>IF($C$9="Data Not Entered On Set-Up Worksheet","",IF(OR(VLOOKUP($C$9,County_Lookup,10,FALSE)="",VLOOKUP($C$9,County_Lookup,10,FALSE)=0),"",VLOOKUP($C$9,County_Lookup,10,FALSE)))</f>
        <v/>
      </c>
      <c r="B24" s="222"/>
      <c r="C24" s="61"/>
      <c r="D24" s="87" t="str">
        <f t="shared" si="0"/>
        <v/>
      </c>
      <c r="E24" s="69"/>
      <c r="F24" s="61"/>
      <c r="G24" s="87" t="str">
        <f t="shared" si="1"/>
        <v/>
      </c>
      <c r="H24" s="69"/>
      <c r="I24" s="61"/>
      <c r="J24" s="87" t="str">
        <f t="shared" si="2"/>
        <v/>
      </c>
    </row>
    <row r="25" spans="1:10" ht="18" customHeight="1" x14ac:dyDescent="0.2">
      <c r="A25" s="77" t="str">
        <f>IF($C$9="Data Not Entered On Set-Up Worksheet","",IF(OR(VLOOKUP($C$9,County_Lookup,11,FALSE)="",VLOOKUP($C$9,County_Lookup,11,FALSE)=0),"",VLOOKUP($C$9,County_Lookup,11,FALSE)))</f>
        <v/>
      </c>
      <c r="B25" s="222"/>
      <c r="C25" s="61"/>
      <c r="D25" s="87" t="str">
        <f t="shared" si="0"/>
        <v/>
      </c>
      <c r="E25" s="69"/>
      <c r="F25" s="61"/>
      <c r="G25" s="87" t="str">
        <f t="shared" si="1"/>
        <v/>
      </c>
      <c r="H25" s="69"/>
      <c r="I25" s="61"/>
      <c r="J25" s="87" t="str">
        <f t="shared" si="2"/>
        <v/>
      </c>
    </row>
    <row r="26" spans="1:10" ht="18" customHeight="1" x14ac:dyDescent="0.2">
      <c r="A26" s="77" t="str">
        <f>IF($C$9="Data Not Entered On Set-Up Worksheet","",IF(OR(VLOOKUP($C$9,County_Lookup,12,FALSE)="",VLOOKUP($C$9,County_Lookup,12,FALSE)=0),"",VLOOKUP($C$9,County_Lookup,12,FALSE)))</f>
        <v/>
      </c>
      <c r="B26" s="222"/>
      <c r="C26" s="61"/>
      <c r="D26" s="87" t="str">
        <f t="shared" si="0"/>
        <v/>
      </c>
      <c r="E26" s="69"/>
      <c r="F26" s="61"/>
      <c r="G26" s="87" t="str">
        <f t="shared" si="1"/>
        <v/>
      </c>
      <c r="H26" s="69"/>
      <c r="I26" s="61"/>
      <c r="J26" s="87" t="str">
        <f t="shared" si="2"/>
        <v/>
      </c>
    </row>
    <row r="27" spans="1:10" ht="18" customHeight="1" x14ac:dyDescent="0.2">
      <c r="A27" s="77" t="str">
        <f>IF($C$9="Data Not Entered On Set-Up Worksheet","",IF(OR(VLOOKUP($C$9,County_Lookup,13,FALSE)="",VLOOKUP($C$9,County_Lookup,13,FALSE)=0),"",VLOOKUP($C$9,County_Lookup,13,FALSE)))</f>
        <v/>
      </c>
      <c r="B27" s="222"/>
      <c r="C27" s="61"/>
      <c r="D27" s="87" t="str">
        <f t="shared" si="0"/>
        <v/>
      </c>
      <c r="E27" s="69"/>
      <c r="F27" s="61"/>
      <c r="G27" s="87" t="str">
        <f t="shared" si="1"/>
        <v/>
      </c>
      <c r="H27" s="69"/>
      <c r="I27" s="61"/>
      <c r="J27" s="87" t="str">
        <f t="shared" si="2"/>
        <v/>
      </c>
    </row>
    <row r="28" spans="1:10" ht="18" customHeight="1" x14ac:dyDescent="0.2">
      <c r="A28" s="77" t="str">
        <f>IF($C$9="Data Not Entered On Set-Up Worksheet","",IF(OR(VLOOKUP($C$9,County_Lookup,14,FALSE)="",VLOOKUP($C$9,County_Lookup,14,FALSE)=0),"",VLOOKUP($C$9,County_Lookup,14,FALSE)))</f>
        <v/>
      </c>
      <c r="B28" s="222"/>
      <c r="C28" s="61"/>
      <c r="D28" s="87" t="str">
        <f t="shared" si="0"/>
        <v/>
      </c>
      <c r="E28" s="69"/>
      <c r="F28" s="61"/>
      <c r="G28" s="87" t="str">
        <f t="shared" si="1"/>
        <v/>
      </c>
      <c r="H28" s="69"/>
      <c r="I28" s="61"/>
      <c r="J28" s="87" t="str">
        <f t="shared" si="2"/>
        <v/>
      </c>
    </row>
    <row r="29" spans="1:10" ht="18" customHeight="1" x14ac:dyDescent="0.2">
      <c r="A29" s="76" t="str">
        <f>IF($C$9="Data Not Entered On Set-Up Worksheet","",IF(OR(VLOOKUP($C$9,County_Lookup,15,FALSE)="",VLOOKUP($C$9,County_Lookup,15,FALSE)=0),"",VLOOKUP($C$9,County_Lookup,15,FALSE)))</f>
        <v/>
      </c>
      <c r="B29" s="222"/>
      <c r="C29" s="61"/>
      <c r="D29" s="87" t="str">
        <f t="shared" si="0"/>
        <v/>
      </c>
      <c r="E29" s="69"/>
      <c r="F29" s="61"/>
      <c r="G29" s="87" t="str">
        <f t="shared" si="1"/>
        <v/>
      </c>
      <c r="H29" s="69"/>
      <c r="I29" s="61"/>
      <c r="J29" s="87" t="str">
        <f t="shared" si="2"/>
        <v/>
      </c>
    </row>
    <row r="30" spans="1:10" ht="18" customHeight="1" x14ac:dyDescent="0.2">
      <c r="A30" s="77" t="str">
        <f>IF($C$9="Data Not Entered On Set-Up Worksheet","",IF(OR(VLOOKUP($C$9,County_Lookup,16,FALSE)="",VLOOKUP($C$9,County_Lookup,16,FALSE)=0),"",VLOOKUP($C$9,County_Lookup,16,FALSE)))</f>
        <v/>
      </c>
      <c r="B30" s="222"/>
      <c r="C30" s="61"/>
      <c r="D30" s="87" t="str">
        <f t="shared" si="0"/>
        <v/>
      </c>
      <c r="E30" s="69"/>
      <c r="F30" s="61"/>
      <c r="G30" s="87" t="str">
        <f t="shared" si="1"/>
        <v/>
      </c>
      <c r="H30" s="69"/>
      <c r="I30" s="61"/>
      <c r="J30" s="87" t="str">
        <f t="shared" si="2"/>
        <v/>
      </c>
    </row>
    <row r="31" spans="1:10" ht="18" customHeight="1" x14ac:dyDescent="0.2">
      <c r="A31" s="77" t="str">
        <f>IF($C$9="Data Not Entered On Set-Up Worksheet","",IF(OR(VLOOKUP($C$9,County_Lookup,17,FALSE)="",VLOOKUP($C$9,County_Lookup,17,FALSE)=0),"",VLOOKUP($C$9,County_Lookup,17,FALSE)))</f>
        <v/>
      </c>
      <c r="B31" s="222"/>
      <c r="C31" s="61"/>
      <c r="D31" s="87" t="str">
        <f t="shared" si="0"/>
        <v/>
      </c>
      <c r="E31" s="69"/>
      <c r="F31" s="61"/>
      <c r="G31" s="87" t="str">
        <f t="shared" si="1"/>
        <v/>
      </c>
      <c r="H31" s="69"/>
      <c r="I31" s="61"/>
      <c r="J31" s="87" t="str">
        <f t="shared" si="2"/>
        <v/>
      </c>
    </row>
    <row r="32" spans="1:10" ht="18" customHeight="1" x14ac:dyDescent="0.2">
      <c r="A32" s="77" t="str">
        <f>IF($C$9="Data Not Entered On Set-Up Worksheet","",IF(OR(VLOOKUP($C$9,County_Lookup,18,FALSE)="",VLOOKUP($C$9,County_Lookup,18,FALSE)=0),"",VLOOKUP($C$9,County_Lookup,18,FALSE)))</f>
        <v/>
      </c>
      <c r="B32" s="222"/>
      <c r="C32" s="61"/>
      <c r="D32" s="87" t="str">
        <f t="shared" si="0"/>
        <v/>
      </c>
      <c r="E32" s="69"/>
      <c r="F32" s="61"/>
      <c r="G32" s="87" t="str">
        <f t="shared" si="1"/>
        <v/>
      </c>
      <c r="H32" s="69"/>
      <c r="I32" s="61"/>
      <c r="J32" s="87" t="str">
        <f t="shared" si="2"/>
        <v/>
      </c>
    </row>
    <row r="33" spans="1:10" ht="18" customHeight="1" x14ac:dyDescent="0.2">
      <c r="A33" s="77" t="str">
        <f>IF($C$9="Data Not Entered On Set-Up Worksheet","",IF(OR(VLOOKUP($C$9,County_Lookup,19,FALSE)="",VLOOKUP($C$9,County_Lookup,19,FALSE)=0),"",VLOOKUP($C$9,County_Lookup,19,FALSE)))</f>
        <v/>
      </c>
      <c r="B33" s="222"/>
      <c r="C33" s="61"/>
      <c r="D33" s="87" t="str">
        <f t="shared" si="0"/>
        <v/>
      </c>
      <c r="E33" s="69"/>
      <c r="F33" s="61"/>
      <c r="G33" s="87" t="str">
        <f t="shared" si="1"/>
        <v/>
      </c>
      <c r="H33" s="69"/>
      <c r="I33" s="61"/>
      <c r="J33" s="87" t="str">
        <f t="shared" si="2"/>
        <v/>
      </c>
    </row>
    <row r="34" spans="1:10" ht="18" customHeight="1" x14ac:dyDescent="0.2">
      <c r="A34" s="77" t="str">
        <f>IF($C$9="Data Not Entered On Set-Up Worksheet","",IF(OR(VLOOKUP($C$9,County_Lookup,20,FALSE)="",VLOOKUP($C$9,County_Lookup,20,FALSE)=0),"",VLOOKUP($C$9,County_Lookup,20,FALSE)))</f>
        <v/>
      </c>
      <c r="B34" s="222"/>
      <c r="C34" s="61"/>
      <c r="D34" s="87" t="str">
        <f t="shared" si="0"/>
        <v/>
      </c>
      <c r="E34" s="69"/>
      <c r="F34" s="61"/>
      <c r="G34" s="87" t="str">
        <f t="shared" si="1"/>
        <v/>
      </c>
      <c r="H34" s="69"/>
      <c r="I34" s="61"/>
      <c r="J34" s="87" t="str">
        <f t="shared" si="2"/>
        <v/>
      </c>
    </row>
    <row r="35" spans="1:10" ht="18" customHeight="1" x14ac:dyDescent="0.2">
      <c r="A35" s="77" t="str">
        <f>IF($C$9="Data Not Entered On Set-Up Worksheet","",IF(OR(VLOOKUP($C$9,County_Lookup,21,FALSE)="",VLOOKUP($C$9,County_Lookup,21,FALSE)=0),"",VLOOKUP($C$9,County_Lookup,21,FALSE)))</f>
        <v/>
      </c>
      <c r="B35" s="222"/>
      <c r="C35" s="61"/>
      <c r="D35" s="87" t="str">
        <f t="shared" si="0"/>
        <v/>
      </c>
      <c r="E35" s="69"/>
      <c r="F35" s="61"/>
      <c r="G35" s="87" t="str">
        <f t="shared" si="1"/>
        <v/>
      </c>
      <c r="H35" s="69"/>
      <c r="I35" s="61"/>
      <c r="J35" s="87" t="str">
        <f t="shared" si="2"/>
        <v/>
      </c>
    </row>
    <row r="36" spans="1:10" ht="18" customHeight="1" x14ac:dyDescent="0.2">
      <c r="A36" s="76" t="str">
        <f>IF($C$9="Data Not Entered On Set-Up Worksheet","",IF(OR(VLOOKUP($C$9,County_Lookup,22,FALSE)="",VLOOKUP($C$9,County_Lookup,22,FALSE)=0),"",VLOOKUP($C$9,County_Lookup,22,FALSE)))</f>
        <v/>
      </c>
      <c r="B36" s="222"/>
      <c r="C36" s="61"/>
      <c r="D36" s="87" t="str">
        <f t="shared" si="0"/>
        <v/>
      </c>
      <c r="E36" s="69"/>
      <c r="F36" s="61"/>
      <c r="G36" s="87" t="str">
        <f t="shared" si="1"/>
        <v/>
      </c>
      <c r="H36" s="69"/>
      <c r="I36" s="61"/>
      <c r="J36" s="87" t="str">
        <f t="shared" si="2"/>
        <v/>
      </c>
    </row>
    <row r="37" spans="1:10" ht="18" customHeight="1" x14ac:dyDescent="0.2">
      <c r="A37" s="77" t="str">
        <f>IF($C$9="Data Not Entered On Set-Up Worksheet","",IF(OR(VLOOKUP($C$9,County_Lookup,23,FALSE)="",VLOOKUP($C$9,County_Lookup,23,FALSE)=0),"",VLOOKUP($C$9,County_Lookup,23,FALSE)))</f>
        <v/>
      </c>
      <c r="B37" s="222"/>
      <c r="C37" s="61"/>
      <c r="D37" s="87" t="str">
        <f t="shared" si="0"/>
        <v/>
      </c>
      <c r="E37" s="69"/>
      <c r="F37" s="61"/>
      <c r="G37" s="87" t="str">
        <f t="shared" si="1"/>
        <v/>
      </c>
      <c r="H37" s="69"/>
      <c r="I37" s="61"/>
      <c r="J37" s="87" t="str">
        <f t="shared" si="2"/>
        <v/>
      </c>
    </row>
    <row r="38" spans="1:10" ht="18" customHeight="1" x14ac:dyDescent="0.2">
      <c r="A38" s="77" t="str">
        <f>IF($C$9="Data Not Entered On Set-Up Worksheet","",IF(OR(VLOOKUP($C$9,County_Lookup,24,FALSE)="",VLOOKUP($C$9,County_Lookup,24,FALSE)=0),"",VLOOKUP($C$9,County_Lookup,24,FALSE)))</f>
        <v/>
      </c>
      <c r="B38" s="222"/>
      <c r="C38" s="61"/>
      <c r="D38" s="87" t="str">
        <f t="shared" ref="D38:D40" si="3">IF($A38="","",IF($C38=0,0,B38/$C38))</f>
        <v/>
      </c>
      <c r="E38" s="69"/>
      <c r="F38" s="61"/>
      <c r="G38" s="87" t="str">
        <f t="shared" ref="G38:G40" si="4">IF($A38="","",IF($F38=0,0,E38/$F38))</f>
        <v/>
      </c>
      <c r="H38" s="69"/>
      <c r="I38" s="61"/>
      <c r="J38" s="87" t="str">
        <f t="shared" ref="J38:J40" si="5">IF($A38="","",IF($I38=0,0,H38/$I38))</f>
        <v/>
      </c>
    </row>
    <row r="39" spans="1:10" ht="18" customHeight="1" x14ac:dyDescent="0.2">
      <c r="A39" s="77" t="str">
        <f>IF($C$9="Data Not Entered On Set-Up Worksheet","",IF(OR(VLOOKUP($C$9,County_Lookup,25,FALSE)="",VLOOKUP($C$9,County_Lookup,25,FALSE)=0),"",VLOOKUP($C$9,County_Lookup,25,FALSE)))</f>
        <v/>
      </c>
      <c r="B39" s="222"/>
      <c r="C39" s="61"/>
      <c r="D39" s="87" t="str">
        <f t="shared" si="3"/>
        <v/>
      </c>
      <c r="E39" s="69"/>
      <c r="F39" s="61"/>
      <c r="G39" s="87" t="str">
        <f t="shared" si="4"/>
        <v/>
      </c>
      <c r="H39" s="69"/>
      <c r="I39" s="61"/>
      <c r="J39" s="87" t="str">
        <f t="shared" si="5"/>
        <v/>
      </c>
    </row>
    <row r="40" spans="1:10" ht="18" customHeight="1" x14ac:dyDescent="0.2">
      <c r="A40" s="77" t="str">
        <f>IF($C$9="Data Not Entered On Set-Up Worksheet","",IF(OR(VLOOKUP($C$9,County_Lookup,26,FALSE)="",VLOOKUP($C$9,County_Lookup,26,FALSE)=0),"",VLOOKUP($C$9,County_Lookup,26,FALSE)))</f>
        <v/>
      </c>
      <c r="B40" s="222"/>
      <c r="C40" s="61"/>
      <c r="D40" s="87" t="str">
        <f t="shared" si="3"/>
        <v/>
      </c>
      <c r="E40" s="69"/>
      <c r="F40" s="61"/>
      <c r="G40" s="87" t="str">
        <f t="shared" si="4"/>
        <v/>
      </c>
      <c r="H40" s="69"/>
      <c r="I40" s="61"/>
      <c r="J40" s="87" t="str">
        <f t="shared" si="5"/>
        <v/>
      </c>
    </row>
    <row r="41" spans="1:10" ht="18" customHeight="1" x14ac:dyDescent="0.2">
      <c r="A41" s="77" t="str">
        <f>IF($C$9="Data Not Entered On Set-Up Worksheet","",IF(OR(VLOOKUP($C$9,County_Lookup,27,FALSE)="",VLOOKUP($C$9,County_Lookup,27,FALSE)=0),"",VLOOKUP($C$9,County_Lookup,27,FALSE)))</f>
        <v/>
      </c>
      <c r="B41" s="222"/>
      <c r="C41" s="61"/>
      <c r="D41" s="87" t="str">
        <f t="shared" si="0"/>
        <v/>
      </c>
      <c r="E41" s="69"/>
      <c r="F41" s="61"/>
      <c r="G41" s="87" t="str">
        <f t="shared" si="1"/>
        <v/>
      </c>
      <c r="H41" s="69"/>
      <c r="I41" s="61"/>
      <c r="J41" s="87" t="str">
        <f t="shared" si="2"/>
        <v/>
      </c>
    </row>
    <row r="42" spans="1:10" ht="18" customHeight="1" thickBot="1" x14ac:dyDescent="0.25">
      <c r="A42" s="78" t="s">
        <v>0</v>
      </c>
      <c r="B42" s="223">
        <f t="shared" ref="B42" si="6">SUM(B16:B41)</f>
        <v>0</v>
      </c>
      <c r="C42" s="72">
        <f>SUM(C16:C41)</f>
        <v>0</v>
      </c>
      <c r="D42" s="53">
        <f t="shared" si="0"/>
        <v>0</v>
      </c>
      <c r="E42" s="334">
        <f t="shared" ref="E42" si="7">SUM(E16:E41)</f>
        <v>0</v>
      </c>
      <c r="F42" s="72">
        <f>SUM(F16:F41)</f>
        <v>0</v>
      </c>
      <c r="G42" s="53">
        <f t="shared" si="1"/>
        <v>0</v>
      </c>
      <c r="H42" s="334">
        <f t="shared" ref="H42" si="8">SUM(H16:H41)</f>
        <v>0</v>
      </c>
      <c r="I42" s="72">
        <f>SUM(I16:I41)</f>
        <v>0</v>
      </c>
      <c r="J42" s="53">
        <f t="shared" si="2"/>
        <v>0</v>
      </c>
    </row>
  </sheetData>
  <sheetProtection sheet="1" objects="1" scenarios="1"/>
  <conditionalFormatting sqref="C3:D4 C9:D9 C11:D12">
    <cfRule type="expression" dxfId="373" priority="17">
      <formula>C3="Data Not Entered On Set-Up Worksheet"</formula>
    </cfRule>
  </conditionalFormatting>
  <conditionalFormatting sqref="B16:C38 E16:F38 H16:I38 H41:I41 E41:F41 B41:C41">
    <cfRule type="expression" dxfId="372" priority="16">
      <formula>AND($A16&lt;&gt;"",B16="")</formula>
    </cfRule>
  </conditionalFormatting>
  <conditionalFormatting sqref="G3:G4 G9 G11:G12">
    <cfRule type="expression" dxfId="371" priority="15">
      <formula>G3="Data Not Entered On Set-Up Worksheet"</formula>
    </cfRule>
  </conditionalFormatting>
  <conditionalFormatting sqref="J3:J4 J9 J11:J12">
    <cfRule type="expression" dxfId="370" priority="13">
      <formula>J3="Data Not Entered On Set-Up Worksheet"</formula>
    </cfRule>
  </conditionalFormatting>
  <conditionalFormatting sqref="F9:F10">
    <cfRule type="expression" dxfId="369" priority="11">
      <formula>F9="Data Not Entered On Set-Up Worksheet"</formula>
    </cfRule>
  </conditionalFormatting>
  <conditionalFormatting sqref="B16:C38 B41:C41">
    <cfRule type="expression" dxfId="368" priority="5">
      <formula>$A16="Other"</formula>
    </cfRule>
  </conditionalFormatting>
  <conditionalFormatting sqref="H39:I39 E39:F39 B39:C39">
    <cfRule type="expression" dxfId="367" priority="4">
      <formula>AND($A39&lt;&gt;"",B39="")</formula>
    </cfRule>
  </conditionalFormatting>
  <conditionalFormatting sqref="B39:C39">
    <cfRule type="expression" dxfId="366" priority="3">
      <formula>$A39="Other"</formula>
    </cfRule>
  </conditionalFormatting>
  <conditionalFormatting sqref="H40:I40 E40:F40 B40:C40">
    <cfRule type="expression" dxfId="365" priority="2">
      <formula>AND($A40&lt;&gt;"",B40="")</formula>
    </cfRule>
  </conditionalFormatting>
  <conditionalFormatting sqref="B40:C40">
    <cfRule type="expression" dxfId="364" priority="1">
      <formula>$A40="Other"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2"/>
  <sheetViews>
    <sheetView showGridLines="0" workbookViewId="0">
      <pane ySplit="15" topLeftCell="A16" activePane="bottomLeft" state="frozen"/>
      <selection activeCell="E7" sqref="E7:I7"/>
      <selection pane="bottomLeft" activeCell="B16" sqref="B16"/>
    </sheetView>
  </sheetViews>
  <sheetFormatPr defaultRowHeight="12.75" x14ac:dyDescent="0.2"/>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x14ac:dyDescent="0.2">
      <c r="A1" s="36" t="s">
        <v>28</v>
      </c>
      <c r="E1" s="30"/>
      <c r="H1" s="30"/>
    </row>
    <row r="2" spans="1:22" ht="15" customHeight="1" x14ac:dyDescent="0.2">
      <c r="A2" s="36" t="s">
        <v>196</v>
      </c>
      <c r="E2" s="321"/>
      <c r="H2" s="321"/>
    </row>
    <row r="3" spans="1:22" ht="15" customHeight="1" x14ac:dyDescent="0.2">
      <c r="A3" s="30" t="s">
        <v>194</v>
      </c>
      <c r="C3" s="147">
        <f>IF('Set-Up Worksheet'!F3="","Data Not Entered On Set-Up Worksheet",'Set-Up Worksheet'!F3)</f>
        <v>2018</v>
      </c>
      <c r="D3" s="147"/>
      <c r="G3" s="147"/>
      <c r="J3" s="147"/>
    </row>
    <row r="4" spans="1:22" ht="15" customHeight="1" x14ac:dyDescent="0.2">
      <c r="A4" s="30" t="s">
        <v>195</v>
      </c>
      <c r="C4" s="147" t="str">
        <f>IF('Set-Up Worksheet'!F4="","Data Not Entered On Set-Up Worksheet",'Set-Up Worksheet'!F4)</f>
        <v>1st Quarter</v>
      </c>
      <c r="D4" s="147"/>
      <c r="G4" s="147"/>
      <c r="J4" s="147"/>
    </row>
    <row r="5" spans="1:22" ht="15" customHeight="1" x14ac:dyDescent="0.2">
      <c r="A5" s="30"/>
      <c r="C5" s="32"/>
      <c r="D5" s="32"/>
      <c r="G5" s="32"/>
      <c r="J5" s="32"/>
    </row>
    <row r="6" spans="1:22" ht="15" customHeight="1" x14ac:dyDescent="0.2">
      <c r="A6" s="30" t="s">
        <v>337</v>
      </c>
      <c r="C6" s="32"/>
      <c r="D6" s="32"/>
      <c r="E6" s="30"/>
      <c r="G6" s="32"/>
      <c r="H6" s="30"/>
      <c r="J6" s="32"/>
    </row>
    <row r="7" spans="1:22" ht="15" customHeight="1" x14ac:dyDescent="0.2">
      <c r="A7" s="31" t="s">
        <v>390</v>
      </c>
      <c r="C7" s="32"/>
      <c r="D7" s="32"/>
      <c r="E7" s="30"/>
      <c r="G7" s="32"/>
      <c r="H7" s="30"/>
      <c r="J7" s="32"/>
    </row>
    <row r="8" spans="1:22" ht="15" customHeight="1" x14ac:dyDescent="0.2">
      <c r="A8" s="30"/>
      <c r="C8" s="32"/>
      <c r="D8" s="32"/>
      <c r="G8" s="32"/>
      <c r="J8" s="32"/>
      <c r="N8" s="54"/>
      <c r="O8" s="54"/>
      <c r="P8" s="55"/>
      <c r="Q8" s="54"/>
      <c r="R8" s="54"/>
      <c r="S8" s="54"/>
      <c r="T8" s="54"/>
      <c r="U8" s="30"/>
      <c r="V8" s="35"/>
    </row>
    <row r="9" spans="1:22" ht="15" customHeight="1" x14ac:dyDescent="0.2">
      <c r="A9" s="30" t="s">
        <v>29</v>
      </c>
      <c r="C9" s="39" t="str">
        <f>IF('Set-Up Worksheet'!E7="","Data Not Entered On Set-Up Worksheet",'Set-Up Worksheet'!E7)</f>
        <v>Data Not Entered On Set-Up Worksheet</v>
      </c>
      <c r="D9" s="39"/>
      <c r="F9" s="79" t="s">
        <v>444</v>
      </c>
      <c r="G9" s="39"/>
      <c r="J9" s="39"/>
    </row>
    <row r="10" spans="1:22" ht="15" customHeight="1" x14ac:dyDescent="0.2">
      <c r="A10" s="30" t="s">
        <v>9</v>
      </c>
      <c r="C10" s="32" t="s">
        <v>10</v>
      </c>
      <c r="D10" s="32"/>
      <c r="F10" s="79"/>
      <c r="G10" s="32"/>
      <c r="J10" s="32"/>
    </row>
    <row r="11" spans="1:22" ht="15" customHeight="1" x14ac:dyDescent="0.2">
      <c r="A11" s="30" t="s">
        <v>197</v>
      </c>
      <c r="C11" s="40" t="str">
        <f>IF(C4="Data Not Entered On Set-Up Worksheet","Data Not Entered On Set-Up Worksheet",IF(C4="1st Quarter",'Report Schedule'!D43,IF(C4="2nd Quarter",'Report Schedule'!E43,IF(C4="3rd Quarter",'Report Schedule'!F43,IF(C4="4th Quarter",'Report Schedule'!G43,"")))))</f>
        <v>Apr - Jun 2017</v>
      </c>
      <c r="D11" s="40"/>
      <c r="G11" s="40"/>
      <c r="J11" s="40"/>
    </row>
    <row r="12" spans="1:22" ht="15" customHeight="1" thickBot="1" x14ac:dyDescent="0.25">
      <c r="A12" s="30"/>
      <c r="C12" s="40"/>
      <c r="D12" s="40"/>
      <c r="G12" s="40"/>
      <c r="J12" s="40"/>
    </row>
    <row r="13" spans="1:22" ht="18" customHeight="1" thickBot="1" x14ac:dyDescent="0.25">
      <c r="A13" s="226" t="s">
        <v>327</v>
      </c>
      <c r="B13" s="384" t="s">
        <v>39</v>
      </c>
      <c r="C13" s="235"/>
      <c r="D13" s="236"/>
      <c r="E13" s="383" t="s">
        <v>241</v>
      </c>
      <c r="F13" s="231"/>
      <c r="G13" s="232"/>
      <c r="H13" s="384" t="s">
        <v>243</v>
      </c>
      <c r="I13" s="235"/>
      <c r="J13" s="236"/>
    </row>
    <row r="14" spans="1:22" s="35" customFormat="1" ht="13.5" thickBot="1" x14ac:dyDescent="0.25">
      <c r="A14" s="30"/>
      <c r="B14" s="45" t="s">
        <v>3</v>
      </c>
      <c r="C14" s="57" t="s">
        <v>4</v>
      </c>
      <c r="D14" s="57" t="s">
        <v>8</v>
      </c>
      <c r="E14" s="45" t="s">
        <v>3</v>
      </c>
      <c r="F14" s="57" t="s">
        <v>4</v>
      </c>
      <c r="G14" s="57" t="s">
        <v>8</v>
      </c>
      <c r="H14" s="45" t="s">
        <v>3</v>
      </c>
      <c r="I14" s="57" t="s">
        <v>4</v>
      </c>
      <c r="J14" s="57" t="s">
        <v>8</v>
      </c>
      <c r="K14" s="33"/>
      <c r="L14" s="30"/>
      <c r="M14" s="30"/>
      <c r="N14" s="30"/>
      <c r="O14" s="30"/>
      <c r="P14" s="30"/>
    </row>
    <row r="15" spans="1:22" ht="38.25" x14ac:dyDescent="0.2">
      <c r="A15" s="75" t="s">
        <v>43</v>
      </c>
      <c r="B15" s="242" t="s">
        <v>31</v>
      </c>
      <c r="C15" s="240" t="s">
        <v>30</v>
      </c>
      <c r="D15" s="241" t="s">
        <v>32</v>
      </c>
      <c r="E15" s="333" t="s">
        <v>31</v>
      </c>
      <c r="F15" s="67" t="s">
        <v>30</v>
      </c>
      <c r="G15" s="68" t="s">
        <v>32</v>
      </c>
      <c r="H15" s="335" t="s">
        <v>31</v>
      </c>
      <c r="I15" s="240" t="s">
        <v>30</v>
      </c>
      <c r="J15" s="241" t="s">
        <v>32</v>
      </c>
    </row>
    <row r="16" spans="1:22" ht="18" customHeight="1" x14ac:dyDescent="0.2">
      <c r="A16" s="76" t="str">
        <f>IF($C$9="Data Not Entered On Set-Up Worksheet","",IF(OR(VLOOKUP($C$9,County_Lookup,2,FALSE)="",VLOOKUP($C$9,County_Lookup,2,FALSE)=0),"",VLOOKUP($C$9,County_Lookup,2,FALSE)))</f>
        <v/>
      </c>
      <c r="B16" s="222"/>
      <c r="C16" s="61"/>
      <c r="D16" s="87" t="str">
        <f t="shared" ref="D16:D42" si="0">IF($A16="","",IF($C16=0,0,B16/$C16))</f>
        <v/>
      </c>
      <c r="E16" s="69"/>
      <c r="F16" s="61"/>
      <c r="G16" s="87" t="str">
        <f t="shared" ref="G16:G42" si="1">IF($A16="","",IF($F16=0,0,E16/$F16))</f>
        <v/>
      </c>
      <c r="H16" s="69"/>
      <c r="I16" s="61"/>
      <c r="J16" s="87" t="str">
        <f t="shared" ref="J16:J42" si="2">IF($A16="","",IF($I16=0,0,H16/$I16))</f>
        <v/>
      </c>
    </row>
    <row r="17" spans="1:10" ht="18" customHeight="1" x14ac:dyDescent="0.2">
      <c r="A17" s="77" t="str">
        <f>IF($C$9="Data Not Entered On Set-Up Worksheet","",IF(OR(VLOOKUP($C$9,County_Lookup,3,FALSE)="",VLOOKUP($C$9,County_Lookup,3,FALSE)=0),"",VLOOKUP($C$9,County_Lookup,3,FALSE)))</f>
        <v/>
      </c>
      <c r="B17" s="222"/>
      <c r="C17" s="61"/>
      <c r="D17" s="87" t="str">
        <f t="shared" si="0"/>
        <v/>
      </c>
      <c r="E17" s="69"/>
      <c r="F17" s="61"/>
      <c r="G17" s="87" t="str">
        <f t="shared" si="1"/>
        <v/>
      </c>
      <c r="H17" s="69"/>
      <c r="I17" s="61"/>
      <c r="J17" s="87" t="str">
        <f t="shared" si="2"/>
        <v/>
      </c>
    </row>
    <row r="18" spans="1:10" ht="18" customHeight="1" x14ac:dyDescent="0.2">
      <c r="A18" s="77" t="str">
        <f>IF($C$9="Data Not Entered On Set-Up Worksheet","",IF(OR(VLOOKUP($C$9,County_Lookup,4,FALSE)="",VLOOKUP($C$9,County_Lookup,4,FALSE)=0),"",VLOOKUP($C$9,County_Lookup,4,FALSE)))</f>
        <v/>
      </c>
      <c r="B18" s="222"/>
      <c r="C18" s="61"/>
      <c r="D18" s="87" t="str">
        <f t="shared" si="0"/>
        <v/>
      </c>
      <c r="E18" s="69"/>
      <c r="F18" s="61"/>
      <c r="G18" s="87" t="str">
        <f t="shared" si="1"/>
        <v/>
      </c>
      <c r="H18" s="69"/>
      <c r="I18" s="61"/>
      <c r="J18" s="87" t="str">
        <f t="shared" si="2"/>
        <v/>
      </c>
    </row>
    <row r="19" spans="1:10" ht="18" customHeight="1" x14ac:dyDescent="0.2">
      <c r="A19" s="77" t="str">
        <f>IF($C$9="Data Not Entered On Set-Up Worksheet","",IF(OR(VLOOKUP($C$9,County_Lookup,5,FALSE)="",VLOOKUP($C$9,County_Lookup,5,FALSE)=0),"",VLOOKUP($C$9,County_Lookup,5,FALSE)))</f>
        <v/>
      </c>
      <c r="B19" s="222"/>
      <c r="C19" s="61"/>
      <c r="D19" s="87" t="str">
        <f t="shared" si="0"/>
        <v/>
      </c>
      <c r="E19" s="69"/>
      <c r="F19" s="61"/>
      <c r="G19" s="87" t="str">
        <f t="shared" si="1"/>
        <v/>
      </c>
      <c r="H19" s="69"/>
      <c r="I19" s="61"/>
      <c r="J19" s="87" t="str">
        <f t="shared" si="2"/>
        <v/>
      </c>
    </row>
    <row r="20" spans="1:10" ht="18" customHeight="1" x14ac:dyDescent="0.2">
      <c r="A20" s="77" t="str">
        <f>IF($C$9="Data Not Entered On Set-Up Worksheet","",IF(OR(VLOOKUP($C$9,County_Lookup,6,FALSE)="",VLOOKUP($C$9,County_Lookup,6,FALSE)=0),"",VLOOKUP($C$9,County_Lookup,6,FALSE)))</f>
        <v/>
      </c>
      <c r="B20" s="222"/>
      <c r="C20" s="61"/>
      <c r="D20" s="87" t="str">
        <f t="shared" si="0"/>
        <v/>
      </c>
      <c r="E20" s="69"/>
      <c r="F20" s="61"/>
      <c r="G20" s="87" t="str">
        <f t="shared" si="1"/>
        <v/>
      </c>
      <c r="H20" s="69"/>
      <c r="I20" s="61"/>
      <c r="J20" s="87" t="str">
        <f t="shared" si="2"/>
        <v/>
      </c>
    </row>
    <row r="21" spans="1:10" ht="18" customHeight="1" x14ac:dyDescent="0.2">
      <c r="A21" s="77" t="str">
        <f>IF($C$9="Data Not Entered On Set-Up Worksheet","",IF(OR(VLOOKUP($C$9,County_Lookup,7,FALSE)="",VLOOKUP($C$9,County_Lookup,7,FALSE)=0),"",VLOOKUP($C$9,County_Lookup,7,FALSE)))</f>
        <v/>
      </c>
      <c r="B21" s="222"/>
      <c r="C21" s="61"/>
      <c r="D21" s="87" t="str">
        <f t="shared" si="0"/>
        <v/>
      </c>
      <c r="E21" s="69"/>
      <c r="F21" s="61"/>
      <c r="G21" s="87" t="str">
        <f t="shared" si="1"/>
        <v/>
      </c>
      <c r="H21" s="69"/>
      <c r="I21" s="61"/>
      <c r="J21" s="87" t="str">
        <f t="shared" si="2"/>
        <v/>
      </c>
    </row>
    <row r="22" spans="1:10" ht="18" customHeight="1" x14ac:dyDescent="0.2">
      <c r="A22" s="76" t="str">
        <f>IF($C$9="Data Not Entered On Set-Up Worksheet","",IF(OR(VLOOKUP($C$9,County_Lookup,8,FALSE)="",VLOOKUP($C$9,County_Lookup,8,FALSE)=0),"",VLOOKUP($C$9,County_Lookup,8,FALSE)))</f>
        <v/>
      </c>
      <c r="B22" s="222"/>
      <c r="C22" s="61"/>
      <c r="D22" s="87" t="str">
        <f t="shared" si="0"/>
        <v/>
      </c>
      <c r="E22" s="69"/>
      <c r="F22" s="61"/>
      <c r="G22" s="87" t="str">
        <f t="shared" si="1"/>
        <v/>
      </c>
      <c r="H22" s="69"/>
      <c r="I22" s="61"/>
      <c r="J22" s="87" t="str">
        <f t="shared" si="2"/>
        <v/>
      </c>
    </row>
    <row r="23" spans="1:10" ht="18" customHeight="1" x14ac:dyDescent="0.2">
      <c r="A23" s="77" t="str">
        <f>IF($C$9="Data Not Entered On Set-Up Worksheet","",IF(OR(VLOOKUP($C$9,County_Lookup,9,FALSE)="",VLOOKUP($C$9,County_Lookup,9,FALSE)=0),"",VLOOKUP($C$9,County_Lookup,9,FALSE)))</f>
        <v/>
      </c>
      <c r="B23" s="222"/>
      <c r="C23" s="61"/>
      <c r="D23" s="87" t="str">
        <f t="shared" si="0"/>
        <v/>
      </c>
      <c r="E23" s="69"/>
      <c r="F23" s="61"/>
      <c r="G23" s="87" t="str">
        <f t="shared" si="1"/>
        <v/>
      </c>
      <c r="H23" s="69"/>
      <c r="I23" s="61"/>
      <c r="J23" s="87" t="str">
        <f t="shared" si="2"/>
        <v/>
      </c>
    </row>
    <row r="24" spans="1:10" ht="18" customHeight="1" x14ac:dyDescent="0.2">
      <c r="A24" s="77" t="str">
        <f>IF($C$9="Data Not Entered On Set-Up Worksheet","",IF(OR(VLOOKUP($C$9,County_Lookup,10,FALSE)="",VLOOKUP($C$9,County_Lookup,10,FALSE)=0),"",VLOOKUP($C$9,County_Lookup,10,FALSE)))</f>
        <v/>
      </c>
      <c r="B24" s="222"/>
      <c r="C24" s="61"/>
      <c r="D24" s="87" t="str">
        <f t="shared" si="0"/>
        <v/>
      </c>
      <c r="E24" s="69"/>
      <c r="F24" s="61"/>
      <c r="G24" s="87" t="str">
        <f t="shared" si="1"/>
        <v/>
      </c>
      <c r="H24" s="69"/>
      <c r="I24" s="61"/>
      <c r="J24" s="87" t="str">
        <f t="shared" si="2"/>
        <v/>
      </c>
    </row>
    <row r="25" spans="1:10" ht="18" customHeight="1" x14ac:dyDescent="0.2">
      <c r="A25" s="77" t="str">
        <f>IF($C$9="Data Not Entered On Set-Up Worksheet","",IF(OR(VLOOKUP($C$9,County_Lookup,11,FALSE)="",VLOOKUP($C$9,County_Lookup,11,FALSE)=0),"",VLOOKUP($C$9,County_Lookup,11,FALSE)))</f>
        <v/>
      </c>
      <c r="B25" s="222"/>
      <c r="C25" s="61"/>
      <c r="D25" s="87" t="str">
        <f t="shared" si="0"/>
        <v/>
      </c>
      <c r="E25" s="69"/>
      <c r="F25" s="61"/>
      <c r="G25" s="87" t="str">
        <f t="shared" si="1"/>
        <v/>
      </c>
      <c r="H25" s="69"/>
      <c r="I25" s="61"/>
      <c r="J25" s="87" t="str">
        <f t="shared" si="2"/>
        <v/>
      </c>
    </row>
    <row r="26" spans="1:10" ht="18" customHeight="1" x14ac:dyDescent="0.2">
      <c r="A26" s="77" t="str">
        <f>IF($C$9="Data Not Entered On Set-Up Worksheet","",IF(OR(VLOOKUP($C$9,County_Lookup,12,FALSE)="",VLOOKUP($C$9,County_Lookup,12,FALSE)=0),"",VLOOKUP($C$9,County_Lookup,12,FALSE)))</f>
        <v/>
      </c>
      <c r="B26" s="222"/>
      <c r="C26" s="61"/>
      <c r="D26" s="87" t="str">
        <f t="shared" si="0"/>
        <v/>
      </c>
      <c r="E26" s="69"/>
      <c r="F26" s="61"/>
      <c r="G26" s="87" t="str">
        <f t="shared" si="1"/>
        <v/>
      </c>
      <c r="H26" s="69"/>
      <c r="I26" s="61"/>
      <c r="J26" s="87" t="str">
        <f t="shared" si="2"/>
        <v/>
      </c>
    </row>
    <row r="27" spans="1:10" ht="18" customHeight="1" x14ac:dyDescent="0.2">
      <c r="A27" s="77" t="str">
        <f>IF($C$9="Data Not Entered On Set-Up Worksheet","",IF(OR(VLOOKUP($C$9,County_Lookup,13,FALSE)="",VLOOKUP($C$9,County_Lookup,13,FALSE)=0),"",VLOOKUP($C$9,County_Lookup,13,FALSE)))</f>
        <v/>
      </c>
      <c r="B27" s="222"/>
      <c r="C27" s="61"/>
      <c r="D27" s="87" t="str">
        <f t="shared" si="0"/>
        <v/>
      </c>
      <c r="E27" s="69"/>
      <c r="F27" s="61"/>
      <c r="G27" s="87" t="str">
        <f t="shared" si="1"/>
        <v/>
      </c>
      <c r="H27" s="69"/>
      <c r="I27" s="61"/>
      <c r="J27" s="87" t="str">
        <f t="shared" si="2"/>
        <v/>
      </c>
    </row>
    <row r="28" spans="1:10" ht="18" customHeight="1" x14ac:dyDescent="0.2">
      <c r="A28" s="77" t="str">
        <f>IF($C$9="Data Not Entered On Set-Up Worksheet","",IF(OR(VLOOKUP($C$9,County_Lookup,14,FALSE)="",VLOOKUP($C$9,County_Lookup,14,FALSE)=0),"",VLOOKUP($C$9,County_Lookup,14,FALSE)))</f>
        <v/>
      </c>
      <c r="B28" s="222"/>
      <c r="C28" s="61"/>
      <c r="D28" s="87" t="str">
        <f t="shared" si="0"/>
        <v/>
      </c>
      <c r="E28" s="69"/>
      <c r="F28" s="61"/>
      <c r="G28" s="87" t="str">
        <f t="shared" si="1"/>
        <v/>
      </c>
      <c r="H28" s="69"/>
      <c r="I28" s="61"/>
      <c r="J28" s="87" t="str">
        <f t="shared" si="2"/>
        <v/>
      </c>
    </row>
    <row r="29" spans="1:10" ht="18" customHeight="1" x14ac:dyDescent="0.2">
      <c r="A29" s="76" t="str">
        <f>IF($C$9="Data Not Entered On Set-Up Worksheet","",IF(OR(VLOOKUP($C$9,County_Lookup,15,FALSE)="",VLOOKUP($C$9,County_Lookup,15,FALSE)=0),"",VLOOKUP($C$9,County_Lookup,15,FALSE)))</f>
        <v/>
      </c>
      <c r="B29" s="222"/>
      <c r="C29" s="61"/>
      <c r="D29" s="87" t="str">
        <f t="shared" si="0"/>
        <v/>
      </c>
      <c r="E29" s="69"/>
      <c r="F29" s="61"/>
      <c r="G29" s="87" t="str">
        <f t="shared" si="1"/>
        <v/>
      </c>
      <c r="H29" s="69"/>
      <c r="I29" s="61"/>
      <c r="J29" s="87" t="str">
        <f t="shared" si="2"/>
        <v/>
      </c>
    </row>
    <row r="30" spans="1:10" ht="18" customHeight="1" x14ac:dyDescent="0.2">
      <c r="A30" s="77" t="str">
        <f>IF($C$9="Data Not Entered On Set-Up Worksheet","",IF(OR(VLOOKUP($C$9,County_Lookup,16,FALSE)="",VLOOKUP($C$9,County_Lookup,16,FALSE)=0),"",VLOOKUP($C$9,County_Lookup,16,FALSE)))</f>
        <v/>
      </c>
      <c r="B30" s="222"/>
      <c r="C30" s="61"/>
      <c r="D30" s="87" t="str">
        <f t="shared" si="0"/>
        <v/>
      </c>
      <c r="E30" s="69"/>
      <c r="F30" s="61"/>
      <c r="G30" s="87" t="str">
        <f t="shared" si="1"/>
        <v/>
      </c>
      <c r="H30" s="69"/>
      <c r="I30" s="61"/>
      <c r="J30" s="87" t="str">
        <f t="shared" si="2"/>
        <v/>
      </c>
    </row>
    <row r="31" spans="1:10" ht="18" customHeight="1" x14ac:dyDescent="0.2">
      <c r="A31" s="77" t="str">
        <f>IF($C$9="Data Not Entered On Set-Up Worksheet","",IF(OR(VLOOKUP($C$9,County_Lookup,17,FALSE)="",VLOOKUP($C$9,County_Lookup,17,FALSE)=0),"",VLOOKUP($C$9,County_Lookup,17,FALSE)))</f>
        <v/>
      </c>
      <c r="B31" s="222"/>
      <c r="C31" s="61"/>
      <c r="D31" s="87" t="str">
        <f t="shared" si="0"/>
        <v/>
      </c>
      <c r="E31" s="69"/>
      <c r="F31" s="61"/>
      <c r="G31" s="87" t="str">
        <f t="shared" si="1"/>
        <v/>
      </c>
      <c r="H31" s="69"/>
      <c r="I31" s="61"/>
      <c r="J31" s="87" t="str">
        <f t="shared" si="2"/>
        <v/>
      </c>
    </row>
    <row r="32" spans="1:10" ht="18" customHeight="1" x14ac:dyDescent="0.2">
      <c r="A32" s="77" t="str">
        <f>IF($C$9="Data Not Entered On Set-Up Worksheet","",IF(OR(VLOOKUP($C$9,County_Lookup,18,FALSE)="",VLOOKUP($C$9,County_Lookup,18,FALSE)=0),"",VLOOKUP($C$9,County_Lookup,18,FALSE)))</f>
        <v/>
      </c>
      <c r="B32" s="222"/>
      <c r="C32" s="61"/>
      <c r="D32" s="87" t="str">
        <f t="shared" si="0"/>
        <v/>
      </c>
      <c r="E32" s="69"/>
      <c r="F32" s="61"/>
      <c r="G32" s="87" t="str">
        <f t="shared" si="1"/>
        <v/>
      </c>
      <c r="H32" s="69"/>
      <c r="I32" s="61"/>
      <c r="J32" s="87" t="str">
        <f t="shared" si="2"/>
        <v/>
      </c>
    </row>
    <row r="33" spans="1:10" ht="18" customHeight="1" x14ac:dyDescent="0.2">
      <c r="A33" s="77" t="str">
        <f>IF($C$9="Data Not Entered On Set-Up Worksheet","",IF(OR(VLOOKUP($C$9,County_Lookup,19,FALSE)="",VLOOKUP($C$9,County_Lookup,19,FALSE)=0),"",VLOOKUP($C$9,County_Lookup,19,FALSE)))</f>
        <v/>
      </c>
      <c r="B33" s="222"/>
      <c r="C33" s="61"/>
      <c r="D33" s="87" t="str">
        <f t="shared" si="0"/>
        <v/>
      </c>
      <c r="E33" s="69"/>
      <c r="F33" s="61"/>
      <c r="G33" s="87" t="str">
        <f t="shared" si="1"/>
        <v/>
      </c>
      <c r="H33" s="69"/>
      <c r="I33" s="61"/>
      <c r="J33" s="87" t="str">
        <f t="shared" si="2"/>
        <v/>
      </c>
    </row>
    <row r="34" spans="1:10" ht="18" customHeight="1" x14ac:dyDescent="0.2">
      <c r="A34" s="77" t="str">
        <f>IF($C$9="Data Not Entered On Set-Up Worksheet","",IF(OR(VLOOKUP($C$9,County_Lookup,20,FALSE)="",VLOOKUP($C$9,County_Lookup,20,FALSE)=0),"",VLOOKUP($C$9,County_Lookup,20,FALSE)))</f>
        <v/>
      </c>
      <c r="B34" s="222"/>
      <c r="C34" s="61"/>
      <c r="D34" s="87" t="str">
        <f t="shared" si="0"/>
        <v/>
      </c>
      <c r="E34" s="69"/>
      <c r="F34" s="61"/>
      <c r="G34" s="87" t="str">
        <f t="shared" si="1"/>
        <v/>
      </c>
      <c r="H34" s="69"/>
      <c r="I34" s="61"/>
      <c r="J34" s="87" t="str">
        <f t="shared" si="2"/>
        <v/>
      </c>
    </row>
    <row r="35" spans="1:10" ht="18" customHeight="1" x14ac:dyDescent="0.2">
      <c r="A35" s="77" t="str">
        <f>IF($C$9="Data Not Entered On Set-Up Worksheet","",IF(OR(VLOOKUP($C$9,County_Lookup,21,FALSE)="",VLOOKUP($C$9,County_Lookup,21,FALSE)=0),"",VLOOKUP($C$9,County_Lookup,21,FALSE)))</f>
        <v/>
      </c>
      <c r="B35" s="222"/>
      <c r="C35" s="61"/>
      <c r="D35" s="87" t="str">
        <f t="shared" si="0"/>
        <v/>
      </c>
      <c r="E35" s="69"/>
      <c r="F35" s="61"/>
      <c r="G35" s="87" t="str">
        <f t="shared" si="1"/>
        <v/>
      </c>
      <c r="H35" s="69"/>
      <c r="I35" s="61"/>
      <c r="J35" s="87" t="str">
        <f t="shared" si="2"/>
        <v/>
      </c>
    </row>
    <row r="36" spans="1:10" ht="18" customHeight="1" x14ac:dyDescent="0.2">
      <c r="A36" s="76" t="str">
        <f>IF($C$9="Data Not Entered On Set-Up Worksheet","",IF(OR(VLOOKUP($C$9,County_Lookup,22,FALSE)="",VLOOKUP($C$9,County_Lookup,22,FALSE)=0),"",VLOOKUP($C$9,County_Lookup,22,FALSE)))</f>
        <v/>
      </c>
      <c r="B36" s="222"/>
      <c r="C36" s="61"/>
      <c r="D36" s="87" t="str">
        <f t="shared" si="0"/>
        <v/>
      </c>
      <c r="E36" s="69"/>
      <c r="F36" s="61"/>
      <c r="G36" s="87" t="str">
        <f t="shared" si="1"/>
        <v/>
      </c>
      <c r="H36" s="69"/>
      <c r="I36" s="61"/>
      <c r="J36" s="87" t="str">
        <f t="shared" si="2"/>
        <v/>
      </c>
    </row>
    <row r="37" spans="1:10" ht="18" customHeight="1" x14ac:dyDescent="0.2">
      <c r="A37" s="77" t="str">
        <f>IF($C$9="Data Not Entered On Set-Up Worksheet","",IF(OR(VLOOKUP($C$9,County_Lookup,23,FALSE)="",VLOOKUP($C$9,County_Lookup,23,FALSE)=0),"",VLOOKUP($C$9,County_Lookup,23,FALSE)))</f>
        <v/>
      </c>
      <c r="B37" s="222"/>
      <c r="C37" s="61"/>
      <c r="D37" s="87" t="str">
        <f t="shared" si="0"/>
        <v/>
      </c>
      <c r="E37" s="69"/>
      <c r="F37" s="61"/>
      <c r="G37" s="87" t="str">
        <f t="shared" si="1"/>
        <v/>
      </c>
      <c r="H37" s="69"/>
      <c r="I37" s="61"/>
      <c r="J37" s="87" t="str">
        <f t="shared" si="2"/>
        <v/>
      </c>
    </row>
    <row r="38" spans="1:10" ht="18" customHeight="1" x14ac:dyDescent="0.2">
      <c r="A38" s="77" t="str">
        <f>IF($C$9="Data Not Entered On Set-Up Worksheet","",IF(OR(VLOOKUP($C$9,County_Lookup,24,FALSE)="",VLOOKUP($C$9,County_Lookup,24,FALSE)=0),"",VLOOKUP($C$9,County_Lookup,24,FALSE)))</f>
        <v/>
      </c>
      <c r="B38" s="222"/>
      <c r="C38" s="61"/>
      <c r="D38" s="87" t="str">
        <f t="shared" ref="D38:D40" si="3">IF($A38="","",IF($C38=0,0,B38/$C38))</f>
        <v/>
      </c>
      <c r="E38" s="69"/>
      <c r="F38" s="61"/>
      <c r="G38" s="87" t="str">
        <f t="shared" ref="G38:G40" si="4">IF($A38="","",IF($F38=0,0,E38/$F38))</f>
        <v/>
      </c>
      <c r="H38" s="69"/>
      <c r="I38" s="61"/>
      <c r="J38" s="87" t="str">
        <f t="shared" ref="J38:J40" si="5">IF($A38="","",IF($I38=0,0,H38/$I38))</f>
        <v/>
      </c>
    </row>
    <row r="39" spans="1:10" ht="18" customHeight="1" x14ac:dyDescent="0.2">
      <c r="A39" s="77" t="str">
        <f>IF($C$9="Data Not Entered On Set-Up Worksheet","",IF(OR(VLOOKUP($C$9,County_Lookup,25,FALSE)="",VLOOKUP($C$9,County_Lookup,25,FALSE)=0),"",VLOOKUP($C$9,County_Lookup,25,FALSE)))</f>
        <v/>
      </c>
      <c r="B39" s="222"/>
      <c r="C39" s="61"/>
      <c r="D39" s="87" t="str">
        <f t="shared" si="3"/>
        <v/>
      </c>
      <c r="E39" s="69"/>
      <c r="F39" s="61"/>
      <c r="G39" s="87" t="str">
        <f t="shared" si="4"/>
        <v/>
      </c>
      <c r="H39" s="69"/>
      <c r="I39" s="61"/>
      <c r="J39" s="87" t="str">
        <f t="shared" si="5"/>
        <v/>
      </c>
    </row>
    <row r="40" spans="1:10" ht="18" customHeight="1" x14ac:dyDescent="0.2">
      <c r="A40" s="77" t="str">
        <f>IF($C$9="Data Not Entered On Set-Up Worksheet","",IF(OR(VLOOKUP($C$9,County_Lookup,26,FALSE)="",VLOOKUP($C$9,County_Lookup,26,FALSE)=0),"",VLOOKUP($C$9,County_Lookup,26,FALSE)))</f>
        <v/>
      </c>
      <c r="B40" s="222"/>
      <c r="C40" s="61"/>
      <c r="D40" s="87" t="str">
        <f t="shared" si="3"/>
        <v/>
      </c>
      <c r="E40" s="69"/>
      <c r="F40" s="61"/>
      <c r="G40" s="87" t="str">
        <f t="shared" si="4"/>
        <v/>
      </c>
      <c r="H40" s="69"/>
      <c r="I40" s="61"/>
      <c r="J40" s="87" t="str">
        <f t="shared" si="5"/>
        <v/>
      </c>
    </row>
    <row r="41" spans="1:10" ht="18" customHeight="1" x14ac:dyDescent="0.2">
      <c r="A41" s="77" t="str">
        <f>IF($C$9="Data Not Entered On Set-Up Worksheet","",IF(OR(VLOOKUP($C$9,County_Lookup,27,FALSE)="",VLOOKUP($C$9,County_Lookup,27,FALSE)=0),"",VLOOKUP($C$9,County_Lookup,27,FALSE)))</f>
        <v/>
      </c>
      <c r="B41" s="222"/>
      <c r="C41" s="61"/>
      <c r="D41" s="87" t="str">
        <f t="shared" si="0"/>
        <v/>
      </c>
      <c r="E41" s="69"/>
      <c r="F41" s="61"/>
      <c r="G41" s="87" t="str">
        <f t="shared" si="1"/>
        <v/>
      </c>
      <c r="H41" s="69"/>
      <c r="I41" s="61"/>
      <c r="J41" s="87" t="str">
        <f t="shared" si="2"/>
        <v/>
      </c>
    </row>
    <row r="42" spans="1:10" ht="18" customHeight="1" thickBot="1" x14ac:dyDescent="0.25">
      <c r="A42" s="78" t="s">
        <v>0</v>
      </c>
      <c r="B42" s="223">
        <f t="shared" ref="B42" si="6">SUM(B16:B41)</f>
        <v>0</v>
      </c>
      <c r="C42" s="72">
        <f>SUM(C16:C41)</f>
        <v>0</v>
      </c>
      <c r="D42" s="53">
        <f t="shared" si="0"/>
        <v>0</v>
      </c>
      <c r="E42" s="334">
        <f t="shared" ref="E42" si="7">SUM(E16:E41)</f>
        <v>0</v>
      </c>
      <c r="F42" s="72">
        <f>SUM(F16:F41)</f>
        <v>0</v>
      </c>
      <c r="G42" s="53">
        <f t="shared" si="1"/>
        <v>0</v>
      </c>
      <c r="H42" s="334">
        <f t="shared" ref="H42" si="8">SUM(H16:H41)</f>
        <v>0</v>
      </c>
      <c r="I42" s="72">
        <f>SUM(I16:I41)</f>
        <v>0</v>
      </c>
      <c r="J42" s="53">
        <f t="shared" si="2"/>
        <v>0</v>
      </c>
    </row>
  </sheetData>
  <sheetProtection sheet="1" objects="1" scenarios="1"/>
  <conditionalFormatting sqref="C3:D4 C9:D9 C11:D12">
    <cfRule type="expression" dxfId="363" priority="17">
      <formula>C3="Data Not Entered On Set-Up Worksheet"</formula>
    </cfRule>
  </conditionalFormatting>
  <conditionalFormatting sqref="B16:C38 E16:F38 H16:I38 H41:I41 E41:F41 B41:C41">
    <cfRule type="expression" dxfId="362" priority="16">
      <formula>AND($A16&lt;&gt;"",B16="")</formula>
    </cfRule>
  </conditionalFormatting>
  <conditionalFormatting sqref="G3:G4 G9 G11:G12">
    <cfRule type="expression" dxfId="361" priority="15">
      <formula>G3="Data Not Entered On Set-Up Worksheet"</formula>
    </cfRule>
  </conditionalFormatting>
  <conditionalFormatting sqref="J3:J4 J9 J11:J12">
    <cfRule type="expression" dxfId="360" priority="13">
      <formula>J3="Data Not Entered On Set-Up Worksheet"</formula>
    </cfRule>
  </conditionalFormatting>
  <conditionalFormatting sqref="F9:F10">
    <cfRule type="expression" dxfId="359" priority="11">
      <formula>F9="Data Not Entered On Set-Up Worksheet"</formula>
    </cfRule>
  </conditionalFormatting>
  <conditionalFormatting sqref="B16:C38 B41:C41">
    <cfRule type="expression" dxfId="358" priority="5">
      <formula>$A16="Other"</formula>
    </cfRule>
  </conditionalFormatting>
  <conditionalFormatting sqref="H39:I39 E39:F39 B39:C39">
    <cfRule type="expression" dxfId="357" priority="4">
      <formula>AND($A39&lt;&gt;"",B39="")</formula>
    </cfRule>
  </conditionalFormatting>
  <conditionalFormatting sqref="B39:C39">
    <cfRule type="expression" dxfId="356" priority="3">
      <formula>$A39="Other"</formula>
    </cfRule>
  </conditionalFormatting>
  <conditionalFormatting sqref="H40:I40 E40:F40 B40:C40">
    <cfRule type="expression" dxfId="355" priority="2">
      <formula>AND($A40&lt;&gt;"",B40="")</formula>
    </cfRule>
  </conditionalFormatting>
  <conditionalFormatting sqref="B40:C40">
    <cfRule type="expression" dxfId="354" priority="1">
      <formula>$A40="Other"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H16"/>
  <sheetViews>
    <sheetView showGridLines="0" workbookViewId="0">
      <selection activeCell="E7" sqref="E7"/>
    </sheetView>
  </sheetViews>
  <sheetFormatPr defaultRowHeight="12.75" x14ac:dyDescent="0.2"/>
  <cols>
    <col min="1" max="1" width="22.42578125" style="22" customWidth="1"/>
    <col min="2" max="2" width="9.140625" style="22"/>
    <col min="3" max="3" width="20" style="22" customWidth="1"/>
    <col min="4" max="4" width="15.7109375" style="22" customWidth="1"/>
    <col min="5" max="5" width="21" style="22" bestFit="1" customWidth="1"/>
    <col min="6" max="7" width="20.7109375" style="22" customWidth="1"/>
    <col min="8" max="16384" width="9.140625" style="22"/>
  </cols>
  <sheetData>
    <row r="1" spans="1:8" ht="15" customHeight="1" x14ac:dyDescent="0.2">
      <c r="A1" s="36" t="s">
        <v>28</v>
      </c>
    </row>
    <row r="2" spans="1:8" ht="15" customHeight="1" x14ac:dyDescent="0.2">
      <c r="A2" s="36" t="s">
        <v>196</v>
      </c>
    </row>
    <row r="3" spans="1:8" ht="15" customHeight="1" x14ac:dyDescent="0.2">
      <c r="A3" s="30" t="s">
        <v>194</v>
      </c>
      <c r="C3" s="147">
        <f>IF('Set-Up Worksheet'!F3="","Data Not Entered On Set-Up Worksheet",'Set-Up Worksheet'!F3)</f>
        <v>2018</v>
      </c>
    </row>
    <row r="4" spans="1:8" ht="15" customHeight="1" x14ac:dyDescent="0.2">
      <c r="A4" s="30" t="s">
        <v>195</v>
      </c>
      <c r="C4" s="147" t="str">
        <f>IF('Set-Up Worksheet'!F4="","Data Not Entered On Set-Up Worksheet",'Set-Up Worksheet'!F4)</f>
        <v>1st Quarter</v>
      </c>
    </row>
    <row r="5" spans="1:8" ht="15" customHeight="1" x14ac:dyDescent="0.2">
      <c r="C5" s="32"/>
    </row>
    <row r="6" spans="1:8" ht="15" customHeight="1" x14ac:dyDescent="0.2">
      <c r="A6" s="30" t="s">
        <v>337</v>
      </c>
      <c r="C6" s="32"/>
    </row>
    <row r="7" spans="1:8" ht="15" customHeight="1" x14ac:dyDescent="0.2">
      <c r="A7" s="30" t="s">
        <v>391</v>
      </c>
      <c r="C7" s="32"/>
    </row>
    <row r="8" spans="1:8" ht="15" customHeight="1" x14ac:dyDescent="0.2">
      <c r="A8" s="30"/>
      <c r="C8" s="32"/>
    </row>
    <row r="9" spans="1:8" ht="15" customHeight="1" x14ac:dyDescent="0.2">
      <c r="A9" s="30" t="s">
        <v>29</v>
      </c>
      <c r="C9" s="39" t="str">
        <f>IF('Set-Up Worksheet'!E7="","Data Not Entered On Set-Up Worksheet",'Set-Up Worksheet'!E7)</f>
        <v>Data Not Entered On Set-Up Worksheet</v>
      </c>
    </row>
    <row r="10" spans="1:8" ht="15" customHeight="1" x14ac:dyDescent="0.2">
      <c r="A10" s="30" t="s">
        <v>9</v>
      </c>
      <c r="C10" s="32" t="s">
        <v>10</v>
      </c>
    </row>
    <row r="11" spans="1:8" ht="15" customHeight="1" x14ac:dyDescent="0.2">
      <c r="A11" s="30" t="s">
        <v>197</v>
      </c>
      <c r="C11" s="54" t="s">
        <v>385</v>
      </c>
      <c r="D11" s="40" t="str">
        <f>IF(C4="Data Not Entered On Set-Up Worksheet","Data Not Entered On Set-Up Worksheet",IF(C4="1st Quarter",'Report Schedule'!D37,IF(C4="2nd Quarter",'Report Schedule'!E37,IF(C4="3rd Quarter",'Report Schedule'!F37,IF(C4="4th Quarter",'Report Schedule'!G37,"")))))</f>
        <v>Apr - Jun 2017</v>
      </c>
      <c r="E11" s="54" t="s">
        <v>386</v>
      </c>
      <c r="F11" s="22" t="str">
        <f>IF(C4="Data Not Entered On Set-Up Worksheet","Data Not Entered On Set-Up Worksheet",IF(C4="1st Quarter",'Report Schedule'!D40,IF(C4="2nd Quarter",'Report Schedule'!E40,IF(C4="3rd Quarter",'Report Schedule'!F40,IF(C4="4th Quarter",'Report Schedule'!G40,"")))))</f>
        <v>Jan - Mar 2017</v>
      </c>
    </row>
    <row r="14" spans="1:8" ht="112.5" customHeight="1" x14ac:dyDescent="0.2">
      <c r="A14" s="560" t="s">
        <v>392</v>
      </c>
      <c r="B14" s="560"/>
      <c r="C14" s="560"/>
      <c r="D14" s="560"/>
      <c r="E14" s="560"/>
      <c r="F14" s="560"/>
      <c r="G14" s="560"/>
      <c r="H14" s="47"/>
    </row>
    <row r="15" spans="1:8" x14ac:dyDescent="0.2">
      <c r="A15" s="47"/>
      <c r="B15" s="47"/>
      <c r="C15" s="47"/>
      <c r="D15" s="47"/>
      <c r="E15" s="47"/>
      <c r="F15" s="47"/>
      <c r="G15" s="47"/>
      <c r="H15" s="47"/>
    </row>
    <row r="16" spans="1:8" x14ac:dyDescent="0.2">
      <c r="A16" s="47"/>
      <c r="B16" s="47"/>
      <c r="C16" s="47"/>
      <c r="D16" s="47"/>
      <c r="E16" s="47"/>
      <c r="F16" s="47"/>
      <c r="G16" s="47"/>
      <c r="H16" s="47"/>
    </row>
  </sheetData>
  <sheetProtection sheet="1" objects="1" scenarios="1"/>
  <mergeCells count="1">
    <mergeCell ref="A14:G14"/>
  </mergeCells>
  <conditionalFormatting sqref="C3:C4">
    <cfRule type="expression" dxfId="353" priority="3">
      <formula>C3="Data Not Entered On Set-Up Worksheet"</formula>
    </cfRule>
  </conditionalFormatting>
  <conditionalFormatting sqref="C9">
    <cfRule type="expression" dxfId="352" priority="2">
      <formula>C9="Data Not Entered On Set-Up Worksheet"</formula>
    </cfRule>
  </conditionalFormatting>
  <conditionalFormatting sqref="D11">
    <cfRule type="expression" dxfId="351" priority="1">
      <formula>D11="Data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2"/>
  <sheetViews>
    <sheetView showGridLines="0" workbookViewId="0">
      <pane ySplit="15" topLeftCell="A16" activePane="bottomLeft" state="frozen"/>
      <selection activeCell="E7" sqref="E7:I7"/>
      <selection pane="bottomLeft" activeCell="B16" sqref="B16"/>
    </sheetView>
  </sheetViews>
  <sheetFormatPr defaultRowHeight="12.75" x14ac:dyDescent="0.2"/>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x14ac:dyDescent="0.2">
      <c r="A1" s="36" t="s">
        <v>28</v>
      </c>
      <c r="E1" s="30"/>
      <c r="H1" s="30"/>
    </row>
    <row r="2" spans="1:22" ht="15" customHeight="1" x14ac:dyDescent="0.2">
      <c r="A2" s="36" t="s">
        <v>196</v>
      </c>
      <c r="E2" s="321"/>
      <c r="H2" s="321"/>
    </row>
    <row r="3" spans="1:22" ht="15" customHeight="1" x14ac:dyDescent="0.2">
      <c r="A3" s="30" t="s">
        <v>194</v>
      </c>
      <c r="C3" s="147">
        <f>IF('Set-Up Worksheet'!F3="","Data Not Entered On Set-Up Worksheet",'Set-Up Worksheet'!F3)</f>
        <v>2018</v>
      </c>
      <c r="D3" s="147"/>
      <c r="G3" s="147"/>
      <c r="J3" s="147"/>
    </row>
    <row r="4" spans="1:22" ht="15" customHeight="1" x14ac:dyDescent="0.2">
      <c r="A4" s="30" t="s">
        <v>195</v>
      </c>
      <c r="C4" s="147" t="str">
        <f>IF('Set-Up Worksheet'!F4="","Data Not Entered On Set-Up Worksheet",'Set-Up Worksheet'!F4)</f>
        <v>1st Quarter</v>
      </c>
      <c r="D4" s="147"/>
      <c r="G4" s="147"/>
      <c r="J4" s="147"/>
    </row>
    <row r="5" spans="1:22" ht="15" customHeight="1" x14ac:dyDescent="0.2">
      <c r="A5" s="30"/>
      <c r="C5" s="32"/>
      <c r="D5" s="32"/>
      <c r="G5" s="32"/>
      <c r="J5" s="32"/>
    </row>
    <row r="6" spans="1:22" ht="15" customHeight="1" x14ac:dyDescent="0.2">
      <c r="A6" s="30" t="s">
        <v>337</v>
      </c>
      <c r="C6" s="32"/>
      <c r="D6" s="32"/>
      <c r="E6" s="30"/>
      <c r="G6" s="32"/>
      <c r="H6" s="30"/>
      <c r="J6" s="32"/>
    </row>
    <row r="7" spans="1:22" ht="15" customHeight="1" x14ac:dyDescent="0.2">
      <c r="A7" s="31" t="s">
        <v>393</v>
      </c>
      <c r="C7" s="32"/>
      <c r="D7" s="32"/>
      <c r="E7" s="30"/>
      <c r="G7" s="32"/>
      <c r="H7" s="30"/>
      <c r="J7" s="32"/>
    </row>
    <row r="8" spans="1:22" ht="15" customHeight="1" x14ac:dyDescent="0.2">
      <c r="A8" s="30"/>
      <c r="C8" s="32"/>
      <c r="D8" s="32"/>
      <c r="G8" s="32"/>
      <c r="J8" s="32"/>
      <c r="N8" s="54"/>
      <c r="O8" s="54"/>
      <c r="P8" s="55"/>
      <c r="Q8" s="54"/>
      <c r="R8" s="54"/>
      <c r="S8" s="54"/>
      <c r="T8" s="54"/>
      <c r="U8" s="30"/>
      <c r="V8" s="35"/>
    </row>
    <row r="9" spans="1:22" ht="15" customHeight="1" x14ac:dyDescent="0.2">
      <c r="A9" s="30" t="s">
        <v>29</v>
      </c>
      <c r="C9" s="39" t="str">
        <f>IF('Set-Up Worksheet'!E7="","Data Not Entered On Set-Up Worksheet",'Set-Up Worksheet'!E7)</f>
        <v>Data Not Entered On Set-Up Worksheet</v>
      </c>
      <c r="D9" s="39"/>
      <c r="F9" s="79" t="s">
        <v>444</v>
      </c>
      <c r="G9" s="39"/>
      <c r="J9" s="39"/>
    </row>
    <row r="10" spans="1:22" ht="15" customHeight="1" x14ac:dyDescent="0.2">
      <c r="A10" s="30" t="s">
        <v>9</v>
      </c>
      <c r="C10" s="32" t="s">
        <v>10</v>
      </c>
      <c r="D10" s="32"/>
      <c r="F10" s="79"/>
      <c r="G10" s="32"/>
      <c r="J10" s="32"/>
    </row>
    <row r="11" spans="1:22" ht="15" customHeight="1" x14ac:dyDescent="0.2">
      <c r="A11" s="30" t="s">
        <v>197</v>
      </c>
      <c r="C11" s="40" t="str">
        <f>IF(C4="Data Not Entered On Set-Up Worksheet","Data Not Entered On Set-Up Worksheet",IF(C4="1st Quarter",'Report Schedule'!D43,IF(C4="2nd Quarter",'Report Schedule'!E43,IF(C4="3rd Quarter",'Report Schedule'!F43,IF(C4="4th Quarter",'Report Schedule'!G43,"")))))</f>
        <v>Apr - Jun 2017</v>
      </c>
      <c r="D11" s="40"/>
      <c r="G11" s="40"/>
      <c r="J11" s="40"/>
    </row>
    <row r="12" spans="1:22" ht="15" customHeight="1" thickBot="1" x14ac:dyDescent="0.25">
      <c r="A12" s="30"/>
      <c r="C12" s="40"/>
      <c r="D12" s="40"/>
      <c r="G12" s="40"/>
      <c r="J12" s="40"/>
    </row>
    <row r="13" spans="1:22" ht="18" customHeight="1" thickBot="1" x14ac:dyDescent="0.25">
      <c r="A13" s="226" t="s">
        <v>327</v>
      </c>
      <c r="B13" s="384" t="s">
        <v>39</v>
      </c>
      <c r="C13" s="235"/>
      <c r="D13" s="236"/>
      <c r="E13" s="383" t="s">
        <v>241</v>
      </c>
      <c r="F13" s="231"/>
      <c r="G13" s="232"/>
      <c r="H13" s="384" t="s">
        <v>243</v>
      </c>
      <c r="I13" s="235"/>
      <c r="J13" s="236"/>
    </row>
    <row r="14" spans="1:22" s="35" customFormat="1" ht="13.5" thickBot="1" x14ac:dyDescent="0.25">
      <c r="A14" s="30"/>
      <c r="B14" s="45" t="s">
        <v>3</v>
      </c>
      <c r="C14" s="57" t="s">
        <v>4</v>
      </c>
      <c r="D14" s="57" t="s">
        <v>8</v>
      </c>
      <c r="E14" s="45" t="s">
        <v>3</v>
      </c>
      <c r="F14" s="57" t="s">
        <v>4</v>
      </c>
      <c r="G14" s="57" t="s">
        <v>8</v>
      </c>
      <c r="H14" s="45" t="s">
        <v>3</v>
      </c>
      <c r="I14" s="57" t="s">
        <v>4</v>
      </c>
      <c r="J14" s="57" t="s">
        <v>8</v>
      </c>
      <c r="K14" s="33"/>
      <c r="L14" s="30"/>
      <c r="M14" s="30"/>
      <c r="N14" s="30"/>
      <c r="O14" s="30"/>
      <c r="P14" s="30"/>
    </row>
    <row r="15" spans="1:22" ht="38.25" x14ac:dyDescent="0.2">
      <c r="A15" s="75" t="s">
        <v>43</v>
      </c>
      <c r="B15" s="242" t="s">
        <v>31</v>
      </c>
      <c r="C15" s="240" t="s">
        <v>30</v>
      </c>
      <c r="D15" s="241" t="s">
        <v>32</v>
      </c>
      <c r="E15" s="333" t="s">
        <v>31</v>
      </c>
      <c r="F15" s="67" t="s">
        <v>30</v>
      </c>
      <c r="G15" s="68" t="s">
        <v>32</v>
      </c>
      <c r="H15" s="335" t="s">
        <v>31</v>
      </c>
      <c r="I15" s="240" t="s">
        <v>30</v>
      </c>
      <c r="J15" s="241" t="s">
        <v>32</v>
      </c>
    </row>
    <row r="16" spans="1:22" ht="18" customHeight="1" x14ac:dyDescent="0.2">
      <c r="A16" s="76" t="str">
        <f>IF($C$9="Data Not Entered On Set-Up Worksheet","",IF(OR(VLOOKUP($C$9,County_Lookup,2,FALSE)="",VLOOKUP($C$9,County_Lookup,2,FALSE)=0),"",VLOOKUP($C$9,County_Lookup,2,FALSE)))</f>
        <v/>
      </c>
      <c r="B16" s="222"/>
      <c r="C16" s="61"/>
      <c r="D16" s="87" t="str">
        <f t="shared" ref="D16:D42" si="0">IF($A16="","",IF($C16=0,0,B16/$C16))</f>
        <v/>
      </c>
      <c r="E16" s="69"/>
      <c r="F16" s="61"/>
      <c r="G16" s="87" t="str">
        <f t="shared" ref="G16:G42" si="1">IF($A16="","",IF($F16=0,0,E16/$F16))</f>
        <v/>
      </c>
      <c r="H16" s="69"/>
      <c r="I16" s="61"/>
      <c r="J16" s="87" t="str">
        <f t="shared" ref="J16:J42" si="2">IF($A16="","",IF($I16=0,0,H16/$I16))</f>
        <v/>
      </c>
    </row>
    <row r="17" spans="1:10" ht="18" customHeight="1" x14ac:dyDescent="0.2">
      <c r="A17" s="77" t="str">
        <f>IF($C$9="Data Not Entered On Set-Up Worksheet","",IF(OR(VLOOKUP($C$9,County_Lookup,3,FALSE)="",VLOOKUP($C$9,County_Lookup,3,FALSE)=0),"",VLOOKUP($C$9,County_Lookup,3,FALSE)))</f>
        <v/>
      </c>
      <c r="B17" s="222"/>
      <c r="C17" s="61"/>
      <c r="D17" s="87" t="str">
        <f t="shared" si="0"/>
        <v/>
      </c>
      <c r="E17" s="69"/>
      <c r="F17" s="61"/>
      <c r="G17" s="87" t="str">
        <f t="shared" si="1"/>
        <v/>
      </c>
      <c r="H17" s="69"/>
      <c r="I17" s="61"/>
      <c r="J17" s="87" t="str">
        <f t="shared" si="2"/>
        <v/>
      </c>
    </row>
    <row r="18" spans="1:10" ht="18" customHeight="1" x14ac:dyDescent="0.2">
      <c r="A18" s="77" t="str">
        <f>IF($C$9="Data Not Entered On Set-Up Worksheet","",IF(OR(VLOOKUP($C$9,County_Lookup,4,FALSE)="",VLOOKUP($C$9,County_Lookup,4,FALSE)=0),"",VLOOKUP($C$9,County_Lookup,4,FALSE)))</f>
        <v/>
      </c>
      <c r="B18" s="222"/>
      <c r="C18" s="61"/>
      <c r="D18" s="87" t="str">
        <f t="shared" si="0"/>
        <v/>
      </c>
      <c r="E18" s="69"/>
      <c r="F18" s="61"/>
      <c r="G18" s="87" t="str">
        <f t="shared" si="1"/>
        <v/>
      </c>
      <c r="H18" s="69"/>
      <c r="I18" s="61"/>
      <c r="J18" s="87" t="str">
        <f t="shared" si="2"/>
        <v/>
      </c>
    </row>
    <row r="19" spans="1:10" ht="18" customHeight="1" x14ac:dyDescent="0.2">
      <c r="A19" s="77" t="str">
        <f>IF($C$9="Data Not Entered On Set-Up Worksheet","",IF(OR(VLOOKUP($C$9,County_Lookup,5,FALSE)="",VLOOKUP($C$9,County_Lookup,5,FALSE)=0),"",VLOOKUP($C$9,County_Lookup,5,FALSE)))</f>
        <v/>
      </c>
      <c r="B19" s="222"/>
      <c r="C19" s="61"/>
      <c r="D19" s="87" t="str">
        <f t="shared" si="0"/>
        <v/>
      </c>
      <c r="E19" s="69"/>
      <c r="F19" s="61"/>
      <c r="G19" s="87" t="str">
        <f t="shared" si="1"/>
        <v/>
      </c>
      <c r="H19" s="69"/>
      <c r="I19" s="61"/>
      <c r="J19" s="87" t="str">
        <f t="shared" si="2"/>
        <v/>
      </c>
    </row>
    <row r="20" spans="1:10" ht="18" customHeight="1" x14ac:dyDescent="0.2">
      <c r="A20" s="77" t="str">
        <f>IF($C$9="Data Not Entered On Set-Up Worksheet","",IF(OR(VLOOKUP($C$9,County_Lookup,6,FALSE)="",VLOOKUP($C$9,County_Lookup,6,FALSE)=0),"",VLOOKUP($C$9,County_Lookup,6,FALSE)))</f>
        <v/>
      </c>
      <c r="B20" s="222"/>
      <c r="C20" s="61"/>
      <c r="D20" s="87" t="str">
        <f t="shared" si="0"/>
        <v/>
      </c>
      <c r="E20" s="69"/>
      <c r="F20" s="61"/>
      <c r="G20" s="87" t="str">
        <f t="shared" si="1"/>
        <v/>
      </c>
      <c r="H20" s="69"/>
      <c r="I20" s="61"/>
      <c r="J20" s="87" t="str">
        <f t="shared" si="2"/>
        <v/>
      </c>
    </row>
    <row r="21" spans="1:10" ht="18" customHeight="1" x14ac:dyDescent="0.2">
      <c r="A21" s="77" t="str">
        <f>IF($C$9="Data Not Entered On Set-Up Worksheet","",IF(OR(VLOOKUP($C$9,County_Lookup,7,FALSE)="",VLOOKUP($C$9,County_Lookup,7,FALSE)=0),"",VLOOKUP($C$9,County_Lookup,7,FALSE)))</f>
        <v/>
      </c>
      <c r="B21" s="222"/>
      <c r="C21" s="61"/>
      <c r="D21" s="87" t="str">
        <f t="shared" si="0"/>
        <v/>
      </c>
      <c r="E21" s="69"/>
      <c r="F21" s="61"/>
      <c r="G21" s="87" t="str">
        <f t="shared" si="1"/>
        <v/>
      </c>
      <c r="H21" s="69"/>
      <c r="I21" s="61"/>
      <c r="J21" s="87" t="str">
        <f t="shared" si="2"/>
        <v/>
      </c>
    </row>
    <row r="22" spans="1:10" ht="18" customHeight="1" x14ac:dyDescent="0.2">
      <c r="A22" s="76" t="str">
        <f>IF($C$9="Data Not Entered On Set-Up Worksheet","",IF(OR(VLOOKUP($C$9,County_Lookup,8,FALSE)="",VLOOKUP($C$9,County_Lookup,8,FALSE)=0),"",VLOOKUP($C$9,County_Lookup,8,FALSE)))</f>
        <v/>
      </c>
      <c r="B22" s="222"/>
      <c r="C22" s="61"/>
      <c r="D22" s="87" t="str">
        <f t="shared" si="0"/>
        <v/>
      </c>
      <c r="E22" s="69"/>
      <c r="F22" s="61"/>
      <c r="G22" s="87" t="str">
        <f t="shared" si="1"/>
        <v/>
      </c>
      <c r="H22" s="69"/>
      <c r="I22" s="61"/>
      <c r="J22" s="87" t="str">
        <f t="shared" si="2"/>
        <v/>
      </c>
    </row>
    <row r="23" spans="1:10" ht="18" customHeight="1" x14ac:dyDescent="0.2">
      <c r="A23" s="77" t="str">
        <f>IF($C$9="Data Not Entered On Set-Up Worksheet","",IF(OR(VLOOKUP($C$9,County_Lookup,9,FALSE)="",VLOOKUP($C$9,County_Lookup,9,FALSE)=0),"",VLOOKUP($C$9,County_Lookup,9,FALSE)))</f>
        <v/>
      </c>
      <c r="B23" s="222"/>
      <c r="C23" s="61"/>
      <c r="D23" s="87" t="str">
        <f t="shared" si="0"/>
        <v/>
      </c>
      <c r="E23" s="69"/>
      <c r="F23" s="61"/>
      <c r="G23" s="87" t="str">
        <f t="shared" si="1"/>
        <v/>
      </c>
      <c r="H23" s="69"/>
      <c r="I23" s="61"/>
      <c r="J23" s="87" t="str">
        <f t="shared" si="2"/>
        <v/>
      </c>
    </row>
    <row r="24" spans="1:10" ht="18" customHeight="1" x14ac:dyDescent="0.2">
      <c r="A24" s="77" t="str">
        <f>IF($C$9="Data Not Entered On Set-Up Worksheet","",IF(OR(VLOOKUP($C$9,County_Lookup,10,FALSE)="",VLOOKUP($C$9,County_Lookup,10,FALSE)=0),"",VLOOKUP($C$9,County_Lookup,10,FALSE)))</f>
        <v/>
      </c>
      <c r="B24" s="222"/>
      <c r="C24" s="61"/>
      <c r="D24" s="87" t="str">
        <f t="shared" si="0"/>
        <v/>
      </c>
      <c r="E24" s="69"/>
      <c r="F24" s="61"/>
      <c r="G24" s="87" t="str">
        <f t="shared" si="1"/>
        <v/>
      </c>
      <c r="H24" s="69"/>
      <c r="I24" s="61"/>
      <c r="J24" s="87" t="str">
        <f t="shared" si="2"/>
        <v/>
      </c>
    </row>
    <row r="25" spans="1:10" ht="18" customHeight="1" x14ac:dyDescent="0.2">
      <c r="A25" s="77" t="str">
        <f>IF($C$9="Data Not Entered On Set-Up Worksheet","",IF(OR(VLOOKUP($C$9,County_Lookup,11,FALSE)="",VLOOKUP($C$9,County_Lookup,11,FALSE)=0),"",VLOOKUP($C$9,County_Lookup,11,FALSE)))</f>
        <v/>
      </c>
      <c r="B25" s="222"/>
      <c r="C25" s="61"/>
      <c r="D25" s="87" t="str">
        <f t="shared" si="0"/>
        <v/>
      </c>
      <c r="E25" s="69"/>
      <c r="F25" s="61"/>
      <c r="G25" s="87" t="str">
        <f t="shared" si="1"/>
        <v/>
      </c>
      <c r="H25" s="69"/>
      <c r="I25" s="61"/>
      <c r="J25" s="87" t="str">
        <f t="shared" si="2"/>
        <v/>
      </c>
    </row>
    <row r="26" spans="1:10" ht="18" customHeight="1" x14ac:dyDescent="0.2">
      <c r="A26" s="77" t="str">
        <f>IF($C$9="Data Not Entered On Set-Up Worksheet","",IF(OR(VLOOKUP($C$9,County_Lookup,12,FALSE)="",VLOOKUP($C$9,County_Lookup,12,FALSE)=0),"",VLOOKUP($C$9,County_Lookup,12,FALSE)))</f>
        <v/>
      </c>
      <c r="B26" s="222"/>
      <c r="C26" s="61"/>
      <c r="D26" s="87" t="str">
        <f t="shared" si="0"/>
        <v/>
      </c>
      <c r="E26" s="69"/>
      <c r="F26" s="61"/>
      <c r="G26" s="87" t="str">
        <f t="shared" si="1"/>
        <v/>
      </c>
      <c r="H26" s="69"/>
      <c r="I26" s="61"/>
      <c r="J26" s="87" t="str">
        <f t="shared" si="2"/>
        <v/>
      </c>
    </row>
    <row r="27" spans="1:10" ht="18" customHeight="1" x14ac:dyDescent="0.2">
      <c r="A27" s="77" t="str">
        <f>IF($C$9="Data Not Entered On Set-Up Worksheet","",IF(OR(VLOOKUP($C$9,County_Lookup,13,FALSE)="",VLOOKUP($C$9,County_Lookup,13,FALSE)=0),"",VLOOKUP($C$9,County_Lookup,13,FALSE)))</f>
        <v/>
      </c>
      <c r="B27" s="222"/>
      <c r="C27" s="61"/>
      <c r="D27" s="87" t="str">
        <f t="shared" si="0"/>
        <v/>
      </c>
      <c r="E27" s="69"/>
      <c r="F27" s="61"/>
      <c r="G27" s="87" t="str">
        <f t="shared" si="1"/>
        <v/>
      </c>
      <c r="H27" s="69"/>
      <c r="I27" s="61"/>
      <c r="J27" s="87" t="str">
        <f t="shared" si="2"/>
        <v/>
      </c>
    </row>
    <row r="28" spans="1:10" ht="18" customHeight="1" x14ac:dyDescent="0.2">
      <c r="A28" s="77" t="str">
        <f>IF($C$9="Data Not Entered On Set-Up Worksheet","",IF(OR(VLOOKUP($C$9,County_Lookup,14,FALSE)="",VLOOKUP($C$9,County_Lookup,14,FALSE)=0),"",VLOOKUP($C$9,County_Lookup,14,FALSE)))</f>
        <v/>
      </c>
      <c r="B28" s="222"/>
      <c r="C28" s="61"/>
      <c r="D28" s="87" t="str">
        <f t="shared" si="0"/>
        <v/>
      </c>
      <c r="E28" s="69"/>
      <c r="F28" s="61"/>
      <c r="G28" s="87" t="str">
        <f t="shared" si="1"/>
        <v/>
      </c>
      <c r="H28" s="69"/>
      <c r="I28" s="61"/>
      <c r="J28" s="87" t="str">
        <f t="shared" si="2"/>
        <v/>
      </c>
    </row>
    <row r="29" spans="1:10" ht="18" customHeight="1" x14ac:dyDescent="0.2">
      <c r="A29" s="76" t="str">
        <f>IF($C$9="Data Not Entered On Set-Up Worksheet","",IF(OR(VLOOKUP($C$9,County_Lookup,15,FALSE)="",VLOOKUP($C$9,County_Lookup,15,FALSE)=0),"",VLOOKUP($C$9,County_Lookup,15,FALSE)))</f>
        <v/>
      </c>
      <c r="B29" s="222"/>
      <c r="C29" s="61"/>
      <c r="D29" s="87" t="str">
        <f t="shared" si="0"/>
        <v/>
      </c>
      <c r="E29" s="69"/>
      <c r="F29" s="61"/>
      <c r="G29" s="87" t="str">
        <f t="shared" si="1"/>
        <v/>
      </c>
      <c r="H29" s="69"/>
      <c r="I29" s="61"/>
      <c r="J29" s="87" t="str">
        <f t="shared" si="2"/>
        <v/>
      </c>
    </row>
    <row r="30" spans="1:10" ht="18" customHeight="1" x14ac:dyDescent="0.2">
      <c r="A30" s="77" t="str">
        <f>IF($C$9="Data Not Entered On Set-Up Worksheet","",IF(OR(VLOOKUP($C$9,County_Lookup,16,FALSE)="",VLOOKUP($C$9,County_Lookup,16,FALSE)=0),"",VLOOKUP($C$9,County_Lookup,16,FALSE)))</f>
        <v/>
      </c>
      <c r="B30" s="222"/>
      <c r="C30" s="61"/>
      <c r="D30" s="87" t="str">
        <f t="shared" si="0"/>
        <v/>
      </c>
      <c r="E30" s="69"/>
      <c r="F30" s="61"/>
      <c r="G30" s="87" t="str">
        <f t="shared" si="1"/>
        <v/>
      </c>
      <c r="H30" s="69"/>
      <c r="I30" s="61"/>
      <c r="J30" s="87" t="str">
        <f t="shared" si="2"/>
        <v/>
      </c>
    </row>
    <row r="31" spans="1:10" ht="18" customHeight="1" x14ac:dyDescent="0.2">
      <c r="A31" s="77" t="str">
        <f>IF($C$9="Data Not Entered On Set-Up Worksheet","",IF(OR(VLOOKUP($C$9,County_Lookup,17,FALSE)="",VLOOKUP($C$9,County_Lookup,17,FALSE)=0),"",VLOOKUP($C$9,County_Lookup,17,FALSE)))</f>
        <v/>
      </c>
      <c r="B31" s="222"/>
      <c r="C31" s="61"/>
      <c r="D31" s="87" t="str">
        <f t="shared" si="0"/>
        <v/>
      </c>
      <c r="E31" s="69"/>
      <c r="F31" s="61"/>
      <c r="G31" s="87" t="str">
        <f t="shared" si="1"/>
        <v/>
      </c>
      <c r="H31" s="69"/>
      <c r="I31" s="61"/>
      <c r="J31" s="87" t="str">
        <f t="shared" si="2"/>
        <v/>
      </c>
    </row>
    <row r="32" spans="1:10" ht="18" customHeight="1" x14ac:dyDescent="0.2">
      <c r="A32" s="77" t="str">
        <f>IF($C$9="Data Not Entered On Set-Up Worksheet","",IF(OR(VLOOKUP($C$9,County_Lookup,18,FALSE)="",VLOOKUP($C$9,County_Lookup,18,FALSE)=0),"",VLOOKUP($C$9,County_Lookup,18,FALSE)))</f>
        <v/>
      </c>
      <c r="B32" s="222"/>
      <c r="C32" s="61"/>
      <c r="D32" s="87" t="str">
        <f t="shared" si="0"/>
        <v/>
      </c>
      <c r="E32" s="69"/>
      <c r="F32" s="61"/>
      <c r="G32" s="87" t="str">
        <f t="shared" si="1"/>
        <v/>
      </c>
      <c r="H32" s="69"/>
      <c r="I32" s="61"/>
      <c r="J32" s="87" t="str">
        <f t="shared" si="2"/>
        <v/>
      </c>
    </row>
    <row r="33" spans="1:10" ht="18" customHeight="1" x14ac:dyDescent="0.2">
      <c r="A33" s="77" t="str">
        <f>IF($C$9="Data Not Entered On Set-Up Worksheet","",IF(OR(VLOOKUP($C$9,County_Lookup,19,FALSE)="",VLOOKUP($C$9,County_Lookup,19,FALSE)=0),"",VLOOKUP($C$9,County_Lookup,19,FALSE)))</f>
        <v/>
      </c>
      <c r="B33" s="222"/>
      <c r="C33" s="61"/>
      <c r="D33" s="87" t="str">
        <f t="shared" si="0"/>
        <v/>
      </c>
      <c r="E33" s="69"/>
      <c r="F33" s="61"/>
      <c r="G33" s="87" t="str">
        <f t="shared" si="1"/>
        <v/>
      </c>
      <c r="H33" s="69"/>
      <c r="I33" s="61"/>
      <c r="J33" s="87" t="str">
        <f t="shared" si="2"/>
        <v/>
      </c>
    </row>
    <row r="34" spans="1:10" ht="18" customHeight="1" x14ac:dyDescent="0.2">
      <c r="A34" s="77" t="str">
        <f>IF($C$9="Data Not Entered On Set-Up Worksheet","",IF(OR(VLOOKUP($C$9,County_Lookup,20,FALSE)="",VLOOKUP($C$9,County_Lookup,20,FALSE)=0),"",VLOOKUP($C$9,County_Lookup,20,FALSE)))</f>
        <v/>
      </c>
      <c r="B34" s="222"/>
      <c r="C34" s="61"/>
      <c r="D34" s="87" t="str">
        <f t="shared" si="0"/>
        <v/>
      </c>
      <c r="E34" s="69"/>
      <c r="F34" s="61"/>
      <c r="G34" s="87" t="str">
        <f t="shared" si="1"/>
        <v/>
      </c>
      <c r="H34" s="69"/>
      <c r="I34" s="61"/>
      <c r="J34" s="87" t="str">
        <f t="shared" si="2"/>
        <v/>
      </c>
    </row>
    <row r="35" spans="1:10" ht="18" customHeight="1" x14ac:dyDescent="0.2">
      <c r="A35" s="77" t="str">
        <f>IF($C$9="Data Not Entered On Set-Up Worksheet","",IF(OR(VLOOKUP($C$9,County_Lookup,21,FALSE)="",VLOOKUP($C$9,County_Lookup,21,FALSE)=0),"",VLOOKUP($C$9,County_Lookup,21,FALSE)))</f>
        <v/>
      </c>
      <c r="B35" s="222"/>
      <c r="C35" s="61"/>
      <c r="D35" s="87" t="str">
        <f t="shared" si="0"/>
        <v/>
      </c>
      <c r="E35" s="69"/>
      <c r="F35" s="61"/>
      <c r="G35" s="87" t="str">
        <f t="shared" si="1"/>
        <v/>
      </c>
      <c r="H35" s="69"/>
      <c r="I35" s="61"/>
      <c r="J35" s="87" t="str">
        <f t="shared" si="2"/>
        <v/>
      </c>
    </row>
    <row r="36" spans="1:10" ht="18" customHeight="1" x14ac:dyDescent="0.2">
      <c r="A36" s="76" t="str">
        <f>IF($C$9="Data Not Entered On Set-Up Worksheet","",IF(OR(VLOOKUP($C$9,County_Lookup,22,FALSE)="",VLOOKUP($C$9,County_Lookup,22,FALSE)=0),"",VLOOKUP($C$9,County_Lookup,22,FALSE)))</f>
        <v/>
      </c>
      <c r="B36" s="222"/>
      <c r="C36" s="61"/>
      <c r="D36" s="87" t="str">
        <f t="shared" si="0"/>
        <v/>
      </c>
      <c r="E36" s="69"/>
      <c r="F36" s="61"/>
      <c r="G36" s="87" t="str">
        <f t="shared" si="1"/>
        <v/>
      </c>
      <c r="H36" s="69"/>
      <c r="I36" s="61"/>
      <c r="J36" s="87" t="str">
        <f t="shared" si="2"/>
        <v/>
      </c>
    </row>
    <row r="37" spans="1:10" ht="18" customHeight="1" x14ac:dyDescent="0.2">
      <c r="A37" s="77" t="str">
        <f>IF($C$9="Data Not Entered On Set-Up Worksheet","",IF(OR(VLOOKUP($C$9,County_Lookup,23,FALSE)="",VLOOKUP($C$9,County_Lookup,23,FALSE)=0),"",VLOOKUP($C$9,County_Lookup,23,FALSE)))</f>
        <v/>
      </c>
      <c r="B37" s="222"/>
      <c r="C37" s="61"/>
      <c r="D37" s="87" t="str">
        <f t="shared" si="0"/>
        <v/>
      </c>
      <c r="E37" s="69"/>
      <c r="F37" s="61"/>
      <c r="G37" s="87" t="str">
        <f t="shared" si="1"/>
        <v/>
      </c>
      <c r="H37" s="69"/>
      <c r="I37" s="61"/>
      <c r="J37" s="87" t="str">
        <f t="shared" si="2"/>
        <v/>
      </c>
    </row>
    <row r="38" spans="1:10" ht="18" customHeight="1" x14ac:dyDescent="0.2">
      <c r="A38" s="77" t="str">
        <f>IF($C$9="Data Not Entered On Set-Up Worksheet","",IF(OR(VLOOKUP($C$9,County_Lookup,24,FALSE)="",VLOOKUP($C$9,County_Lookup,24,FALSE)=0),"",VLOOKUP($C$9,County_Lookup,24,FALSE)))</f>
        <v/>
      </c>
      <c r="B38" s="222"/>
      <c r="C38" s="61"/>
      <c r="D38" s="87" t="str">
        <f t="shared" ref="D38:D40" si="3">IF($A38="","",IF($C38=0,0,B38/$C38))</f>
        <v/>
      </c>
      <c r="E38" s="69"/>
      <c r="F38" s="61"/>
      <c r="G38" s="87" t="str">
        <f t="shared" ref="G38:G40" si="4">IF($A38="","",IF($F38=0,0,E38/$F38))</f>
        <v/>
      </c>
      <c r="H38" s="69"/>
      <c r="I38" s="61"/>
      <c r="J38" s="87" t="str">
        <f t="shared" ref="J38:J40" si="5">IF($A38="","",IF($I38=0,0,H38/$I38))</f>
        <v/>
      </c>
    </row>
    <row r="39" spans="1:10" ht="18" customHeight="1" x14ac:dyDescent="0.2">
      <c r="A39" s="77" t="str">
        <f>IF($C$9="Data Not Entered On Set-Up Worksheet","",IF(OR(VLOOKUP($C$9,County_Lookup,25,FALSE)="",VLOOKUP($C$9,County_Lookup,25,FALSE)=0),"",VLOOKUP($C$9,County_Lookup,25,FALSE)))</f>
        <v/>
      </c>
      <c r="B39" s="222"/>
      <c r="C39" s="61"/>
      <c r="D39" s="87" t="str">
        <f t="shared" si="3"/>
        <v/>
      </c>
      <c r="E39" s="69"/>
      <c r="F39" s="61"/>
      <c r="G39" s="87" t="str">
        <f t="shared" si="4"/>
        <v/>
      </c>
      <c r="H39" s="69"/>
      <c r="I39" s="61"/>
      <c r="J39" s="87" t="str">
        <f t="shared" si="5"/>
        <v/>
      </c>
    </row>
    <row r="40" spans="1:10" ht="18" customHeight="1" x14ac:dyDescent="0.2">
      <c r="A40" s="77" t="str">
        <f>IF($C$9="Data Not Entered On Set-Up Worksheet","",IF(OR(VLOOKUP($C$9,County_Lookup,26,FALSE)="",VLOOKUP($C$9,County_Lookup,26,FALSE)=0),"",VLOOKUP($C$9,County_Lookup,26,FALSE)))</f>
        <v/>
      </c>
      <c r="B40" s="222"/>
      <c r="C40" s="61"/>
      <c r="D40" s="87" t="str">
        <f t="shared" si="3"/>
        <v/>
      </c>
      <c r="E40" s="69"/>
      <c r="F40" s="61"/>
      <c r="G40" s="87" t="str">
        <f t="shared" si="4"/>
        <v/>
      </c>
      <c r="H40" s="69"/>
      <c r="I40" s="61"/>
      <c r="J40" s="87" t="str">
        <f t="shared" si="5"/>
        <v/>
      </c>
    </row>
    <row r="41" spans="1:10" ht="18" customHeight="1" x14ac:dyDescent="0.2">
      <c r="A41" s="77" t="str">
        <f>IF($C$9="Data Not Entered On Set-Up Worksheet","",IF(OR(VLOOKUP($C$9,County_Lookup,27,FALSE)="",VLOOKUP($C$9,County_Lookup,27,FALSE)=0),"",VLOOKUP($C$9,County_Lookup,27,FALSE)))</f>
        <v/>
      </c>
      <c r="B41" s="222"/>
      <c r="C41" s="61"/>
      <c r="D41" s="87" t="str">
        <f t="shared" si="0"/>
        <v/>
      </c>
      <c r="E41" s="69"/>
      <c r="F41" s="61"/>
      <c r="G41" s="87" t="str">
        <f t="shared" si="1"/>
        <v/>
      </c>
      <c r="H41" s="69"/>
      <c r="I41" s="61"/>
      <c r="J41" s="87" t="str">
        <f t="shared" si="2"/>
        <v/>
      </c>
    </row>
    <row r="42" spans="1:10" ht="18" customHeight="1" thickBot="1" x14ac:dyDescent="0.25">
      <c r="A42" s="78" t="s">
        <v>0</v>
      </c>
      <c r="B42" s="223">
        <f t="shared" ref="B42" si="6">SUM(B16:B41)</f>
        <v>0</v>
      </c>
      <c r="C42" s="72">
        <f>SUM(C16:C41)</f>
        <v>0</v>
      </c>
      <c r="D42" s="53">
        <f t="shared" si="0"/>
        <v>0</v>
      </c>
      <c r="E42" s="334">
        <f t="shared" ref="E42" si="7">SUM(E16:E41)</f>
        <v>0</v>
      </c>
      <c r="F42" s="72">
        <f>SUM(F16:F41)</f>
        <v>0</v>
      </c>
      <c r="G42" s="53">
        <f t="shared" si="1"/>
        <v>0</v>
      </c>
      <c r="H42" s="334">
        <f t="shared" ref="H42" si="8">SUM(H16:H41)</f>
        <v>0</v>
      </c>
      <c r="I42" s="72">
        <f>SUM(I16:I41)</f>
        <v>0</v>
      </c>
      <c r="J42" s="53">
        <f t="shared" si="2"/>
        <v>0</v>
      </c>
    </row>
  </sheetData>
  <sheetProtection sheet="1" objects="1" scenarios="1"/>
  <conditionalFormatting sqref="C3:D4 C9:D9 C11:D12">
    <cfRule type="expression" dxfId="350" priority="17">
      <formula>C3="Data Not Entered On Set-Up Worksheet"</formula>
    </cfRule>
  </conditionalFormatting>
  <conditionalFormatting sqref="B16:C38 E16:F38 H16:I38 H41:I41 E41:F41 B41:C41">
    <cfRule type="expression" dxfId="349" priority="16">
      <formula>AND($A16&lt;&gt;"",B16="")</formula>
    </cfRule>
  </conditionalFormatting>
  <conditionalFormatting sqref="G3:G4 G9 G11:G12">
    <cfRule type="expression" dxfId="348" priority="15">
      <formula>G3="Data Not Entered On Set-Up Worksheet"</formula>
    </cfRule>
  </conditionalFormatting>
  <conditionalFormatting sqref="J3:J4 J9 J11:J12">
    <cfRule type="expression" dxfId="347" priority="13">
      <formula>J3="Data Not Entered On Set-Up Worksheet"</formula>
    </cfRule>
  </conditionalFormatting>
  <conditionalFormatting sqref="F9:F10">
    <cfRule type="expression" dxfId="346" priority="11">
      <formula>F9="Data Not Entered On Set-Up Worksheet"</formula>
    </cfRule>
  </conditionalFormatting>
  <conditionalFormatting sqref="B16:C38 B41:C41">
    <cfRule type="expression" dxfId="345" priority="5">
      <formula>$A16="Other"</formula>
    </cfRule>
  </conditionalFormatting>
  <conditionalFormatting sqref="H39:I39 E39:F39 B39:C39">
    <cfRule type="expression" dxfId="344" priority="4">
      <formula>AND($A39&lt;&gt;"",B39="")</formula>
    </cfRule>
  </conditionalFormatting>
  <conditionalFormatting sqref="B39:C39">
    <cfRule type="expression" dxfId="343" priority="3">
      <formula>$A39="Other"</formula>
    </cfRule>
  </conditionalFormatting>
  <conditionalFormatting sqref="H40:I40 E40:F40 B40:C40">
    <cfRule type="expression" dxfId="342" priority="2">
      <formula>AND($A40&lt;&gt;"",B40="")</formula>
    </cfRule>
  </conditionalFormatting>
  <conditionalFormatting sqref="B40:C40">
    <cfRule type="expression" dxfId="341" priority="1">
      <formula>$A40="Other"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2"/>
  <sheetViews>
    <sheetView showGridLines="0" workbookViewId="0">
      <pane ySplit="15" topLeftCell="A16" activePane="bottomLeft" state="frozen"/>
      <selection activeCell="E7" sqref="E7:I7"/>
      <selection pane="bottomLeft" activeCell="B16" sqref="B16"/>
    </sheetView>
  </sheetViews>
  <sheetFormatPr defaultRowHeight="12.75" x14ac:dyDescent="0.2"/>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x14ac:dyDescent="0.2">
      <c r="A1" s="36" t="s">
        <v>28</v>
      </c>
      <c r="E1" s="30"/>
      <c r="H1" s="30"/>
    </row>
    <row r="2" spans="1:22" ht="15" customHeight="1" x14ac:dyDescent="0.2">
      <c r="A2" s="36" t="s">
        <v>196</v>
      </c>
      <c r="E2" s="321"/>
      <c r="H2" s="321"/>
    </row>
    <row r="3" spans="1:22" ht="15" customHeight="1" x14ac:dyDescent="0.2">
      <c r="A3" s="30" t="s">
        <v>194</v>
      </c>
      <c r="C3" s="147">
        <f>IF('Set-Up Worksheet'!F3="","Data Not Entered On Set-Up Worksheet",'Set-Up Worksheet'!F3)</f>
        <v>2018</v>
      </c>
      <c r="D3" s="147"/>
      <c r="G3" s="147"/>
      <c r="J3" s="147"/>
    </row>
    <row r="4" spans="1:22" ht="15" customHeight="1" x14ac:dyDescent="0.2">
      <c r="A4" s="30" t="s">
        <v>195</v>
      </c>
      <c r="C4" s="147" t="str">
        <f>IF('Set-Up Worksheet'!F4="","Data Not Entered On Set-Up Worksheet",'Set-Up Worksheet'!F4)</f>
        <v>1st Quarter</v>
      </c>
      <c r="D4" s="147"/>
      <c r="G4" s="147"/>
      <c r="J4" s="147"/>
    </row>
    <row r="5" spans="1:22" ht="15" customHeight="1" x14ac:dyDescent="0.2">
      <c r="A5" s="30"/>
      <c r="C5" s="32"/>
      <c r="D5" s="32"/>
      <c r="G5" s="32"/>
      <c r="J5" s="32"/>
    </row>
    <row r="6" spans="1:22" ht="15" customHeight="1" x14ac:dyDescent="0.2">
      <c r="A6" s="30" t="s">
        <v>337</v>
      </c>
      <c r="C6" s="32"/>
      <c r="D6" s="32"/>
      <c r="E6" s="30"/>
      <c r="G6" s="32"/>
      <c r="H6" s="30"/>
      <c r="J6" s="32"/>
    </row>
    <row r="7" spans="1:22" ht="15" customHeight="1" x14ac:dyDescent="0.2">
      <c r="A7" s="31" t="s">
        <v>394</v>
      </c>
      <c r="C7" s="32"/>
      <c r="D7" s="32"/>
      <c r="E7" s="30"/>
      <c r="G7" s="32"/>
      <c r="H7" s="30"/>
      <c r="J7" s="32"/>
    </row>
    <row r="8" spans="1:22" ht="15" customHeight="1" x14ac:dyDescent="0.2">
      <c r="A8" s="30"/>
      <c r="C8" s="32"/>
      <c r="D8" s="32"/>
      <c r="G8" s="32"/>
      <c r="J8" s="32"/>
      <c r="N8" s="54"/>
      <c r="O8" s="54"/>
      <c r="P8" s="55"/>
      <c r="Q8" s="54"/>
      <c r="R8" s="54"/>
      <c r="S8" s="54"/>
      <c r="T8" s="54"/>
      <c r="U8" s="30"/>
      <c r="V8" s="35"/>
    </row>
    <row r="9" spans="1:22" ht="15" customHeight="1" x14ac:dyDescent="0.2">
      <c r="A9" s="30" t="s">
        <v>29</v>
      </c>
      <c r="C9" s="39" t="str">
        <f>IF('Set-Up Worksheet'!E7="","Data Not Entered On Set-Up Worksheet",'Set-Up Worksheet'!E7)</f>
        <v>Data Not Entered On Set-Up Worksheet</v>
      </c>
      <c r="D9" s="39"/>
      <c r="F9" s="79" t="s">
        <v>444</v>
      </c>
      <c r="G9" s="39"/>
      <c r="J9" s="39"/>
    </row>
    <row r="10" spans="1:22" ht="15" customHeight="1" x14ac:dyDescent="0.2">
      <c r="A10" s="30" t="s">
        <v>9</v>
      </c>
      <c r="C10" s="32" t="s">
        <v>10</v>
      </c>
      <c r="D10" s="32"/>
      <c r="F10" s="79"/>
      <c r="G10" s="32"/>
      <c r="J10" s="32"/>
    </row>
    <row r="11" spans="1:22" ht="15" customHeight="1" x14ac:dyDescent="0.2">
      <c r="A11" s="30" t="s">
        <v>197</v>
      </c>
      <c r="C11" s="40" t="str">
        <f>IF(C4="Data Not Entered On Set-Up Worksheet","Data Not Entered On Set-Up Worksheet",IF(C4="1st Quarter",'Report Schedule'!D43,IF(C4="2nd Quarter",'Report Schedule'!E43,IF(C4="3rd Quarter",'Report Schedule'!F43,IF(C4="4th Quarter",'Report Schedule'!G43,"")))))</f>
        <v>Apr - Jun 2017</v>
      </c>
      <c r="D11" s="40"/>
      <c r="G11" s="40"/>
      <c r="J11" s="40"/>
    </row>
    <row r="12" spans="1:22" ht="15" customHeight="1" thickBot="1" x14ac:dyDescent="0.25">
      <c r="A12" s="30"/>
      <c r="C12" s="40"/>
      <c r="D12" s="40"/>
      <c r="G12" s="40"/>
      <c r="J12" s="40"/>
    </row>
    <row r="13" spans="1:22" ht="18" customHeight="1" thickBot="1" x14ac:dyDescent="0.25">
      <c r="A13" s="226" t="s">
        <v>327</v>
      </c>
      <c r="B13" s="384" t="s">
        <v>39</v>
      </c>
      <c r="C13" s="235"/>
      <c r="D13" s="236"/>
      <c r="E13" s="383" t="s">
        <v>241</v>
      </c>
      <c r="F13" s="231"/>
      <c r="G13" s="232"/>
      <c r="H13" s="384" t="s">
        <v>243</v>
      </c>
      <c r="I13" s="235"/>
      <c r="J13" s="236"/>
    </row>
    <row r="14" spans="1:22" s="35" customFormat="1" ht="13.5" thickBot="1" x14ac:dyDescent="0.25">
      <c r="A14" s="30"/>
      <c r="B14" s="45" t="s">
        <v>3</v>
      </c>
      <c r="C14" s="57" t="s">
        <v>4</v>
      </c>
      <c r="D14" s="57" t="s">
        <v>8</v>
      </c>
      <c r="E14" s="45" t="s">
        <v>3</v>
      </c>
      <c r="F14" s="57" t="s">
        <v>4</v>
      </c>
      <c r="G14" s="57" t="s">
        <v>8</v>
      </c>
      <c r="H14" s="45" t="s">
        <v>3</v>
      </c>
      <c r="I14" s="57" t="s">
        <v>4</v>
      </c>
      <c r="J14" s="57" t="s">
        <v>8</v>
      </c>
      <c r="K14" s="33"/>
      <c r="L14" s="30"/>
      <c r="M14" s="30"/>
      <c r="N14" s="30"/>
      <c r="O14" s="30"/>
      <c r="P14" s="30"/>
    </row>
    <row r="15" spans="1:22" ht="38.25" x14ac:dyDescent="0.2">
      <c r="A15" s="75" t="s">
        <v>43</v>
      </c>
      <c r="B15" s="242" t="s">
        <v>31</v>
      </c>
      <c r="C15" s="240" t="s">
        <v>30</v>
      </c>
      <c r="D15" s="241" t="s">
        <v>32</v>
      </c>
      <c r="E15" s="333" t="s">
        <v>31</v>
      </c>
      <c r="F15" s="67" t="s">
        <v>30</v>
      </c>
      <c r="G15" s="68" t="s">
        <v>32</v>
      </c>
      <c r="H15" s="335" t="s">
        <v>31</v>
      </c>
      <c r="I15" s="240" t="s">
        <v>30</v>
      </c>
      <c r="J15" s="241" t="s">
        <v>32</v>
      </c>
    </row>
    <row r="16" spans="1:22" ht="18" customHeight="1" x14ac:dyDescent="0.2">
      <c r="A16" s="76" t="str">
        <f>IF($C$9="Data Not Entered On Set-Up Worksheet","",IF(OR(VLOOKUP($C$9,County_Lookup,2,FALSE)="",VLOOKUP($C$9,County_Lookup,2,FALSE)=0),"",VLOOKUP($C$9,County_Lookup,2,FALSE)))</f>
        <v/>
      </c>
      <c r="B16" s="222"/>
      <c r="C16" s="61"/>
      <c r="D16" s="87" t="str">
        <f t="shared" ref="D16:D42" si="0">IF($A16="","",IF($C16=0,0,B16/$C16))</f>
        <v/>
      </c>
      <c r="E16" s="69"/>
      <c r="F16" s="61"/>
      <c r="G16" s="87" t="str">
        <f t="shared" ref="G16:G42" si="1">IF($A16="","",IF($F16=0,0,E16/$F16))</f>
        <v/>
      </c>
      <c r="H16" s="69"/>
      <c r="I16" s="61"/>
      <c r="J16" s="87" t="str">
        <f t="shared" ref="J16:J42" si="2">IF($A16="","",IF($I16=0,0,H16/$I16))</f>
        <v/>
      </c>
    </row>
    <row r="17" spans="1:10" ht="18" customHeight="1" x14ac:dyDescent="0.2">
      <c r="A17" s="77" t="str">
        <f>IF($C$9="Data Not Entered On Set-Up Worksheet","",IF(OR(VLOOKUP($C$9,County_Lookup,3,FALSE)="",VLOOKUP($C$9,County_Lookup,3,FALSE)=0),"",VLOOKUP($C$9,County_Lookup,3,FALSE)))</f>
        <v/>
      </c>
      <c r="B17" s="222"/>
      <c r="C17" s="61"/>
      <c r="D17" s="87" t="str">
        <f t="shared" si="0"/>
        <v/>
      </c>
      <c r="E17" s="69"/>
      <c r="F17" s="61"/>
      <c r="G17" s="87" t="str">
        <f t="shared" si="1"/>
        <v/>
      </c>
      <c r="H17" s="69"/>
      <c r="I17" s="61"/>
      <c r="J17" s="87" t="str">
        <f t="shared" si="2"/>
        <v/>
      </c>
    </row>
    <row r="18" spans="1:10" ht="18" customHeight="1" x14ac:dyDescent="0.2">
      <c r="A18" s="77" t="str">
        <f>IF($C$9="Data Not Entered On Set-Up Worksheet","",IF(OR(VLOOKUP($C$9,County_Lookup,4,FALSE)="",VLOOKUP($C$9,County_Lookup,4,FALSE)=0),"",VLOOKUP($C$9,County_Lookup,4,FALSE)))</f>
        <v/>
      </c>
      <c r="B18" s="222"/>
      <c r="C18" s="61"/>
      <c r="D18" s="87" t="str">
        <f t="shared" si="0"/>
        <v/>
      </c>
      <c r="E18" s="69"/>
      <c r="F18" s="61"/>
      <c r="G18" s="87" t="str">
        <f t="shared" si="1"/>
        <v/>
      </c>
      <c r="H18" s="69"/>
      <c r="I18" s="61"/>
      <c r="J18" s="87" t="str">
        <f t="shared" si="2"/>
        <v/>
      </c>
    </row>
    <row r="19" spans="1:10" ht="18" customHeight="1" x14ac:dyDescent="0.2">
      <c r="A19" s="77" t="str">
        <f>IF($C$9="Data Not Entered On Set-Up Worksheet","",IF(OR(VLOOKUP($C$9,County_Lookup,5,FALSE)="",VLOOKUP($C$9,County_Lookup,5,FALSE)=0),"",VLOOKUP($C$9,County_Lookup,5,FALSE)))</f>
        <v/>
      </c>
      <c r="B19" s="222"/>
      <c r="C19" s="61"/>
      <c r="D19" s="87" t="str">
        <f t="shared" si="0"/>
        <v/>
      </c>
      <c r="E19" s="69"/>
      <c r="F19" s="61"/>
      <c r="G19" s="87" t="str">
        <f t="shared" si="1"/>
        <v/>
      </c>
      <c r="H19" s="69"/>
      <c r="I19" s="61"/>
      <c r="J19" s="87" t="str">
        <f t="shared" si="2"/>
        <v/>
      </c>
    </row>
    <row r="20" spans="1:10" ht="18" customHeight="1" x14ac:dyDescent="0.2">
      <c r="A20" s="77" t="str">
        <f>IF($C$9="Data Not Entered On Set-Up Worksheet","",IF(OR(VLOOKUP($C$9,County_Lookup,6,FALSE)="",VLOOKUP($C$9,County_Lookup,6,FALSE)=0),"",VLOOKUP($C$9,County_Lookup,6,FALSE)))</f>
        <v/>
      </c>
      <c r="B20" s="222"/>
      <c r="C20" s="61"/>
      <c r="D20" s="87" t="str">
        <f t="shared" si="0"/>
        <v/>
      </c>
      <c r="E20" s="69"/>
      <c r="F20" s="61"/>
      <c r="G20" s="87" t="str">
        <f t="shared" si="1"/>
        <v/>
      </c>
      <c r="H20" s="69"/>
      <c r="I20" s="61"/>
      <c r="J20" s="87" t="str">
        <f t="shared" si="2"/>
        <v/>
      </c>
    </row>
    <row r="21" spans="1:10" ht="18" customHeight="1" x14ac:dyDescent="0.2">
      <c r="A21" s="77" t="str">
        <f>IF($C$9="Data Not Entered On Set-Up Worksheet","",IF(OR(VLOOKUP($C$9,County_Lookup,7,FALSE)="",VLOOKUP($C$9,County_Lookup,7,FALSE)=0),"",VLOOKUP($C$9,County_Lookup,7,FALSE)))</f>
        <v/>
      </c>
      <c r="B21" s="222"/>
      <c r="C21" s="61"/>
      <c r="D21" s="87" t="str">
        <f t="shared" si="0"/>
        <v/>
      </c>
      <c r="E21" s="69"/>
      <c r="F21" s="61"/>
      <c r="G21" s="87" t="str">
        <f t="shared" si="1"/>
        <v/>
      </c>
      <c r="H21" s="69"/>
      <c r="I21" s="61"/>
      <c r="J21" s="87" t="str">
        <f t="shared" si="2"/>
        <v/>
      </c>
    </row>
    <row r="22" spans="1:10" ht="18" customHeight="1" x14ac:dyDescent="0.2">
      <c r="A22" s="76" t="str">
        <f>IF($C$9="Data Not Entered On Set-Up Worksheet","",IF(OR(VLOOKUP($C$9,County_Lookup,8,FALSE)="",VLOOKUP($C$9,County_Lookup,8,FALSE)=0),"",VLOOKUP($C$9,County_Lookup,8,FALSE)))</f>
        <v/>
      </c>
      <c r="B22" s="222"/>
      <c r="C22" s="61"/>
      <c r="D22" s="87" t="str">
        <f t="shared" si="0"/>
        <v/>
      </c>
      <c r="E22" s="69"/>
      <c r="F22" s="61"/>
      <c r="G22" s="87" t="str">
        <f t="shared" si="1"/>
        <v/>
      </c>
      <c r="H22" s="69"/>
      <c r="I22" s="61"/>
      <c r="J22" s="87" t="str">
        <f t="shared" si="2"/>
        <v/>
      </c>
    </row>
    <row r="23" spans="1:10" ht="18" customHeight="1" x14ac:dyDescent="0.2">
      <c r="A23" s="77" t="str">
        <f>IF($C$9="Data Not Entered On Set-Up Worksheet","",IF(OR(VLOOKUP($C$9,County_Lookup,9,FALSE)="",VLOOKUP($C$9,County_Lookup,9,FALSE)=0),"",VLOOKUP($C$9,County_Lookup,9,FALSE)))</f>
        <v/>
      </c>
      <c r="B23" s="222"/>
      <c r="C23" s="61"/>
      <c r="D23" s="87" t="str">
        <f t="shared" si="0"/>
        <v/>
      </c>
      <c r="E23" s="69"/>
      <c r="F23" s="61"/>
      <c r="G23" s="87" t="str">
        <f t="shared" si="1"/>
        <v/>
      </c>
      <c r="H23" s="69"/>
      <c r="I23" s="61"/>
      <c r="J23" s="87" t="str">
        <f t="shared" si="2"/>
        <v/>
      </c>
    </row>
    <row r="24" spans="1:10" ht="18" customHeight="1" x14ac:dyDescent="0.2">
      <c r="A24" s="77" t="str">
        <f>IF($C$9="Data Not Entered On Set-Up Worksheet","",IF(OR(VLOOKUP($C$9,County_Lookup,10,FALSE)="",VLOOKUP($C$9,County_Lookup,10,FALSE)=0),"",VLOOKUP($C$9,County_Lookup,10,FALSE)))</f>
        <v/>
      </c>
      <c r="B24" s="222"/>
      <c r="C24" s="61"/>
      <c r="D24" s="87" t="str">
        <f t="shared" si="0"/>
        <v/>
      </c>
      <c r="E24" s="69"/>
      <c r="F24" s="61"/>
      <c r="G24" s="87" t="str">
        <f t="shared" si="1"/>
        <v/>
      </c>
      <c r="H24" s="69"/>
      <c r="I24" s="61"/>
      <c r="J24" s="87" t="str">
        <f t="shared" si="2"/>
        <v/>
      </c>
    </row>
    <row r="25" spans="1:10" ht="18" customHeight="1" x14ac:dyDescent="0.2">
      <c r="A25" s="77" t="str">
        <f>IF($C$9="Data Not Entered On Set-Up Worksheet","",IF(OR(VLOOKUP($C$9,County_Lookup,11,FALSE)="",VLOOKUP($C$9,County_Lookup,11,FALSE)=0),"",VLOOKUP($C$9,County_Lookup,11,FALSE)))</f>
        <v/>
      </c>
      <c r="B25" s="222"/>
      <c r="C25" s="61"/>
      <c r="D25" s="87" t="str">
        <f t="shared" si="0"/>
        <v/>
      </c>
      <c r="E25" s="69"/>
      <c r="F25" s="61"/>
      <c r="G25" s="87" t="str">
        <f t="shared" si="1"/>
        <v/>
      </c>
      <c r="H25" s="69"/>
      <c r="I25" s="61"/>
      <c r="J25" s="87" t="str">
        <f t="shared" si="2"/>
        <v/>
      </c>
    </row>
    <row r="26" spans="1:10" ht="18" customHeight="1" x14ac:dyDescent="0.2">
      <c r="A26" s="77" t="str">
        <f>IF($C$9="Data Not Entered On Set-Up Worksheet","",IF(OR(VLOOKUP($C$9,County_Lookup,12,FALSE)="",VLOOKUP($C$9,County_Lookup,12,FALSE)=0),"",VLOOKUP($C$9,County_Lookup,12,FALSE)))</f>
        <v/>
      </c>
      <c r="B26" s="222"/>
      <c r="C26" s="61"/>
      <c r="D26" s="87" t="str">
        <f t="shared" si="0"/>
        <v/>
      </c>
      <c r="E26" s="69"/>
      <c r="F26" s="61"/>
      <c r="G26" s="87" t="str">
        <f t="shared" si="1"/>
        <v/>
      </c>
      <c r="H26" s="69"/>
      <c r="I26" s="61"/>
      <c r="J26" s="87" t="str">
        <f t="shared" si="2"/>
        <v/>
      </c>
    </row>
    <row r="27" spans="1:10" ht="18" customHeight="1" x14ac:dyDescent="0.2">
      <c r="A27" s="77" t="str">
        <f>IF($C$9="Data Not Entered On Set-Up Worksheet","",IF(OR(VLOOKUP($C$9,County_Lookup,13,FALSE)="",VLOOKUP($C$9,County_Lookup,13,FALSE)=0),"",VLOOKUP($C$9,County_Lookup,13,FALSE)))</f>
        <v/>
      </c>
      <c r="B27" s="222"/>
      <c r="C27" s="61"/>
      <c r="D27" s="87" t="str">
        <f t="shared" si="0"/>
        <v/>
      </c>
      <c r="E27" s="69"/>
      <c r="F27" s="61"/>
      <c r="G27" s="87" t="str">
        <f t="shared" si="1"/>
        <v/>
      </c>
      <c r="H27" s="69"/>
      <c r="I27" s="61"/>
      <c r="J27" s="87" t="str">
        <f t="shared" si="2"/>
        <v/>
      </c>
    </row>
    <row r="28" spans="1:10" ht="18" customHeight="1" x14ac:dyDescent="0.2">
      <c r="A28" s="77" t="str">
        <f>IF($C$9="Data Not Entered On Set-Up Worksheet","",IF(OR(VLOOKUP($C$9,County_Lookup,14,FALSE)="",VLOOKUP($C$9,County_Lookup,14,FALSE)=0),"",VLOOKUP($C$9,County_Lookup,14,FALSE)))</f>
        <v/>
      </c>
      <c r="B28" s="222"/>
      <c r="C28" s="61"/>
      <c r="D28" s="87" t="str">
        <f t="shared" si="0"/>
        <v/>
      </c>
      <c r="E28" s="69"/>
      <c r="F28" s="61"/>
      <c r="G28" s="87" t="str">
        <f t="shared" si="1"/>
        <v/>
      </c>
      <c r="H28" s="69"/>
      <c r="I28" s="61"/>
      <c r="J28" s="87" t="str">
        <f t="shared" si="2"/>
        <v/>
      </c>
    </row>
    <row r="29" spans="1:10" ht="18" customHeight="1" x14ac:dyDescent="0.2">
      <c r="A29" s="76" t="str">
        <f>IF($C$9="Data Not Entered On Set-Up Worksheet","",IF(OR(VLOOKUP($C$9,County_Lookup,15,FALSE)="",VLOOKUP($C$9,County_Lookup,15,FALSE)=0),"",VLOOKUP($C$9,County_Lookup,15,FALSE)))</f>
        <v/>
      </c>
      <c r="B29" s="222"/>
      <c r="C29" s="61"/>
      <c r="D29" s="87" t="str">
        <f t="shared" si="0"/>
        <v/>
      </c>
      <c r="E29" s="69"/>
      <c r="F29" s="61"/>
      <c r="G29" s="87" t="str">
        <f t="shared" si="1"/>
        <v/>
      </c>
      <c r="H29" s="69"/>
      <c r="I29" s="61"/>
      <c r="J29" s="87" t="str">
        <f t="shared" si="2"/>
        <v/>
      </c>
    </row>
    <row r="30" spans="1:10" ht="18" customHeight="1" x14ac:dyDescent="0.2">
      <c r="A30" s="77" t="str">
        <f>IF($C$9="Data Not Entered On Set-Up Worksheet","",IF(OR(VLOOKUP($C$9,County_Lookup,16,FALSE)="",VLOOKUP($C$9,County_Lookup,16,FALSE)=0),"",VLOOKUP($C$9,County_Lookup,16,FALSE)))</f>
        <v/>
      </c>
      <c r="B30" s="222"/>
      <c r="C30" s="61"/>
      <c r="D30" s="87" t="str">
        <f t="shared" si="0"/>
        <v/>
      </c>
      <c r="E30" s="69"/>
      <c r="F30" s="61"/>
      <c r="G30" s="87" t="str">
        <f t="shared" si="1"/>
        <v/>
      </c>
      <c r="H30" s="69"/>
      <c r="I30" s="61"/>
      <c r="J30" s="87" t="str">
        <f t="shared" si="2"/>
        <v/>
      </c>
    </row>
    <row r="31" spans="1:10" ht="18" customHeight="1" x14ac:dyDescent="0.2">
      <c r="A31" s="77" t="str">
        <f>IF($C$9="Data Not Entered On Set-Up Worksheet","",IF(OR(VLOOKUP($C$9,County_Lookup,17,FALSE)="",VLOOKUP($C$9,County_Lookup,17,FALSE)=0),"",VLOOKUP($C$9,County_Lookup,17,FALSE)))</f>
        <v/>
      </c>
      <c r="B31" s="222"/>
      <c r="C31" s="61"/>
      <c r="D31" s="87" t="str">
        <f t="shared" si="0"/>
        <v/>
      </c>
      <c r="E31" s="69"/>
      <c r="F31" s="61"/>
      <c r="G31" s="87" t="str">
        <f t="shared" si="1"/>
        <v/>
      </c>
      <c r="H31" s="69"/>
      <c r="I31" s="61"/>
      <c r="J31" s="87" t="str">
        <f t="shared" si="2"/>
        <v/>
      </c>
    </row>
    <row r="32" spans="1:10" ht="18" customHeight="1" x14ac:dyDescent="0.2">
      <c r="A32" s="77" t="str">
        <f>IF($C$9="Data Not Entered On Set-Up Worksheet","",IF(OR(VLOOKUP($C$9,County_Lookup,18,FALSE)="",VLOOKUP($C$9,County_Lookup,18,FALSE)=0),"",VLOOKUP($C$9,County_Lookup,18,FALSE)))</f>
        <v/>
      </c>
      <c r="B32" s="222"/>
      <c r="C32" s="61"/>
      <c r="D32" s="87" t="str">
        <f t="shared" si="0"/>
        <v/>
      </c>
      <c r="E32" s="69"/>
      <c r="F32" s="61"/>
      <c r="G32" s="87" t="str">
        <f t="shared" si="1"/>
        <v/>
      </c>
      <c r="H32" s="69"/>
      <c r="I32" s="61"/>
      <c r="J32" s="87" t="str">
        <f t="shared" si="2"/>
        <v/>
      </c>
    </row>
    <row r="33" spans="1:10" ht="18" customHeight="1" x14ac:dyDescent="0.2">
      <c r="A33" s="77" t="str">
        <f>IF($C$9="Data Not Entered On Set-Up Worksheet","",IF(OR(VLOOKUP($C$9,County_Lookup,19,FALSE)="",VLOOKUP($C$9,County_Lookup,19,FALSE)=0),"",VLOOKUP($C$9,County_Lookup,19,FALSE)))</f>
        <v/>
      </c>
      <c r="B33" s="222"/>
      <c r="C33" s="61"/>
      <c r="D33" s="87" t="str">
        <f t="shared" si="0"/>
        <v/>
      </c>
      <c r="E33" s="69"/>
      <c r="F33" s="61"/>
      <c r="G33" s="87" t="str">
        <f t="shared" si="1"/>
        <v/>
      </c>
      <c r="H33" s="69"/>
      <c r="I33" s="61"/>
      <c r="J33" s="87" t="str">
        <f t="shared" si="2"/>
        <v/>
      </c>
    </row>
    <row r="34" spans="1:10" ht="18" customHeight="1" x14ac:dyDescent="0.2">
      <c r="A34" s="77" t="str">
        <f>IF($C$9="Data Not Entered On Set-Up Worksheet","",IF(OR(VLOOKUP($C$9,County_Lookup,20,FALSE)="",VLOOKUP($C$9,County_Lookup,20,FALSE)=0),"",VLOOKUP($C$9,County_Lookup,20,FALSE)))</f>
        <v/>
      </c>
      <c r="B34" s="222"/>
      <c r="C34" s="61"/>
      <c r="D34" s="87" t="str">
        <f t="shared" si="0"/>
        <v/>
      </c>
      <c r="E34" s="69"/>
      <c r="F34" s="61"/>
      <c r="G34" s="87" t="str">
        <f t="shared" si="1"/>
        <v/>
      </c>
      <c r="H34" s="69"/>
      <c r="I34" s="61"/>
      <c r="J34" s="87" t="str">
        <f t="shared" si="2"/>
        <v/>
      </c>
    </row>
    <row r="35" spans="1:10" ht="18" customHeight="1" x14ac:dyDescent="0.2">
      <c r="A35" s="77" t="str">
        <f>IF($C$9="Data Not Entered On Set-Up Worksheet","",IF(OR(VLOOKUP($C$9,County_Lookup,21,FALSE)="",VLOOKUP($C$9,County_Lookup,21,FALSE)=0),"",VLOOKUP($C$9,County_Lookup,21,FALSE)))</f>
        <v/>
      </c>
      <c r="B35" s="222"/>
      <c r="C35" s="61"/>
      <c r="D35" s="87" t="str">
        <f t="shared" si="0"/>
        <v/>
      </c>
      <c r="E35" s="69"/>
      <c r="F35" s="61"/>
      <c r="G35" s="87" t="str">
        <f t="shared" si="1"/>
        <v/>
      </c>
      <c r="H35" s="69"/>
      <c r="I35" s="61"/>
      <c r="J35" s="87" t="str">
        <f t="shared" si="2"/>
        <v/>
      </c>
    </row>
    <row r="36" spans="1:10" ht="18" customHeight="1" x14ac:dyDescent="0.2">
      <c r="A36" s="76" t="str">
        <f>IF($C$9="Data Not Entered On Set-Up Worksheet","",IF(OR(VLOOKUP($C$9,County_Lookup,22,FALSE)="",VLOOKUP($C$9,County_Lookup,22,FALSE)=0),"",VLOOKUP($C$9,County_Lookup,22,FALSE)))</f>
        <v/>
      </c>
      <c r="B36" s="222"/>
      <c r="C36" s="61"/>
      <c r="D36" s="87" t="str">
        <f t="shared" si="0"/>
        <v/>
      </c>
      <c r="E36" s="69"/>
      <c r="F36" s="61"/>
      <c r="G36" s="87" t="str">
        <f t="shared" si="1"/>
        <v/>
      </c>
      <c r="H36" s="69"/>
      <c r="I36" s="61"/>
      <c r="J36" s="87" t="str">
        <f t="shared" si="2"/>
        <v/>
      </c>
    </row>
    <row r="37" spans="1:10" ht="18" customHeight="1" x14ac:dyDescent="0.2">
      <c r="A37" s="77" t="str">
        <f>IF($C$9="Data Not Entered On Set-Up Worksheet","",IF(OR(VLOOKUP($C$9,County_Lookup,23,FALSE)="",VLOOKUP($C$9,County_Lookup,23,FALSE)=0),"",VLOOKUP($C$9,County_Lookup,23,FALSE)))</f>
        <v/>
      </c>
      <c r="B37" s="222"/>
      <c r="C37" s="61"/>
      <c r="D37" s="87" t="str">
        <f t="shared" si="0"/>
        <v/>
      </c>
      <c r="E37" s="69"/>
      <c r="F37" s="61"/>
      <c r="G37" s="87" t="str">
        <f t="shared" si="1"/>
        <v/>
      </c>
      <c r="H37" s="69"/>
      <c r="I37" s="61"/>
      <c r="J37" s="87" t="str">
        <f t="shared" si="2"/>
        <v/>
      </c>
    </row>
    <row r="38" spans="1:10" ht="18" customHeight="1" x14ac:dyDescent="0.2">
      <c r="A38" s="77" t="str">
        <f>IF($C$9="Data Not Entered On Set-Up Worksheet","",IF(OR(VLOOKUP($C$9,County_Lookup,24,FALSE)="",VLOOKUP($C$9,County_Lookup,24,FALSE)=0),"",VLOOKUP($C$9,County_Lookup,24,FALSE)))</f>
        <v/>
      </c>
      <c r="B38" s="222"/>
      <c r="C38" s="61"/>
      <c r="D38" s="87" t="str">
        <f t="shared" ref="D38:D40" si="3">IF($A38="","",IF($C38=0,0,B38/$C38))</f>
        <v/>
      </c>
      <c r="E38" s="69"/>
      <c r="F38" s="61"/>
      <c r="G38" s="87" t="str">
        <f t="shared" ref="G38:G40" si="4">IF($A38="","",IF($F38=0,0,E38/$F38))</f>
        <v/>
      </c>
      <c r="H38" s="69"/>
      <c r="I38" s="61"/>
      <c r="J38" s="87" t="str">
        <f t="shared" ref="J38:J40" si="5">IF($A38="","",IF($I38=0,0,H38/$I38))</f>
        <v/>
      </c>
    </row>
    <row r="39" spans="1:10" ht="18" customHeight="1" x14ac:dyDescent="0.2">
      <c r="A39" s="77" t="str">
        <f>IF($C$9="Data Not Entered On Set-Up Worksheet","",IF(OR(VLOOKUP($C$9,County_Lookup,25,FALSE)="",VLOOKUP($C$9,County_Lookup,25,FALSE)=0),"",VLOOKUP($C$9,County_Lookup,25,FALSE)))</f>
        <v/>
      </c>
      <c r="B39" s="222"/>
      <c r="C39" s="61"/>
      <c r="D39" s="87" t="str">
        <f t="shared" si="3"/>
        <v/>
      </c>
      <c r="E39" s="69"/>
      <c r="F39" s="61"/>
      <c r="G39" s="87" t="str">
        <f t="shared" si="4"/>
        <v/>
      </c>
      <c r="H39" s="69"/>
      <c r="I39" s="61"/>
      <c r="J39" s="87" t="str">
        <f t="shared" si="5"/>
        <v/>
      </c>
    </row>
    <row r="40" spans="1:10" ht="18" customHeight="1" x14ac:dyDescent="0.2">
      <c r="A40" s="77" t="str">
        <f>IF($C$9="Data Not Entered On Set-Up Worksheet","",IF(OR(VLOOKUP($C$9,County_Lookup,26,FALSE)="",VLOOKUP($C$9,County_Lookup,26,FALSE)=0),"",VLOOKUP($C$9,County_Lookup,26,FALSE)))</f>
        <v/>
      </c>
      <c r="B40" s="222"/>
      <c r="C40" s="61"/>
      <c r="D40" s="87" t="str">
        <f t="shared" si="3"/>
        <v/>
      </c>
      <c r="E40" s="69"/>
      <c r="F40" s="61"/>
      <c r="G40" s="87" t="str">
        <f t="shared" si="4"/>
        <v/>
      </c>
      <c r="H40" s="69"/>
      <c r="I40" s="61"/>
      <c r="J40" s="87" t="str">
        <f t="shared" si="5"/>
        <v/>
      </c>
    </row>
    <row r="41" spans="1:10" ht="18" customHeight="1" x14ac:dyDescent="0.2">
      <c r="A41" s="77" t="str">
        <f>IF($C$9="Data Not Entered On Set-Up Worksheet","",IF(OR(VLOOKUP($C$9,County_Lookup,27,FALSE)="",VLOOKUP($C$9,County_Lookup,27,FALSE)=0),"",VLOOKUP($C$9,County_Lookup,27,FALSE)))</f>
        <v/>
      </c>
      <c r="B41" s="222"/>
      <c r="C41" s="61"/>
      <c r="D41" s="87" t="str">
        <f t="shared" si="0"/>
        <v/>
      </c>
      <c r="E41" s="69"/>
      <c r="F41" s="61"/>
      <c r="G41" s="87" t="str">
        <f t="shared" si="1"/>
        <v/>
      </c>
      <c r="H41" s="69"/>
      <c r="I41" s="61"/>
      <c r="J41" s="87" t="str">
        <f t="shared" si="2"/>
        <v/>
      </c>
    </row>
    <row r="42" spans="1:10" ht="18" customHeight="1" thickBot="1" x14ac:dyDescent="0.25">
      <c r="A42" s="78" t="s">
        <v>0</v>
      </c>
      <c r="B42" s="223">
        <f t="shared" ref="B42" si="6">SUM(B16:B41)</f>
        <v>0</v>
      </c>
      <c r="C42" s="72">
        <f>SUM(C16:C41)</f>
        <v>0</v>
      </c>
      <c r="D42" s="53">
        <f t="shared" si="0"/>
        <v>0</v>
      </c>
      <c r="E42" s="334">
        <f t="shared" ref="E42" si="7">SUM(E16:E41)</f>
        <v>0</v>
      </c>
      <c r="F42" s="72">
        <f>SUM(F16:F41)</f>
        <v>0</v>
      </c>
      <c r="G42" s="53">
        <f t="shared" si="1"/>
        <v>0</v>
      </c>
      <c r="H42" s="334">
        <f t="shared" ref="H42" si="8">SUM(H16:H41)</f>
        <v>0</v>
      </c>
      <c r="I42" s="72">
        <f>SUM(I16:I41)</f>
        <v>0</v>
      </c>
      <c r="J42" s="53">
        <f t="shared" si="2"/>
        <v>0</v>
      </c>
    </row>
  </sheetData>
  <sheetProtection sheet="1" objects="1" scenarios="1"/>
  <conditionalFormatting sqref="C3:D4 C9:D9 C11:D12">
    <cfRule type="expression" dxfId="340" priority="17">
      <formula>C3="Data Not Entered On Set-Up Worksheet"</formula>
    </cfRule>
  </conditionalFormatting>
  <conditionalFormatting sqref="B16:C38 E16:F38 H16:I38 H41:I41 E41:F41 B41:C41">
    <cfRule type="expression" dxfId="339" priority="16">
      <formula>AND($A16&lt;&gt;"",B16="")</formula>
    </cfRule>
  </conditionalFormatting>
  <conditionalFormatting sqref="G3:G4 G9 G11:G12">
    <cfRule type="expression" dxfId="338" priority="15">
      <formula>G3="Data Not Entered On Set-Up Worksheet"</formula>
    </cfRule>
  </conditionalFormatting>
  <conditionalFormatting sqref="J3:J4 J9 J11:J12">
    <cfRule type="expression" dxfId="337" priority="13">
      <formula>J3="Data Not Entered On Set-Up Worksheet"</formula>
    </cfRule>
  </conditionalFormatting>
  <conditionalFormatting sqref="F9:F10">
    <cfRule type="expression" dxfId="336" priority="11">
      <formula>F9="Data Not Entered On Set-Up Worksheet"</formula>
    </cfRule>
  </conditionalFormatting>
  <conditionalFormatting sqref="B16:C38 B41:C41">
    <cfRule type="expression" dxfId="335" priority="5">
      <formula>$A16="Other"</formula>
    </cfRule>
  </conditionalFormatting>
  <conditionalFormatting sqref="H39:I39 E39:F39 B39:C39">
    <cfRule type="expression" dxfId="334" priority="4">
      <formula>AND($A39&lt;&gt;"",B39="")</formula>
    </cfRule>
  </conditionalFormatting>
  <conditionalFormatting sqref="B39:C39">
    <cfRule type="expression" dxfId="333" priority="3">
      <formula>$A39="Other"</formula>
    </cfRule>
  </conditionalFormatting>
  <conditionalFormatting sqref="H40:I40 E40:F40 B40:C40">
    <cfRule type="expression" dxfId="332" priority="2">
      <formula>AND($A40&lt;&gt;"",B40="")</formula>
    </cfRule>
  </conditionalFormatting>
  <conditionalFormatting sqref="B40:C40">
    <cfRule type="expression" dxfId="331" priority="1">
      <formula>$A40="Other"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2"/>
  <sheetViews>
    <sheetView showGridLines="0" workbookViewId="0">
      <pane ySplit="15" topLeftCell="A16" activePane="bottomLeft" state="frozen"/>
      <selection activeCell="E7" sqref="E7:I7"/>
      <selection pane="bottomLeft" activeCell="B16" sqref="B16"/>
    </sheetView>
  </sheetViews>
  <sheetFormatPr defaultRowHeight="12.75" x14ac:dyDescent="0.2"/>
  <cols>
    <col min="1" max="1" width="22.42578125" style="22" customWidth="1"/>
    <col min="2" max="3" width="18.7109375" style="22" customWidth="1"/>
    <col min="4" max="4" width="16.7109375" style="22" customWidth="1"/>
    <col min="5" max="6" width="18.7109375" style="22" customWidth="1"/>
    <col min="7" max="7" width="16.7109375" style="22" customWidth="1"/>
    <col min="8" max="9" width="18.7109375" style="22" customWidth="1"/>
    <col min="10" max="10" width="16.7109375" style="22" customWidth="1"/>
    <col min="11" max="11" width="8.85546875" style="22" bestFit="1" customWidth="1"/>
    <col min="12" max="16384" width="9.140625" style="22"/>
  </cols>
  <sheetData>
    <row r="1" spans="1:22" ht="15" customHeight="1" x14ac:dyDescent="0.2">
      <c r="A1" s="36" t="s">
        <v>28</v>
      </c>
      <c r="E1" s="30"/>
      <c r="H1" s="30"/>
    </row>
    <row r="2" spans="1:22" ht="15" customHeight="1" x14ac:dyDescent="0.2">
      <c r="A2" s="36" t="s">
        <v>196</v>
      </c>
      <c r="E2" s="321"/>
      <c r="H2" s="321"/>
    </row>
    <row r="3" spans="1:22" ht="15" customHeight="1" x14ac:dyDescent="0.2">
      <c r="A3" s="30" t="s">
        <v>194</v>
      </c>
      <c r="C3" s="147">
        <f>IF('Set-Up Worksheet'!F3="","Data Not Entered On Set-Up Worksheet",'Set-Up Worksheet'!F3)</f>
        <v>2018</v>
      </c>
      <c r="D3" s="147"/>
      <c r="G3" s="147"/>
      <c r="J3" s="147"/>
    </row>
    <row r="4" spans="1:22" ht="15" customHeight="1" x14ac:dyDescent="0.2">
      <c r="A4" s="30" t="s">
        <v>195</v>
      </c>
      <c r="C4" s="147" t="str">
        <f>IF('Set-Up Worksheet'!F4="","Data Not Entered On Set-Up Worksheet",'Set-Up Worksheet'!F4)</f>
        <v>1st Quarter</v>
      </c>
      <c r="D4" s="147"/>
      <c r="G4" s="147"/>
      <c r="J4" s="147"/>
    </row>
    <row r="5" spans="1:22" ht="15" customHeight="1" x14ac:dyDescent="0.2">
      <c r="A5" s="30"/>
      <c r="C5" s="32"/>
      <c r="D5" s="32"/>
      <c r="G5" s="32"/>
      <c r="J5" s="32"/>
    </row>
    <row r="6" spans="1:22" ht="15" customHeight="1" x14ac:dyDescent="0.2">
      <c r="A6" s="30" t="s">
        <v>337</v>
      </c>
      <c r="C6" s="32"/>
      <c r="D6" s="32"/>
      <c r="E6" s="30"/>
      <c r="G6" s="32"/>
      <c r="H6" s="30"/>
      <c r="J6" s="32"/>
    </row>
    <row r="7" spans="1:22" ht="15" customHeight="1" x14ac:dyDescent="0.2">
      <c r="A7" s="31" t="s">
        <v>395</v>
      </c>
      <c r="C7" s="32"/>
      <c r="D7" s="32"/>
      <c r="E7" s="30"/>
      <c r="G7" s="32"/>
      <c r="H7" s="30"/>
      <c r="J7" s="32"/>
    </row>
    <row r="8" spans="1:22" ht="15" customHeight="1" x14ac:dyDescent="0.2">
      <c r="A8" s="30"/>
      <c r="C8" s="32"/>
      <c r="D8" s="32"/>
      <c r="G8" s="32"/>
      <c r="J8" s="32"/>
      <c r="N8" s="54"/>
      <c r="O8" s="54"/>
      <c r="P8" s="55"/>
      <c r="Q8" s="54"/>
      <c r="R8" s="54"/>
      <c r="S8" s="54"/>
      <c r="T8" s="54"/>
      <c r="U8" s="30"/>
      <c r="V8" s="35"/>
    </row>
    <row r="9" spans="1:22" ht="15" customHeight="1" x14ac:dyDescent="0.2">
      <c r="A9" s="30" t="s">
        <v>29</v>
      </c>
      <c r="C9" s="39" t="str">
        <f>IF('Set-Up Worksheet'!E7="","Data Not Entered On Set-Up Worksheet",'Set-Up Worksheet'!E7)</f>
        <v>Data Not Entered On Set-Up Worksheet</v>
      </c>
      <c r="D9" s="39"/>
      <c r="F9" s="79" t="s">
        <v>444</v>
      </c>
      <c r="G9" s="39"/>
      <c r="J9" s="39"/>
    </row>
    <row r="10" spans="1:22" ht="15" customHeight="1" x14ac:dyDescent="0.2">
      <c r="A10" s="30" t="s">
        <v>9</v>
      </c>
      <c r="C10" s="32" t="s">
        <v>10</v>
      </c>
      <c r="D10" s="32"/>
      <c r="F10" s="79"/>
      <c r="G10" s="32"/>
      <c r="J10" s="32"/>
    </row>
    <row r="11" spans="1:22" ht="15" customHeight="1" x14ac:dyDescent="0.2">
      <c r="A11" s="30" t="s">
        <v>197</v>
      </c>
      <c r="C11" s="40" t="str">
        <f>IF(C4="Data Not Entered On Set-Up Worksheet","Data Not Entered On Set-Up Worksheet",IF(C4="1st Quarter",'Report Schedule'!D43,IF(C4="2nd Quarter",'Report Schedule'!E43,IF(C4="3rd Quarter",'Report Schedule'!F43,IF(C4="4th Quarter",'Report Schedule'!G43,"")))))</f>
        <v>Apr - Jun 2017</v>
      </c>
      <c r="D11" s="40"/>
      <c r="G11" s="40"/>
      <c r="J11" s="40"/>
    </row>
    <row r="12" spans="1:22" ht="15" customHeight="1" thickBot="1" x14ac:dyDescent="0.25">
      <c r="A12" s="30"/>
      <c r="C12" s="40"/>
      <c r="D12" s="40"/>
      <c r="G12" s="40"/>
      <c r="J12" s="40"/>
    </row>
    <row r="13" spans="1:22" ht="18" customHeight="1" thickBot="1" x14ac:dyDescent="0.25">
      <c r="A13" s="226" t="s">
        <v>327</v>
      </c>
      <c r="B13" s="384" t="s">
        <v>39</v>
      </c>
      <c r="C13" s="235"/>
      <c r="D13" s="236"/>
      <c r="E13" s="383" t="s">
        <v>241</v>
      </c>
      <c r="F13" s="231"/>
      <c r="G13" s="232"/>
      <c r="H13" s="384" t="s">
        <v>243</v>
      </c>
      <c r="I13" s="235"/>
      <c r="J13" s="236"/>
    </row>
    <row r="14" spans="1:22" s="35" customFormat="1" ht="13.5" thickBot="1" x14ac:dyDescent="0.25">
      <c r="A14" s="30"/>
      <c r="B14" s="45" t="s">
        <v>3</v>
      </c>
      <c r="C14" s="57" t="s">
        <v>4</v>
      </c>
      <c r="D14" s="57" t="s">
        <v>8</v>
      </c>
      <c r="E14" s="45" t="s">
        <v>3</v>
      </c>
      <c r="F14" s="57" t="s">
        <v>4</v>
      </c>
      <c r="G14" s="57" t="s">
        <v>8</v>
      </c>
      <c r="H14" s="45" t="s">
        <v>3</v>
      </c>
      <c r="I14" s="57" t="s">
        <v>4</v>
      </c>
      <c r="J14" s="57" t="s">
        <v>8</v>
      </c>
      <c r="K14" s="33"/>
      <c r="L14" s="30"/>
      <c r="M14" s="30"/>
      <c r="N14" s="30"/>
      <c r="O14" s="30"/>
      <c r="P14" s="30"/>
    </row>
    <row r="15" spans="1:22" ht="38.25" x14ac:dyDescent="0.2">
      <c r="A15" s="75" t="s">
        <v>43</v>
      </c>
      <c r="B15" s="242" t="s">
        <v>31</v>
      </c>
      <c r="C15" s="240" t="s">
        <v>30</v>
      </c>
      <c r="D15" s="241" t="s">
        <v>32</v>
      </c>
      <c r="E15" s="333" t="s">
        <v>31</v>
      </c>
      <c r="F15" s="67" t="s">
        <v>30</v>
      </c>
      <c r="G15" s="68" t="s">
        <v>32</v>
      </c>
      <c r="H15" s="335" t="s">
        <v>31</v>
      </c>
      <c r="I15" s="240" t="s">
        <v>30</v>
      </c>
      <c r="J15" s="241" t="s">
        <v>32</v>
      </c>
    </row>
    <row r="16" spans="1:22" ht="18" customHeight="1" x14ac:dyDescent="0.2">
      <c r="A16" s="76" t="str">
        <f>IF($C$9="Data Not Entered On Set-Up Worksheet","",IF(OR(VLOOKUP($C$9,County_Lookup,2,FALSE)="",VLOOKUP($C$9,County_Lookup,2,FALSE)=0),"",VLOOKUP($C$9,County_Lookup,2,FALSE)))</f>
        <v/>
      </c>
      <c r="B16" s="222"/>
      <c r="C16" s="61"/>
      <c r="D16" s="87" t="str">
        <f t="shared" ref="D16:D42" si="0">IF($A16="","",IF($C16=0,0,B16/$C16))</f>
        <v/>
      </c>
      <c r="E16" s="69"/>
      <c r="F16" s="61"/>
      <c r="G16" s="87" t="str">
        <f t="shared" ref="G16:G42" si="1">IF($A16="","",IF($F16=0,0,E16/$F16))</f>
        <v/>
      </c>
      <c r="H16" s="69"/>
      <c r="I16" s="61"/>
      <c r="J16" s="87" t="str">
        <f t="shared" ref="J16:J42" si="2">IF($A16="","",IF($I16=0,0,H16/$I16))</f>
        <v/>
      </c>
    </row>
    <row r="17" spans="1:10" ht="18" customHeight="1" x14ac:dyDescent="0.2">
      <c r="A17" s="77" t="str">
        <f>IF($C$9="Data Not Entered On Set-Up Worksheet","",IF(OR(VLOOKUP($C$9,County_Lookup,3,FALSE)="",VLOOKUP($C$9,County_Lookup,3,FALSE)=0),"",VLOOKUP($C$9,County_Lookup,3,FALSE)))</f>
        <v/>
      </c>
      <c r="B17" s="222"/>
      <c r="C17" s="61"/>
      <c r="D17" s="87" t="str">
        <f t="shared" si="0"/>
        <v/>
      </c>
      <c r="E17" s="69"/>
      <c r="F17" s="61"/>
      <c r="G17" s="87" t="str">
        <f t="shared" si="1"/>
        <v/>
      </c>
      <c r="H17" s="69"/>
      <c r="I17" s="61"/>
      <c r="J17" s="87" t="str">
        <f t="shared" si="2"/>
        <v/>
      </c>
    </row>
    <row r="18" spans="1:10" ht="18" customHeight="1" x14ac:dyDescent="0.2">
      <c r="A18" s="77" t="str">
        <f>IF($C$9="Data Not Entered On Set-Up Worksheet","",IF(OR(VLOOKUP($C$9,County_Lookup,4,FALSE)="",VLOOKUP($C$9,County_Lookup,4,FALSE)=0),"",VLOOKUP($C$9,County_Lookup,4,FALSE)))</f>
        <v/>
      </c>
      <c r="B18" s="222"/>
      <c r="C18" s="61"/>
      <c r="D18" s="87" t="str">
        <f t="shared" si="0"/>
        <v/>
      </c>
      <c r="E18" s="69"/>
      <c r="F18" s="61"/>
      <c r="G18" s="87" t="str">
        <f t="shared" si="1"/>
        <v/>
      </c>
      <c r="H18" s="69"/>
      <c r="I18" s="61"/>
      <c r="J18" s="87" t="str">
        <f t="shared" si="2"/>
        <v/>
      </c>
    </row>
    <row r="19" spans="1:10" ht="18" customHeight="1" x14ac:dyDescent="0.2">
      <c r="A19" s="77" t="str">
        <f>IF($C$9="Data Not Entered On Set-Up Worksheet","",IF(OR(VLOOKUP($C$9,County_Lookup,5,FALSE)="",VLOOKUP($C$9,County_Lookup,5,FALSE)=0),"",VLOOKUP($C$9,County_Lookup,5,FALSE)))</f>
        <v/>
      </c>
      <c r="B19" s="222"/>
      <c r="C19" s="61"/>
      <c r="D19" s="87" t="str">
        <f t="shared" si="0"/>
        <v/>
      </c>
      <c r="E19" s="69"/>
      <c r="F19" s="61"/>
      <c r="G19" s="87" t="str">
        <f t="shared" si="1"/>
        <v/>
      </c>
      <c r="H19" s="69"/>
      <c r="I19" s="61"/>
      <c r="J19" s="87" t="str">
        <f t="shared" si="2"/>
        <v/>
      </c>
    </row>
    <row r="20" spans="1:10" ht="18" customHeight="1" x14ac:dyDescent="0.2">
      <c r="A20" s="77" t="str">
        <f>IF($C$9="Data Not Entered On Set-Up Worksheet","",IF(OR(VLOOKUP($C$9,County_Lookup,6,FALSE)="",VLOOKUP($C$9,County_Lookup,6,FALSE)=0),"",VLOOKUP($C$9,County_Lookup,6,FALSE)))</f>
        <v/>
      </c>
      <c r="B20" s="222"/>
      <c r="C20" s="61"/>
      <c r="D20" s="87" t="str">
        <f t="shared" si="0"/>
        <v/>
      </c>
      <c r="E20" s="69"/>
      <c r="F20" s="61"/>
      <c r="G20" s="87" t="str">
        <f t="shared" si="1"/>
        <v/>
      </c>
      <c r="H20" s="69"/>
      <c r="I20" s="61"/>
      <c r="J20" s="87" t="str">
        <f t="shared" si="2"/>
        <v/>
      </c>
    </row>
    <row r="21" spans="1:10" ht="18" customHeight="1" x14ac:dyDescent="0.2">
      <c r="A21" s="77" t="str">
        <f>IF($C$9="Data Not Entered On Set-Up Worksheet","",IF(OR(VLOOKUP($C$9,County_Lookup,7,FALSE)="",VLOOKUP($C$9,County_Lookup,7,FALSE)=0),"",VLOOKUP($C$9,County_Lookup,7,FALSE)))</f>
        <v/>
      </c>
      <c r="B21" s="222"/>
      <c r="C21" s="61"/>
      <c r="D21" s="87" t="str">
        <f t="shared" si="0"/>
        <v/>
      </c>
      <c r="E21" s="69"/>
      <c r="F21" s="61"/>
      <c r="G21" s="87" t="str">
        <f t="shared" si="1"/>
        <v/>
      </c>
      <c r="H21" s="69"/>
      <c r="I21" s="61"/>
      <c r="J21" s="87" t="str">
        <f t="shared" si="2"/>
        <v/>
      </c>
    </row>
    <row r="22" spans="1:10" ht="18" customHeight="1" x14ac:dyDescent="0.2">
      <c r="A22" s="76" t="str">
        <f>IF($C$9="Data Not Entered On Set-Up Worksheet","",IF(OR(VLOOKUP($C$9,County_Lookup,8,FALSE)="",VLOOKUP($C$9,County_Lookup,8,FALSE)=0),"",VLOOKUP($C$9,County_Lookup,8,FALSE)))</f>
        <v/>
      </c>
      <c r="B22" s="222"/>
      <c r="C22" s="61"/>
      <c r="D22" s="87" t="str">
        <f t="shared" si="0"/>
        <v/>
      </c>
      <c r="E22" s="69"/>
      <c r="F22" s="61"/>
      <c r="G22" s="87" t="str">
        <f t="shared" si="1"/>
        <v/>
      </c>
      <c r="H22" s="69"/>
      <c r="I22" s="61"/>
      <c r="J22" s="87" t="str">
        <f t="shared" si="2"/>
        <v/>
      </c>
    </row>
    <row r="23" spans="1:10" ht="18" customHeight="1" x14ac:dyDescent="0.2">
      <c r="A23" s="77" t="str">
        <f>IF($C$9="Data Not Entered On Set-Up Worksheet","",IF(OR(VLOOKUP($C$9,County_Lookup,9,FALSE)="",VLOOKUP($C$9,County_Lookup,9,FALSE)=0),"",VLOOKUP($C$9,County_Lookup,9,FALSE)))</f>
        <v/>
      </c>
      <c r="B23" s="222"/>
      <c r="C23" s="61"/>
      <c r="D23" s="87" t="str">
        <f t="shared" si="0"/>
        <v/>
      </c>
      <c r="E23" s="69"/>
      <c r="F23" s="61"/>
      <c r="G23" s="87" t="str">
        <f t="shared" si="1"/>
        <v/>
      </c>
      <c r="H23" s="69"/>
      <c r="I23" s="61"/>
      <c r="J23" s="87" t="str">
        <f t="shared" si="2"/>
        <v/>
      </c>
    </row>
    <row r="24" spans="1:10" ht="18" customHeight="1" x14ac:dyDescent="0.2">
      <c r="A24" s="77" t="str">
        <f>IF($C$9="Data Not Entered On Set-Up Worksheet","",IF(OR(VLOOKUP($C$9,County_Lookup,10,FALSE)="",VLOOKUP($C$9,County_Lookup,10,FALSE)=0),"",VLOOKUP($C$9,County_Lookup,10,FALSE)))</f>
        <v/>
      </c>
      <c r="B24" s="222"/>
      <c r="C24" s="61"/>
      <c r="D24" s="87" t="str">
        <f t="shared" si="0"/>
        <v/>
      </c>
      <c r="E24" s="69"/>
      <c r="F24" s="61"/>
      <c r="G24" s="87" t="str">
        <f t="shared" si="1"/>
        <v/>
      </c>
      <c r="H24" s="69"/>
      <c r="I24" s="61"/>
      <c r="J24" s="87" t="str">
        <f t="shared" si="2"/>
        <v/>
      </c>
    </row>
    <row r="25" spans="1:10" ht="18" customHeight="1" x14ac:dyDescent="0.2">
      <c r="A25" s="77" t="str">
        <f>IF($C$9="Data Not Entered On Set-Up Worksheet","",IF(OR(VLOOKUP($C$9,County_Lookup,11,FALSE)="",VLOOKUP($C$9,County_Lookup,11,FALSE)=0),"",VLOOKUP($C$9,County_Lookup,11,FALSE)))</f>
        <v/>
      </c>
      <c r="B25" s="222"/>
      <c r="C25" s="61"/>
      <c r="D25" s="87" t="str">
        <f t="shared" si="0"/>
        <v/>
      </c>
      <c r="E25" s="69"/>
      <c r="F25" s="61"/>
      <c r="G25" s="87" t="str">
        <f t="shared" si="1"/>
        <v/>
      </c>
      <c r="H25" s="69"/>
      <c r="I25" s="61"/>
      <c r="J25" s="87" t="str">
        <f t="shared" si="2"/>
        <v/>
      </c>
    </row>
    <row r="26" spans="1:10" ht="18" customHeight="1" x14ac:dyDescent="0.2">
      <c r="A26" s="77" t="str">
        <f>IF($C$9="Data Not Entered On Set-Up Worksheet","",IF(OR(VLOOKUP($C$9,County_Lookup,12,FALSE)="",VLOOKUP($C$9,County_Lookup,12,FALSE)=0),"",VLOOKUP($C$9,County_Lookup,12,FALSE)))</f>
        <v/>
      </c>
      <c r="B26" s="222"/>
      <c r="C26" s="61"/>
      <c r="D26" s="87" t="str">
        <f t="shared" si="0"/>
        <v/>
      </c>
      <c r="E26" s="69"/>
      <c r="F26" s="61"/>
      <c r="G26" s="87" t="str">
        <f t="shared" si="1"/>
        <v/>
      </c>
      <c r="H26" s="69"/>
      <c r="I26" s="61"/>
      <c r="J26" s="87" t="str">
        <f t="shared" si="2"/>
        <v/>
      </c>
    </row>
    <row r="27" spans="1:10" ht="18" customHeight="1" x14ac:dyDescent="0.2">
      <c r="A27" s="77" t="str">
        <f>IF($C$9="Data Not Entered On Set-Up Worksheet","",IF(OR(VLOOKUP($C$9,County_Lookup,13,FALSE)="",VLOOKUP($C$9,County_Lookup,13,FALSE)=0),"",VLOOKUP($C$9,County_Lookup,13,FALSE)))</f>
        <v/>
      </c>
      <c r="B27" s="222"/>
      <c r="C27" s="61"/>
      <c r="D27" s="87" t="str">
        <f t="shared" si="0"/>
        <v/>
      </c>
      <c r="E27" s="69"/>
      <c r="F27" s="61"/>
      <c r="G27" s="87" t="str">
        <f t="shared" si="1"/>
        <v/>
      </c>
      <c r="H27" s="69"/>
      <c r="I27" s="61"/>
      <c r="J27" s="87" t="str">
        <f t="shared" si="2"/>
        <v/>
      </c>
    </row>
    <row r="28" spans="1:10" ht="18" customHeight="1" x14ac:dyDescent="0.2">
      <c r="A28" s="77" t="str">
        <f>IF($C$9="Data Not Entered On Set-Up Worksheet","",IF(OR(VLOOKUP($C$9,County_Lookup,14,FALSE)="",VLOOKUP($C$9,County_Lookup,14,FALSE)=0),"",VLOOKUP($C$9,County_Lookup,14,FALSE)))</f>
        <v/>
      </c>
      <c r="B28" s="222"/>
      <c r="C28" s="61"/>
      <c r="D28" s="87" t="str">
        <f t="shared" si="0"/>
        <v/>
      </c>
      <c r="E28" s="69"/>
      <c r="F28" s="61"/>
      <c r="G28" s="87" t="str">
        <f t="shared" si="1"/>
        <v/>
      </c>
      <c r="H28" s="69"/>
      <c r="I28" s="61"/>
      <c r="J28" s="87" t="str">
        <f t="shared" si="2"/>
        <v/>
      </c>
    </row>
    <row r="29" spans="1:10" ht="18" customHeight="1" x14ac:dyDescent="0.2">
      <c r="A29" s="76" t="str">
        <f>IF($C$9="Data Not Entered On Set-Up Worksheet","",IF(OR(VLOOKUP($C$9,County_Lookup,15,FALSE)="",VLOOKUP($C$9,County_Lookup,15,FALSE)=0),"",VLOOKUP($C$9,County_Lookup,15,FALSE)))</f>
        <v/>
      </c>
      <c r="B29" s="222"/>
      <c r="C29" s="61"/>
      <c r="D29" s="87" t="str">
        <f t="shared" si="0"/>
        <v/>
      </c>
      <c r="E29" s="69"/>
      <c r="F29" s="61"/>
      <c r="G29" s="87" t="str">
        <f t="shared" si="1"/>
        <v/>
      </c>
      <c r="H29" s="69"/>
      <c r="I29" s="61"/>
      <c r="J29" s="87" t="str">
        <f t="shared" si="2"/>
        <v/>
      </c>
    </row>
    <row r="30" spans="1:10" ht="18" customHeight="1" x14ac:dyDescent="0.2">
      <c r="A30" s="77" t="str">
        <f>IF($C$9="Data Not Entered On Set-Up Worksheet","",IF(OR(VLOOKUP($C$9,County_Lookup,16,FALSE)="",VLOOKUP($C$9,County_Lookup,16,FALSE)=0),"",VLOOKUP($C$9,County_Lookup,16,FALSE)))</f>
        <v/>
      </c>
      <c r="B30" s="222"/>
      <c r="C30" s="61"/>
      <c r="D30" s="87" t="str">
        <f t="shared" si="0"/>
        <v/>
      </c>
      <c r="E30" s="69"/>
      <c r="F30" s="61"/>
      <c r="G30" s="87" t="str">
        <f t="shared" si="1"/>
        <v/>
      </c>
      <c r="H30" s="69"/>
      <c r="I30" s="61"/>
      <c r="J30" s="87" t="str">
        <f t="shared" si="2"/>
        <v/>
      </c>
    </row>
    <row r="31" spans="1:10" ht="18" customHeight="1" x14ac:dyDescent="0.2">
      <c r="A31" s="77" t="str">
        <f>IF($C$9="Data Not Entered On Set-Up Worksheet","",IF(OR(VLOOKUP($C$9,County_Lookup,17,FALSE)="",VLOOKUP($C$9,County_Lookup,17,FALSE)=0),"",VLOOKUP($C$9,County_Lookup,17,FALSE)))</f>
        <v/>
      </c>
      <c r="B31" s="222"/>
      <c r="C31" s="61"/>
      <c r="D31" s="87" t="str">
        <f t="shared" si="0"/>
        <v/>
      </c>
      <c r="E31" s="69"/>
      <c r="F31" s="61"/>
      <c r="G31" s="87" t="str">
        <f t="shared" si="1"/>
        <v/>
      </c>
      <c r="H31" s="69"/>
      <c r="I31" s="61"/>
      <c r="J31" s="87" t="str">
        <f t="shared" si="2"/>
        <v/>
      </c>
    </row>
    <row r="32" spans="1:10" ht="18" customHeight="1" x14ac:dyDescent="0.2">
      <c r="A32" s="77" t="str">
        <f>IF($C$9="Data Not Entered On Set-Up Worksheet","",IF(OR(VLOOKUP($C$9,County_Lookup,18,FALSE)="",VLOOKUP($C$9,County_Lookup,18,FALSE)=0),"",VLOOKUP($C$9,County_Lookup,18,FALSE)))</f>
        <v/>
      </c>
      <c r="B32" s="222"/>
      <c r="C32" s="61"/>
      <c r="D32" s="87" t="str">
        <f t="shared" si="0"/>
        <v/>
      </c>
      <c r="E32" s="69"/>
      <c r="F32" s="61"/>
      <c r="G32" s="87" t="str">
        <f t="shared" si="1"/>
        <v/>
      </c>
      <c r="H32" s="69"/>
      <c r="I32" s="61"/>
      <c r="J32" s="87" t="str">
        <f t="shared" si="2"/>
        <v/>
      </c>
    </row>
    <row r="33" spans="1:10" ht="18" customHeight="1" x14ac:dyDescent="0.2">
      <c r="A33" s="77" t="str">
        <f>IF($C$9="Data Not Entered On Set-Up Worksheet","",IF(OR(VLOOKUP($C$9,County_Lookup,19,FALSE)="",VLOOKUP($C$9,County_Lookup,19,FALSE)=0),"",VLOOKUP($C$9,County_Lookup,19,FALSE)))</f>
        <v/>
      </c>
      <c r="B33" s="222"/>
      <c r="C33" s="61"/>
      <c r="D33" s="87" t="str">
        <f t="shared" si="0"/>
        <v/>
      </c>
      <c r="E33" s="69"/>
      <c r="F33" s="61"/>
      <c r="G33" s="87" t="str">
        <f t="shared" si="1"/>
        <v/>
      </c>
      <c r="H33" s="69"/>
      <c r="I33" s="61"/>
      <c r="J33" s="87" t="str">
        <f t="shared" si="2"/>
        <v/>
      </c>
    </row>
    <row r="34" spans="1:10" ht="18" customHeight="1" x14ac:dyDescent="0.2">
      <c r="A34" s="77" t="str">
        <f>IF($C$9="Data Not Entered On Set-Up Worksheet","",IF(OR(VLOOKUP($C$9,County_Lookup,20,FALSE)="",VLOOKUP($C$9,County_Lookup,20,FALSE)=0),"",VLOOKUP($C$9,County_Lookup,20,FALSE)))</f>
        <v/>
      </c>
      <c r="B34" s="222"/>
      <c r="C34" s="61"/>
      <c r="D34" s="87" t="str">
        <f t="shared" si="0"/>
        <v/>
      </c>
      <c r="E34" s="69"/>
      <c r="F34" s="61"/>
      <c r="G34" s="87" t="str">
        <f t="shared" si="1"/>
        <v/>
      </c>
      <c r="H34" s="69"/>
      <c r="I34" s="61"/>
      <c r="J34" s="87" t="str">
        <f t="shared" si="2"/>
        <v/>
      </c>
    </row>
    <row r="35" spans="1:10" ht="18" customHeight="1" x14ac:dyDescent="0.2">
      <c r="A35" s="77" t="str">
        <f>IF($C$9="Data Not Entered On Set-Up Worksheet","",IF(OR(VLOOKUP($C$9,County_Lookup,21,FALSE)="",VLOOKUP($C$9,County_Lookup,21,FALSE)=0),"",VLOOKUP($C$9,County_Lookup,21,FALSE)))</f>
        <v/>
      </c>
      <c r="B35" s="222"/>
      <c r="C35" s="61"/>
      <c r="D35" s="87" t="str">
        <f t="shared" si="0"/>
        <v/>
      </c>
      <c r="E35" s="69"/>
      <c r="F35" s="61"/>
      <c r="G35" s="87" t="str">
        <f t="shared" si="1"/>
        <v/>
      </c>
      <c r="H35" s="69"/>
      <c r="I35" s="61"/>
      <c r="J35" s="87" t="str">
        <f t="shared" si="2"/>
        <v/>
      </c>
    </row>
    <row r="36" spans="1:10" ht="18" customHeight="1" x14ac:dyDescent="0.2">
      <c r="A36" s="76" t="str">
        <f>IF($C$9="Data Not Entered On Set-Up Worksheet","",IF(OR(VLOOKUP($C$9,County_Lookup,22,FALSE)="",VLOOKUP($C$9,County_Lookup,22,FALSE)=0),"",VLOOKUP($C$9,County_Lookup,22,FALSE)))</f>
        <v/>
      </c>
      <c r="B36" s="222"/>
      <c r="C36" s="61"/>
      <c r="D36" s="87" t="str">
        <f t="shared" si="0"/>
        <v/>
      </c>
      <c r="E36" s="69"/>
      <c r="F36" s="61"/>
      <c r="G36" s="87" t="str">
        <f t="shared" si="1"/>
        <v/>
      </c>
      <c r="H36" s="69"/>
      <c r="I36" s="61"/>
      <c r="J36" s="87" t="str">
        <f t="shared" si="2"/>
        <v/>
      </c>
    </row>
    <row r="37" spans="1:10" ht="18" customHeight="1" x14ac:dyDescent="0.2">
      <c r="A37" s="77" t="str">
        <f>IF($C$9="Data Not Entered On Set-Up Worksheet","",IF(OR(VLOOKUP($C$9,County_Lookup,23,FALSE)="",VLOOKUP($C$9,County_Lookup,23,FALSE)=0),"",VLOOKUP($C$9,County_Lookup,23,FALSE)))</f>
        <v/>
      </c>
      <c r="B37" s="222"/>
      <c r="C37" s="61"/>
      <c r="D37" s="87" t="str">
        <f t="shared" si="0"/>
        <v/>
      </c>
      <c r="E37" s="69"/>
      <c r="F37" s="61"/>
      <c r="G37" s="87" t="str">
        <f t="shared" si="1"/>
        <v/>
      </c>
      <c r="H37" s="69"/>
      <c r="I37" s="61"/>
      <c r="J37" s="87" t="str">
        <f t="shared" si="2"/>
        <v/>
      </c>
    </row>
    <row r="38" spans="1:10" ht="18" customHeight="1" x14ac:dyDescent="0.2">
      <c r="A38" s="77" t="str">
        <f>IF($C$9="Data Not Entered On Set-Up Worksheet","",IF(OR(VLOOKUP($C$9,County_Lookup,24,FALSE)="",VLOOKUP($C$9,County_Lookup,24,FALSE)=0),"",VLOOKUP($C$9,County_Lookup,24,FALSE)))</f>
        <v/>
      </c>
      <c r="B38" s="222"/>
      <c r="C38" s="61"/>
      <c r="D38" s="87" t="str">
        <f t="shared" ref="D38:D40" si="3">IF($A38="","",IF($C38=0,0,B38/$C38))</f>
        <v/>
      </c>
      <c r="E38" s="69"/>
      <c r="F38" s="61"/>
      <c r="G38" s="87" t="str">
        <f t="shared" ref="G38:G40" si="4">IF($A38="","",IF($F38=0,0,E38/$F38))</f>
        <v/>
      </c>
      <c r="H38" s="69"/>
      <c r="I38" s="61"/>
      <c r="J38" s="87" t="str">
        <f t="shared" ref="J38:J40" si="5">IF($A38="","",IF($I38=0,0,H38/$I38))</f>
        <v/>
      </c>
    </row>
    <row r="39" spans="1:10" ht="18" customHeight="1" x14ac:dyDescent="0.2">
      <c r="A39" s="77" t="str">
        <f>IF($C$9="Data Not Entered On Set-Up Worksheet","",IF(OR(VLOOKUP($C$9,County_Lookup,25,FALSE)="",VLOOKUP($C$9,County_Lookup,25,FALSE)=0),"",VLOOKUP($C$9,County_Lookup,25,FALSE)))</f>
        <v/>
      </c>
      <c r="B39" s="222"/>
      <c r="C39" s="61"/>
      <c r="D39" s="87" t="str">
        <f t="shared" si="3"/>
        <v/>
      </c>
      <c r="E39" s="69"/>
      <c r="F39" s="61"/>
      <c r="G39" s="87" t="str">
        <f t="shared" si="4"/>
        <v/>
      </c>
      <c r="H39" s="69"/>
      <c r="I39" s="61"/>
      <c r="J39" s="87" t="str">
        <f t="shared" si="5"/>
        <v/>
      </c>
    </row>
    <row r="40" spans="1:10" ht="18" customHeight="1" x14ac:dyDescent="0.2">
      <c r="A40" s="77" t="str">
        <f>IF($C$9="Data Not Entered On Set-Up Worksheet","",IF(OR(VLOOKUP($C$9,County_Lookup,26,FALSE)="",VLOOKUP($C$9,County_Lookup,26,FALSE)=0),"",VLOOKUP($C$9,County_Lookup,26,FALSE)))</f>
        <v/>
      </c>
      <c r="B40" s="222"/>
      <c r="C40" s="61"/>
      <c r="D40" s="87" t="str">
        <f t="shared" si="3"/>
        <v/>
      </c>
      <c r="E40" s="69"/>
      <c r="F40" s="61"/>
      <c r="G40" s="87" t="str">
        <f t="shared" si="4"/>
        <v/>
      </c>
      <c r="H40" s="69"/>
      <c r="I40" s="61"/>
      <c r="J40" s="87" t="str">
        <f t="shared" si="5"/>
        <v/>
      </c>
    </row>
    <row r="41" spans="1:10" ht="18" customHeight="1" x14ac:dyDescent="0.2">
      <c r="A41" s="77" t="str">
        <f>IF($C$9="Data Not Entered On Set-Up Worksheet","",IF(OR(VLOOKUP($C$9,County_Lookup,27,FALSE)="",VLOOKUP($C$9,County_Lookup,27,FALSE)=0),"",VLOOKUP($C$9,County_Lookup,27,FALSE)))</f>
        <v/>
      </c>
      <c r="B41" s="222"/>
      <c r="C41" s="61"/>
      <c r="D41" s="87" t="str">
        <f t="shared" si="0"/>
        <v/>
      </c>
      <c r="E41" s="69"/>
      <c r="F41" s="61"/>
      <c r="G41" s="87" t="str">
        <f t="shared" si="1"/>
        <v/>
      </c>
      <c r="H41" s="69"/>
      <c r="I41" s="61"/>
      <c r="J41" s="87" t="str">
        <f t="shared" si="2"/>
        <v/>
      </c>
    </row>
    <row r="42" spans="1:10" ht="18" customHeight="1" thickBot="1" x14ac:dyDescent="0.25">
      <c r="A42" s="78" t="s">
        <v>0</v>
      </c>
      <c r="B42" s="223">
        <f t="shared" ref="B42" si="6">SUM(B16:B41)</f>
        <v>0</v>
      </c>
      <c r="C42" s="72">
        <f>SUM(C16:C41)</f>
        <v>0</v>
      </c>
      <c r="D42" s="53">
        <f t="shared" si="0"/>
        <v>0</v>
      </c>
      <c r="E42" s="334">
        <f t="shared" ref="E42" si="7">SUM(E16:E41)</f>
        <v>0</v>
      </c>
      <c r="F42" s="72">
        <f>SUM(F16:F41)</f>
        <v>0</v>
      </c>
      <c r="G42" s="53">
        <f t="shared" si="1"/>
        <v>0</v>
      </c>
      <c r="H42" s="334">
        <f t="shared" ref="H42" si="8">SUM(H16:H41)</f>
        <v>0</v>
      </c>
      <c r="I42" s="72">
        <f>SUM(I16:I41)</f>
        <v>0</v>
      </c>
      <c r="J42" s="53">
        <f t="shared" si="2"/>
        <v>0</v>
      </c>
    </row>
  </sheetData>
  <sheetProtection sheet="1" objects="1" scenarios="1"/>
  <conditionalFormatting sqref="C3:D4 C9:D9 C11:D12">
    <cfRule type="expression" dxfId="330" priority="17">
      <formula>C3="Data Not Entered On Set-Up Worksheet"</formula>
    </cfRule>
  </conditionalFormatting>
  <conditionalFormatting sqref="B16:C38 E16:F38 H16:I38 H41:I41 E41:F41 B41:C41">
    <cfRule type="expression" dxfId="329" priority="16">
      <formula>AND($A16&lt;&gt;"",B16="")</formula>
    </cfRule>
  </conditionalFormatting>
  <conditionalFormatting sqref="G3:G4 G9 G11:G12">
    <cfRule type="expression" dxfId="328" priority="15">
      <formula>G3="Data Not Entered On Set-Up Worksheet"</formula>
    </cfRule>
  </conditionalFormatting>
  <conditionalFormatting sqref="J3:J4 J9 J11:J12">
    <cfRule type="expression" dxfId="327" priority="13">
      <formula>J3="Data Not Entered On Set-Up Worksheet"</formula>
    </cfRule>
  </conditionalFormatting>
  <conditionalFormatting sqref="F9:F10">
    <cfRule type="expression" dxfId="326" priority="11">
      <formula>F9="Data Not Entered On Set-Up Worksheet"</formula>
    </cfRule>
  </conditionalFormatting>
  <conditionalFormatting sqref="B16:C38 B41:C41">
    <cfRule type="expression" dxfId="325" priority="5">
      <formula>$A16="Other"</formula>
    </cfRule>
  </conditionalFormatting>
  <conditionalFormatting sqref="H39:I39 E39:F39 B39:C39">
    <cfRule type="expression" dxfId="324" priority="4">
      <formula>AND($A39&lt;&gt;"",B39="")</formula>
    </cfRule>
  </conditionalFormatting>
  <conditionalFormatting sqref="B39:C39">
    <cfRule type="expression" dxfId="323" priority="3">
      <formula>$A39="Other"</formula>
    </cfRule>
  </conditionalFormatting>
  <conditionalFormatting sqref="H40:I40 E40:F40 B40:C40">
    <cfRule type="expression" dxfId="322" priority="2">
      <formula>AND($A40&lt;&gt;"",B40="")</formula>
    </cfRule>
  </conditionalFormatting>
  <conditionalFormatting sqref="B40:C40">
    <cfRule type="expression" dxfId="321" priority="1">
      <formula>$A40="Other"</formula>
    </cfRule>
  </conditionalFormatting>
  <pageMargins left="0.5" right="0.5" top="0.5" bottom="0.5" header="0.3" footer="0.3"/>
  <pageSetup scale="63" orientation="landscape" r:id="rId1"/>
  <headerFooter>
    <oddFooter>&amp;LNC DHHS LME-MCO Performance Measures Report Part II DMH/DD/SAS Measures&amp;C&amp;P&amp;R&amp;F</oddFooter>
  </headerFooter>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H21"/>
  <sheetViews>
    <sheetView showGridLines="0" topLeftCell="A5" workbookViewId="0">
      <selection activeCell="B19" sqref="B19"/>
    </sheetView>
  </sheetViews>
  <sheetFormatPr defaultRowHeight="12.75" x14ac:dyDescent="0.2"/>
  <cols>
    <col min="1" max="7" width="15.7109375" style="22" customWidth="1"/>
    <col min="8" max="16384" width="9.140625" style="22"/>
  </cols>
  <sheetData>
    <row r="1" spans="1:8" ht="15" customHeight="1" x14ac:dyDescent="0.2">
      <c r="A1" s="36" t="s">
        <v>28</v>
      </c>
    </row>
    <row r="2" spans="1:8" ht="15" customHeight="1" x14ac:dyDescent="0.2">
      <c r="A2" s="36" t="s">
        <v>196</v>
      </c>
    </row>
    <row r="3" spans="1:8" ht="15" customHeight="1" x14ac:dyDescent="0.2">
      <c r="A3" s="30" t="s">
        <v>194</v>
      </c>
      <c r="C3" s="147">
        <f>IF('Set-Up Worksheet'!F3="","Data Not Entered On Set-Up Worksheet",'Set-Up Worksheet'!F3)</f>
        <v>2018</v>
      </c>
    </row>
    <row r="4" spans="1:8" ht="15" customHeight="1" x14ac:dyDescent="0.2">
      <c r="A4" s="30" t="s">
        <v>195</v>
      </c>
      <c r="C4" s="147" t="str">
        <f>IF('Set-Up Worksheet'!F4="","Data Not Entered On Set-Up Worksheet",'Set-Up Worksheet'!F4)</f>
        <v>1st Quarter</v>
      </c>
    </row>
    <row r="5" spans="1:8" ht="15" customHeight="1" x14ac:dyDescent="0.2">
      <c r="C5" s="32"/>
    </row>
    <row r="6" spans="1:8" ht="15" customHeight="1" x14ac:dyDescent="0.2">
      <c r="A6" s="30" t="s">
        <v>336</v>
      </c>
      <c r="C6" s="32"/>
    </row>
    <row r="7" spans="1:8" ht="15" customHeight="1" x14ac:dyDescent="0.2">
      <c r="A7" s="30" t="s">
        <v>396</v>
      </c>
      <c r="C7" s="32"/>
    </row>
    <row r="8" spans="1:8" ht="15" customHeight="1" x14ac:dyDescent="0.2">
      <c r="A8" s="30"/>
      <c r="C8" s="32"/>
    </row>
    <row r="9" spans="1:8" ht="15" customHeight="1" x14ac:dyDescent="0.2">
      <c r="A9" s="30" t="s">
        <v>29</v>
      </c>
      <c r="C9" s="39" t="str">
        <f>IF('Set-Up Worksheet'!E7="","Data Not Entered On Set-Up Worksheet",'Set-Up Worksheet'!E7)</f>
        <v>Data Not Entered On Set-Up Worksheet</v>
      </c>
    </row>
    <row r="10" spans="1:8" ht="15" customHeight="1" x14ac:dyDescent="0.2">
      <c r="A10" s="30" t="s">
        <v>9</v>
      </c>
      <c r="C10" s="32" t="s">
        <v>10</v>
      </c>
    </row>
    <row r="11" spans="1:8" ht="15" customHeight="1" x14ac:dyDescent="0.2">
      <c r="A11" s="30" t="s">
        <v>197</v>
      </c>
      <c r="C11" s="40" t="str">
        <f>IF(C4="Data Not Entered On Set-Up Worksheet","Data Not Entered On Set-Up Worksheet",IF(C4="1st Quarter",'Report Schedule'!D46,IF(C4="2nd Quarter",'Report Schedule'!E46,IF(C4="3rd Quarter",'Report Schedule'!F46,IF(C4="4th Quarter",'Report Schedule'!G46,"")))))</f>
        <v>Apr - Jun 2017</v>
      </c>
      <c r="D11" s="54"/>
    </row>
    <row r="14" spans="1:8" ht="193.5" customHeight="1" x14ac:dyDescent="0.2">
      <c r="A14" s="560" t="s">
        <v>431</v>
      </c>
      <c r="B14" s="560"/>
      <c r="C14" s="560"/>
      <c r="D14" s="560"/>
      <c r="E14" s="560"/>
      <c r="F14" s="560"/>
      <c r="G14" s="560"/>
      <c r="H14" s="47"/>
    </row>
    <row r="15" spans="1:8" x14ac:dyDescent="0.2">
      <c r="A15" s="47"/>
      <c r="B15" s="47"/>
      <c r="C15" s="47"/>
      <c r="D15" s="47"/>
      <c r="E15" s="47"/>
      <c r="F15" s="47"/>
      <c r="G15" s="47"/>
      <c r="H15" s="47"/>
    </row>
    <row r="17" spans="2:6" x14ac:dyDescent="0.2">
      <c r="B17" s="337" t="s">
        <v>400</v>
      </c>
      <c r="C17" s="338"/>
      <c r="D17" s="338"/>
      <c r="E17" s="339"/>
    </row>
    <row r="18" spans="2:6" ht="15" customHeight="1" x14ac:dyDescent="0.2">
      <c r="B18" s="336" t="s">
        <v>397</v>
      </c>
      <c r="C18" s="336" t="s">
        <v>398</v>
      </c>
      <c r="D18" s="336" t="s">
        <v>432</v>
      </c>
      <c r="E18" s="343" t="s">
        <v>401</v>
      </c>
      <c r="F18" s="342" t="s">
        <v>399</v>
      </c>
    </row>
    <row r="19" spans="2:6" ht="20.100000000000001" customHeight="1" x14ac:dyDescent="0.2">
      <c r="B19" s="340"/>
      <c r="C19" s="340"/>
      <c r="D19" s="340"/>
      <c r="E19" s="340"/>
      <c r="F19" s="341"/>
    </row>
    <row r="21" spans="2:6" x14ac:dyDescent="0.2">
      <c r="B21" s="54" t="s">
        <v>402</v>
      </c>
    </row>
  </sheetData>
  <sheetProtection sheet="1" objects="1" scenarios="1"/>
  <mergeCells count="1">
    <mergeCell ref="A14:G14"/>
  </mergeCells>
  <conditionalFormatting sqref="C3:C4">
    <cfRule type="expression" dxfId="320" priority="3">
      <formula>C3="Data Not Entered On Set-Up Worksheet"</formula>
    </cfRule>
  </conditionalFormatting>
  <conditionalFormatting sqref="C9">
    <cfRule type="expression" dxfId="319" priority="2">
      <formula>C9="Data Not Entered On Set-Up Worksheet"</formula>
    </cfRule>
  </conditionalFormatting>
  <conditionalFormatting sqref="C11">
    <cfRule type="expression" dxfId="318"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5"/>
  <sheetViews>
    <sheetView showGridLines="0" workbookViewId="0">
      <pane xSplit="1" ySplit="15" topLeftCell="B16" activePane="bottomRight" state="frozen"/>
      <selection pane="topRight" activeCell="B1" sqref="B1"/>
      <selection pane="bottomLeft" activeCell="A16" sqref="A16"/>
      <selection pane="bottomRight" activeCell="B16" sqref="B16"/>
    </sheetView>
  </sheetViews>
  <sheetFormatPr defaultRowHeight="12.75" x14ac:dyDescent="0.2"/>
  <cols>
    <col min="1" max="1" width="22.42578125" style="22" customWidth="1"/>
    <col min="2" max="22" width="16.7109375" style="22" customWidth="1"/>
    <col min="23" max="16384" width="9.140625" style="22"/>
  </cols>
  <sheetData>
    <row r="1" spans="1:22" ht="15" customHeight="1" x14ac:dyDescent="0.2">
      <c r="A1" s="36" t="s">
        <v>28</v>
      </c>
      <c r="I1" s="36" t="s">
        <v>329</v>
      </c>
      <c r="P1" s="36" t="s">
        <v>329</v>
      </c>
    </row>
    <row r="2" spans="1:22" ht="15" customHeight="1" x14ac:dyDescent="0.2">
      <c r="A2" s="36" t="s">
        <v>196</v>
      </c>
      <c r="I2" s="358" t="s">
        <v>330</v>
      </c>
      <c r="P2" s="358" t="s">
        <v>330</v>
      </c>
    </row>
    <row r="3" spans="1:22" ht="15" customHeight="1" x14ac:dyDescent="0.2">
      <c r="A3" s="30" t="s">
        <v>194</v>
      </c>
      <c r="C3" s="147">
        <f>IF('Set-Up Worksheet'!F3="","Data Not Entered On Set-Up Worksheet",'Set-Up Worksheet'!F3)</f>
        <v>2018</v>
      </c>
      <c r="J3" s="357">
        <f t="shared" ref="J3:J11" si="0">C3</f>
        <v>2018</v>
      </c>
      <c r="K3" s="355"/>
      <c r="L3" s="355"/>
      <c r="Q3" s="357">
        <f t="shared" ref="Q3:Q11" si="1">C3</f>
        <v>2018</v>
      </c>
    </row>
    <row r="4" spans="1:22" ht="15" customHeight="1" x14ac:dyDescent="0.2">
      <c r="A4" s="30" t="s">
        <v>195</v>
      </c>
      <c r="C4" s="147" t="str">
        <f>IF('Set-Up Worksheet'!F4="","Data Not Entered On Set-Up Worksheet",'Set-Up Worksheet'!F4)</f>
        <v>1st Quarter</v>
      </c>
      <c r="D4" s="32"/>
      <c r="E4" s="32"/>
      <c r="J4" s="355" t="str">
        <f t="shared" si="0"/>
        <v>1st Quarter</v>
      </c>
      <c r="K4" s="355"/>
      <c r="L4" s="355"/>
      <c r="Q4" s="355" t="str">
        <f t="shared" si="1"/>
        <v>1st Quarter</v>
      </c>
    </row>
    <row r="5" spans="1:22" ht="15" customHeight="1" x14ac:dyDescent="0.2">
      <c r="A5" s="30"/>
      <c r="C5" s="32"/>
      <c r="D5" s="32"/>
      <c r="E5" s="32"/>
      <c r="J5" s="355"/>
      <c r="K5" s="355"/>
      <c r="L5" s="355"/>
      <c r="Q5" s="355"/>
    </row>
    <row r="6" spans="1:22" ht="15" customHeight="1" x14ac:dyDescent="0.2">
      <c r="A6" s="30" t="s">
        <v>336</v>
      </c>
      <c r="C6" s="32"/>
      <c r="D6" s="32"/>
      <c r="E6" s="32"/>
      <c r="J6" s="355"/>
      <c r="K6" s="355"/>
      <c r="L6" s="355"/>
      <c r="Q6" s="355"/>
    </row>
    <row r="7" spans="1:22" ht="15" customHeight="1" x14ac:dyDescent="0.2">
      <c r="A7" s="30" t="s">
        <v>407</v>
      </c>
      <c r="C7" s="32"/>
      <c r="D7" s="32"/>
      <c r="E7" s="32"/>
      <c r="I7" s="30" t="s">
        <v>406</v>
      </c>
      <c r="J7" s="355"/>
      <c r="K7" s="355"/>
      <c r="L7" s="355"/>
      <c r="P7" s="30" t="s">
        <v>406</v>
      </c>
      <c r="Q7" s="355"/>
    </row>
    <row r="8" spans="1:22" ht="15" customHeight="1" x14ac:dyDescent="0.2">
      <c r="A8" s="30"/>
      <c r="C8" s="32"/>
      <c r="D8" s="32"/>
      <c r="E8" s="32"/>
      <c r="J8" s="355"/>
      <c r="K8" s="355"/>
      <c r="L8" s="355"/>
      <c r="Q8" s="355"/>
    </row>
    <row r="9" spans="1:22" ht="15" customHeight="1" x14ac:dyDescent="0.2">
      <c r="A9" s="30" t="s">
        <v>29</v>
      </c>
      <c r="C9" s="39" t="str">
        <f>IF('Set-Up Worksheet'!E7="","Data Not Entered On Set-Up Worksheet",'Set-Up Worksheet'!E7)</f>
        <v>Data Not Entered On Set-Up Worksheet</v>
      </c>
      <c r="J9" s="355" t="str">
        <f t="shared" si="0"/>
        <v>Data Not Entered On Set-Up Worksheet</v>
      </c>
      <c r="K9" s="355"/>
      <c r="L9" s="355"/>
      <c r="Q9" s="355" t="str">
        <f t="shared" si="1"/>
        <v>Data Not Entered On Set-Up Worksheet</v>
      </c>
    </row>
    <row r="10" spans="1:22" ht="15" customHeight="1" x14ac:dyDescent="0.2">
      <c r="A10" s="30" t="s">
        <v>9</v>
      </c>
      <c r="C10" s="32" t="s">
        <v>10</v>
      </c>
      <c r="J10" s="355" t="str">
        <f t="shared" si="0"/>
        <v>Behavioral Health</v>
      </c>
      <c r="K10" s="355"/>
      <c r="L10" s="355"/>
      <c r="Q10" s="355" t="str">
        <f t="shared" si="1"/>
        <v>Behavioral Health</v>
      </c>
    </row>
    <row r="11" spans="1:22" ht="15" customHeight="1" x14ac:dyDescent="0.2">
      <c r="A11" s="30" t="s">
        <v>197</v>
      </c>
      <c r="C11" s="40" t="str">
        <f>IF(C4="Data Not Entered On Set-Up Worksheet","Data Not Entered On Set-Up Worksheet",IF(C4="1st Quarter",'Report Schedule'!D49,IF(C4="2nd Quarter",'Report Schedule'!E49,IF(C4="3rd Quarter",'Report Schedule'!F49,IF(C4="4th Quarter",'Report Schedule'!G49,"")))))</f>
        <v>Apr - Jun 2017</v>
      </c>
      <c r="E11" s="79" t="s">
        <v>40</v>
      </c>
      <c r="J11" s="355" t="str">
        <f t="shared" si="0"/>
        <v>Apr - Jun 2017</v>
      </c>
      <c r="K11" s="355"/>
      <c r="L11" s="356" t="s">
        <v>40</v>
      </c>
      <c r="Q11" s="355" t="str">
        <f t="shared" si="1"/>
        <v>Apr - Jun 2017</v>
      </c>
      <c r="S11" s="356" t="s">
        <v>40</v>
      </c>
    </row>
    <row r="12" spans="1:22" ht="15" customHeight="1" thickBot="1" x14ac:dyDescent="0.25">
      <c r="A12" s="30"/>
      <c r="B12" s="40"/>
    </row>
    <row r="13" spans="1:22" ht="18" customHeight="1" thickBot="1" x14ac:dyDescent="0.25">
      <c r="A13" s="226" t="s">
        <v>327</v>
      </c>
      <c r="B13" s="384" t="s">
        <v>39</v>
      </c>
      <c r="C13" s="235"/>
      <c r="D13" s="235"/>
      <c r="E13" s="235"/>
      <c r="F13" s="235"/>
      <c r="G13" s="235"/>
      <c r="H13" s="236"/>
      <c r="I13" s="383" t="s">
        <v>241</v>
      </c>
      <c r="J13" s="231"/>
      <c r="K13" s="231"/>
      <c r="L13" s="231"/>
      <c r="M13" s="231"/>
      <c r="N13" s="231"/>
      <c r="O13" s="232"/>
      <c r="P13" s="384" t="s">
        <v>243</v>
      </c>
      <c r="Q13" s="235"/>
      <c r="R13" s="235"/>
      <c r="S13" s="235"/>
      <c r="T13" s="235"/>
      <c r="U13" s="235"/>
      <c r="V13" s="236"/>
    </row>
    <row r="14" spans="1:22" ht="13.5" thickBot="1" x14ac:dyDescent="0.25">
      <c r="A14" s="30"/>
      <c r="B14" s="37" t="s">
        <v>3</v>
      </c>
      <c r="C14" s="37" t="s">
        <v>3</v>
      </c>
      <c r="D14" s="37"/>
      <c r="E14" s="37"/>
      <c r="F14" s="37" t="s">
        <v>4</v>
      </c>
      <c r="G14" s="37" t="s">
        <v>8</v>
      </c>
      <c r="H14" s="37" t="s">
        <v>8</v>
      </c>
      <c r="I14" s="37" t="s">
        <v>3</v>
      </c>
      <c r="J14" s="37" t="s">
        <v>3</v>
      </c>
      <c r="K14" s="37"/>
      <c r="L14" s="37"/>
      <c r="M14" s="37" t="s">
        <v>4</v>
      </c>
      <c r="N14" s="37" t="s">
        <v>8</v>
      </c>
      <c r="O14" s="37" t="s">
        <v>8</v>
      </c>
      <c r="P14" s="37" t="s">
        <v>3</v>
      </c>
      <c r="Q14" s="37" t="s">
        <v>3</v>
      </c>
      <c r="R14" s="37"/>
      <c r="S14" s="37"/>
      <c r="T14" s="37" t="s">
        <v>4</v>
      </c>
      <c r="U14" s="37" t="s">
        <v>8</v>
      </c>
      <c r="V14" s="37" t="s">
        <v>8</v>
      </c>
    </row>
    <row r="15" spans="1:22" ht="51" x14ac:dyDescent="0.2">
      <c r="A15" s="75" t="s">
        <v>43</v>
      </c>
      <c r="B15" s="350" t="s">
        <v>434</v>
      </c>
      <c r="C15" s="351" t="s">
        <v>435</v>
      </c>
      <c r="D15" s="351" t="s">
        <v>404</v>
      </c>
      <c r="E15" s="351" t="s">
        <v>405</v>
      </c>
      <c r="F15" s="351" t="s">
        <v>30</v>
      </c>
      <c r="G15" s="351" t="s">
        <v>436</v>
      </c>
      <c r="H15" s="352" t="s">
        <v>437</v>
      </c>
      <c r="I15" s="344" t="s">
        <v>434</v>
      </c>
      <c r="J15" s="345" t="s">
        <v>435</v>
      </c>
      <c r="K15" s="345" t="s">
        <v>404</v>
      </c>
      <c r="L15" s="345" t="s">
        <v>405</v>
      </c>
      <c r="M15" s="345" t="s">
        <v>30</v>
      </c>
      <c r="N15" s="345" t="s">
        <v>436</v>
      </c>
      <c r="O15" s="346" t="s">
        <v>437</v>
      </c>
      <c r="P15" s="350" t="s">
        <v>434</v>
      </c>
      <c r="Q15" s="351" t="s">
        <v>435</v>
      </c>
      <c r="R15" s="351" t="s">
        <v>404</v>
      </c>
      <c r="S15" s="351" t="s">
        <v>405</v>
      </c>
      <c r="T15" s="351" t="s">
        <v>30</v>
      </c>
      <c r="U15" s="351" t="s">
        <v>436</v>
      </c>
      <c r="V15" s="352" t="s">
        <v>437</v>
      </c>
    </row>
    <row r="16" spans="1:22" ht="18" customHeight="1" x14ac:dyDescent="0.2">
      <c r="A16" s="76" t="str">
        <f>IF($C$9="Data Not Entered On Set-Up Worksheet","",IF(OR(VLOOKUP($C$9,County_Lookup,2,FALSE)="",VLOOKUP($C$9,County_Lookup,2,FALSE)=0),"",VLOOKUP($C$9,County_Lookup,2,FALSE)))</f>
        <v/>
      </c>
      <c r="B16" s="52"/>
      <c r="C16" s="42"/>
      <c r="D16" s="42"/>
      <c r="E16" s="42"/>
      <c r="F16" s="42"/>
      <c r="G16" s="43" t="str">
        <f>IF($A16="","",IF($F16=0,0,B16/$F16))</f>
        <v/>
      </c>
      <c r="H16" s="347" t="str">
        <f>IF($A16="","",IF($F16=0,0,C16/$F16))</f>
        <v/>
      </c>
      <c r="I16" s="52"/>
      <c r="J16" s="42"/>
      <c r="K16" s="42"/>
      <c r="L16" s="42"/>
      <c r="M16" s="42"/>
      <c r="N16" s="43" t="str">
        <f>IF($A16="","",IF($M16=0,0,I16/$M16))</f>
        <v/>
      </c>
      <c r="O16" s="347" t="str">
        <f>IF($A16="","",IF($M16=0,0,J16/$M16))</f>
        <v/>
      </c>
      <c r="P16" s="52"/>
      <c r="Q16" s="42"/>
      <c r="R16" s="42"/>
      <c r="S16" s="42"/>
      <c r="T16" s="42"/>
      <c r="U16" s="43" t="str">
        <f>IF($A16="","",IF($T16=0,0,P16/$T16))</f>
        <v/>
      </c>
      <c r="V16" s="347" t="str">
        <f>IF($A16="","",IF($T16=0,0,Q16/$T16))</f>
        <v/>
      </c>
    </row>
    <row r="17" spans="1:22" ht="18" customHeight="1" x14ac:dyDescent="0.2">
      <c r="A17" s="77" t="str">
        <f>IF($C$9="Data Not Entered On Set-Up Worksheet","",IF(OR(VLOOKUP($C$9,County_Lookup,3,FALSE)="",VLOOKUP($C$9,County_Lookup,3,FALSE)=0),"",VLOOKUP($C$9,County_Lookup,3,FALSE)))</f>
        <v/>
      </c>
      <c r="B17" s="52"/>
      <c r="C17" s="42"/>
      <c r="D17" s="42"/>
      <c r="E17" s="42"/>
      <c r="F17" s="42"/>
      <c r="G17" s="43" t="str">
        <f t="shared" ref="G17:G42" si="2">IF($A17="","",IF($F17=0,0,B17/$F17))</f>
        <v/>
      </c>
      <c r="H17" s="347" t="str">
        <f t="shared" ref="H17:H42" si="3">IF($A17="","",IF($F17=0,0,C17/$F17))</f>
        <v/>
      </c>
      <c r="I17" s="52"/>
      <c r="J17" s="42"/>
      <c r="K17" s="42"/>
      <c r="L17" s="42"/>
      <c r="M17" s="42"/>
      <c r="N17" s="43" t="str">
        <f t="shared" ref="N17:N42" si="4">IF($A17="","",IF($M17=0,0,I17/$M17))</f>
        <v/>
      </c>
      <c r="O17" s="347" t="str">
        <f t="shared" ref="O17:O42" si="5">IF($A17="","",IF($M17=0,0,J17/$M17))</f>
        <v/>
      </c>
      <c r="P17" s="52"/>
      <c r="Q17" s="42"/>
      <c r="R17" s="42"/>
      <c r="S17" s="42"/>
      <c r="T17" s="42"/>
      <c r="U17" s="43" t="str">
        <f t="shared" ref="U17:U42" si="6">IF($A17="","",IF($T17=0,0,P17/$T17))</f>
        <v/>
      </c>
      <c r="V17" s="347" t="str">
        <f t="shared" ref="V17:V42" si="7">IF($A17="","",IF($T17=0,0,Q17/$T17))</f>
        <v/>
      </c>
    </row>
    <row r="18" spans="1:22" ht="18" customHeight="1" x14ac:dyDescent="0.2">
      <c r="A18" s="77" t="str">
        <f>IF($C$9="Data Not Entered On Set-Up Worksheet","",IF(OR(VLOOKUP($C$9,County_Lookup,4,FALSE)="",VLOOKUP($C$9,County_Lookup,4,FALSE)=0),"",VLOOKUP($C$9,County_Lookup,4,FALSE)))</f>
        <v/>
      </c>
      <c r="B18" s="52"/>
      <c r="C18" s="42"/>
      <c r="D18" s="42"/>
      <c r="E18" s="42"/>
      <c r="F18" s="42"/>
      <c r="G18" s="43" t="str">
        <f t="shared" si="2"/>
        <v/>
      </c>
      <c r="H18" s="347" t="str">
        <f t="shared" si="3"/>
        <v/>
      </c>
      <c r="I18" s="52"/>
      <c r="J18" s="42"/>
      <c r="K18" s="42"/>
      <c r="L18" s="42"/>
      <c r="M18" s="42"/>
      <c r="N18" s="43" t="str">
        <f t="shared" si="4"/>
        <v/>
      </c>
      <c r="O18" s="347" t="str">
        <f t="shared" si="5"/>
        <v/>
      </c>
      <c r="P18" s="52"/>
      <c r="Q18" s="42"/>
      <c r="R18" s="42"/>
      <c r="S18" s="42"/>
      <c r="T18" s="42"/>
      <c r="U18" s="43" t="str">
        <f t="shared" si="6"/>
        <v/>
      </c>
      <c r="V18" s="347" t="str">
        <f t="shared" si="7"/>
        <v/>
      </c>
    </row>
    <row r="19" spans="1:22" ht="18" customHeight="1" x14ac:dyDescent="0.2">
      <c r="A19" s="77" t="str">
        <f>IF($C$9="Data Not Entered On Set-Up Worksheet","",IF(OR(VLOOKUP($C$9,County_Lookup,5,FALSE)="",VLOOKUP($C$9,County_Lookup,5,FALSE)=0),"",VLOOKUP($C$9,County_Lookup,5,FALSE)))</f>
        <v/>
      </c>
      <c r="B19" s="52"/>
      <c r="C19" s="42"/>
      <c r="D19" s="42"/>
      <c r="E19" s="42"/>
      <c r="F19" s="42"/>
      <c r="G19" s="43" t="str">
        <f t="shared" si="2"/>
        <v/>
      </c>
      <c r="H19" s="347" t="str">
        <f t="shared" si="3"/>
        <v/>
      </c>
      <c r="I19" s="52"/>
      <c r="J19" s="42"/>
      <c r="K19" s="42"/>
      <c r="L19" s="42"/>
      <c r="M19" s="42"/>
      <c r="N19" s="43" t="str">
        <f t="shared" si="4"/>
        <v/>
      </c>
      <c r="O19" s="347" t="str">
        <f t="shared" si="5"/>
        <v/>
      </c>
      <c r="P19" s="52"/>
      <c r="Q19" s="42"/>
      <c r="R19" s="42"/>
      <c r="S19" s="42"/>
      <c r="T19" s="42"/>
      <c r="U19" s="43" t="str">
        <f t="shared" si="6"/>
        <v/>
      </c>
      <c r="V19" s="347" t="str">
        <f t="shared" si="7"/>
        <v/>
      </c>
    </row>
    <row r="20" spans="1:22" ht="18" customHeight="1" x14ac:dyDescent="0.2">
      <c r="A20" s="77" t="str">
        <f>IF($C$9="Data Not Entered On Set-Up Worksheet","",IF(OR(VLOOKUP($C$9,County_Lookup,6,FALSE)="",VLOOKUP($C$9,County_Lookup,6,FALSE)=0),"",VLOOKUP($C$9,County_Lookup,6,FALSE)))</f>
        <v/>
      </c>
      <c r="B20" s="52"/>
      <c r="C20" s="42"/>
      <c r="D20" s="42"/>
      <c r="E20" s="42"/>
      <c r="F20" s="42"/>
      <c r="G20" s="43" t="str">
        <f t="shared" si="2"/>
        <v/>
      </c>
      <c r="H20" s="347" t="str">
        <f t="shared" si="3"/>
        <v/>
      </c>
      <c r="I20" s="52"/>
      <c r="J20" s="42"/>
      <c r="K20" s="42"/>
      <c r="L20" s="42"/>
      <c r="M20" s="42"/>
      <c r="N20" s="43" t="str">
        <f t="shared" si="4"/>
        <v/>
      </c>
      <c r="O20" s="347" t="str">
        <f t="shared" si="5"/>
        <v/>
      </c>
      <c r="P20" s="52"/>
      <c r="Q20" s="42"/>
      <c r="R20" s="42"/>
      <c r="S20" s="42"/>
      <c r="T20" s="42"/>
      <c r="U20" s="43" t="str">
        <f t="shared" si="6"/>
        <v/>
      </c>
      <c r="V20" s="347" t="str">
        <f t="shared" si="7"/>
        <v/>
      </c>
    </row>
    <row r="21" spans="1:22" ht="18" customHeight="1" x14ac:dyDescent="0.2">
      <c r="A21" s="77" t="str">
        <f>IF($C$9="Data Not Entered On Set-Up Worksheet","",IF(OR(VLOOKUP($C$9,County_Lookup,7,FALSE)="",VLOOKUP($C$9,County_Lookup,7,FALSE)=0),"",VLOOKUP($C$9,County_Lookup,7,FALSE)))</f>
        <v/>
      </c>
      <c r="B21" s="52"/>
      <c r="C21" s="42"/>
      <c r="D21" s="42"/>
      <c r="E21" s="42"/>
      <c r="F21" s="42"/>
      <c r="G21" s="43" t="str">
        <f t="shared" si="2"/>
        <v/>
      </c>
      <c r="H21" s="347" t="str">
        <f t="shared" si="3"/>
        <v/>
      </c>
      <c r="I21" s="52"/>
      <c r="J21" s="42"/>
      <c r="K21" s="42"/>
      <c r="L21" s="42"/>
      <c r="M21" s="42"/>
      <c r="N21" s="43" t="str">
        <f t="shared" si="4"/>
        <v/>
      </c>
      <c r="O21" s="347" t="str">
        <f t="shared" si="5"/>
        <v/>
      </c>
      <c r="P21" s="52"/>
      <c r="Q21" s="42"/>
      <c r="R21" s="42"/>
      <c r="S21" s="42"/>
      <c r="T21" s="42"/>
      <c r="U21" s="43" t="str">
        <f t="shared" si="6"/>
        <v/>
      </c>
      <c r="V21" s="347" t="str">
        <f t="shared" si="7"/>
        <v/>
      </c>
    </row>
    <row r="22" spans="1:22" ht="18" customHeight="1" x14ac:dyDescent="0.2">
      <c r="A22" s="76" t="str">
        <f>IF($C$9="Data Not Entered On Set-Up Worksheet","",IF(OR(VLOOKUP($C$9,County_Lookup,8,FALSE)="",VLOOKUP($C$9,County_Lookup,8,FALSE)=0),"",VLOOKUP($C$9,County_Lookup,8,FALSE)))</f>
        <v/>
      </c>
      <c r="B22" s="52"/>
      <c r="C22" s="42"/>
      <c r="D22" s="42"/>
      <c r="E22" s="42"/>
      <c r="F22" s="42"/>
      <c r="G22" s="43" t="str">
        <f t="shared" si="2"/>
        <v/>
      </c>
      <c r="H22" s="347" t="str">
        <f t="shared" si="3"/>
        <v/>
      </c>
      <c r="I22" s="52"/>
      <c r="J22" s="42"/>
      <c r="K22" s="42"/>
      <c r="L22" s="42"/>
      <c r="M22" s="42"/>
      <c r="N22" s="43" t="str">
        <f t="shared" si="4"/>
        <v/>
      </c>
      <c r="O22" s="347" t="str">
        <f t="shared" si="5"/>
        <v/>
      </c>
      <c r="P22" s="52"/>
      <c r="Q22" s="42"/>
      <c r="R22" s="42"/>
      <c r="S22" s="42"/>
      <c r="T22" s="42"/>
      <c r="U22" s="43" t="str">
        <f t="shared" si="6"/>
        <v/>
      </c>
      <c r="V22" s="347" t="str">
        <f t="shared" si="7"/>
        <v/>
      </c>
    </row>
    <row r="23" spans="1:22" ht="18" customHeight="1" x14ac:dyDescent="0.2">
      <c r="A23" s="77" t="str">
        <f>IF($C$9="Data Not Entered On Set-Up Worksheet","",IF(OR(VLOOKUP($C$9,County_Lookup,9,FALSE)="",VLOOKUP($C$9,County_Lookup,9,FALSE)=0),"",VLOOKUP($C$9,County_Lookup,9,FALSE)))</f>
        <v/>
      </c>
      <c r="B23" s="52"/>
      <c r="C23" s="42"/>
      <c r="D23" s="42"/>
      <c r="E23" s="42"/>
      <c r="F23" s="42"/>
      <c r="G23" s="43" t="str">
        <f t="shared" si="2"/>
        <v/>
      </c>
      <c r="H23" s="347" t="str">
        <f t="shared" si="3"/>
        <v/>
      </c>
      <c r="I23" s="52"/>
      <c r="J23" s="42"/>
      <c r="K23" s="42"/>
      <c r="L23" s="42"/>
      <c r="M23" s="42"/>
      <c r="N23" s="43" t="str">
        <f t="shared" si="4"/>
        <v/>
      </c>
      <c r="O23" s="347" t="str">
        <f t="shared" si="5"/>
        <v/>
      </c>
      <c r="P23" s="52"/>
      <c r="Q23" s="42"/>
      <c r="R23" s="42"/>
      <c r="S23" s="42"/>
      <c r="T23" s="42"/>
      <c r="U23" s="43" t="str">
        <f t="shared" si="6"/>
        <v/>
      </c>
      <c r="V23" s="347" t="str">
        <f t="shared" si="7"/>
        <v/>
      </c>
    </row>
    <row r="24" spans="1:22" ht="18" customHeight="1" x14ac:dyDescent="0.2">
      <c r="A24" s="77" t="str">
        <f>IF($C$9="Data Not Entered On Set-Up Worksheet","",IF(OR(VLOOKUP($C$9,County_Lookup,10,FALSE)="",VLOOKUP($C$9,County_Lookup,10,FALSE)=0),"",VLOOKUP($C$9,County_Lookup,10,FALSE)))</f>
        <v/>
      </c>
      <c r="B24" s="52"/>
      <c r="C24" s="42"/>
      <c r="D24" s="42"/>
      <c r="E24" s="42"/>
      <c r="F24" s="42"/>
      <c r="G24" s="43" t="str">
        <f t="shared" si="2"/>
        <v/>
      </c>
      <c r="H24" s="347" t="str">
        <f t="shared" si="3"/>
        <v/>
      </c>
      <c r="I24" s="52"/>
      <c r="J24" s="42"/>
      <c r="K24" s="42"/>
      <c r="L24" s="42"/>
      <c r="M24" s="42"/>
      <c r="N24" s="43" t="str">
        <f t="shared" si="4"/>
        <v/>
      </c>
      <c r="O24" s="347" t="str">
        <f t="shared" si="5"/>
        <v/>
      </c>
      <c r="P24" s="52"/>
      <c r="Q24" s="42"/>
      <c r="R24" s="42"/>
      <c r="S24" s="42"/>
      <c r="T24" s="42"/>
      <c r="U24" s="43" t="str">
        <f t="shared" si="6"/>
        <v/>
      </c>
      <c r="V24" s="347" t="str">
        <f t="shared" si="7"/>
        <v/>
      </c>
    </row>
    <row r="25" spans="1:22" ht="18" customHeight="1" x14ac:dyDescent="0.2">
      <c r="A25" s="77" t="str">
        <f>IF($C$9="Data Not Entered On Set-Up Worksheet","",IF(OR(VLOOKUP($C$9,County_Lookup,11,FALSE)="",VLOOKUP($C$9,County_Lookup,11,FALSE)=0),"",VLOOKUP($C$9,County_Lookup,11,FALSE)))</f>
        <v/>
      </c>
      <c r="B25" s="52"/>
      <c r="C25" s="42"/>
      <c r="D25" s="42"/>
      <c r="E25" s="42"/>
      <c r="F25" s="42"/>
      <c r="G25" s="43" t="str">
        <f t="shared" si="2"/>
        <v/>
      </c>
      <c r="H25" s="347" t="str">
        <f t="shared" si="3"/>
        <v/>
      </c>
      <c r="I25" s="52"/>
      <c r="J25" s="42"/>
      <c r="K25" s="42"/>
      <c r="L25" s="42"/>
      <c r="M25" s="42"/>
      <c r="N25" s="43" t="str">
        <f t="shared" si="4"/>
        <v/>
      </c>
      <c r="O25" s="347" t="str">
        <f t="shared" si="5"/>
        <v/>
      </c>
      <c r="P25" s="52"/>
      <c r="Q25" s="42"/>
      <c r="R25" s="42"/>
      <c r="S25" s="42"/>
      <c r="T25" s="42"/>
      <c r="U25" s="43" t="str">
        <f t="shared" si="6"/>
        <v/>
      </c>
      <c r="V25" s="347" t="str">
        <f t="shared" si="7"/>
        <v/>
      </c>
    </row>
    <row r="26" spans="1:22" ht="18" customHeight="1" x14ac:dyDescent="0.2">
      <c r="A26" s="77" t="str">
        <f>IF($C$9="Data Not Entered On Set-Up Worksheet","",IF(OR(VLOOKUP($C$9,County_Lookup,12,FALSE)="",VLOOKUP($C$9,County_Lookup,12,FALSE)=0),"",VLOOKUP($C$9,County_Lookup,12,FALSE)))</f>
        <v/>
      </c>
      <c r="B26" s="52"/>
      <c r="C26" s="42"/>
      <c r="D26" s="42"/>
      <c r="E26" s="42"/>
      <c r="F26" s="42"/>
      <c r="G26" s="43" t="str">
        <f t="shared" si="2"/>
        <v/>
      </c>
      <c r="H26" s="347" t="str">
        <f t="shared" si="3"/>
        <v/>
      </c>
      <c r="I26" s="52"/>
      <c r="J26" s="42"/>
      <c r="K26" s="42"/>
      <c r="L26" s="42"/>
      <c r="M26" s="42"/>
      <c r="N26" s="43" t="str">
        <f t="shared" si="4"/>
        <v/>
      </c>
      <c r="O26" s="347" t="str">
        <f t="shared" si="5"/>
        <v/>
      </c>
      <c r="P26" s="52"/>
      <c r="Q26" s="42"/>
      <c r="R26" s="42"/>
      <c r="S26" s="42"/>
      <c r="T26" s="42"/>
      <c r="U26" s="43" t="str">
        <f t="shared" si="6"/>
        <v/>
      </c>
      <c r="V26" s="347" t="str">
        <f t="shared" si="7"/>
        <v/>
      </c>
    </row>
    <row r="27" spans="1:22" ht="18" customHeight="1" x14ac:dyDescent="0.2">
      <c r="A27" s="77" t="str">
        <f>IF($C$9="Data Not Entered On Set-Up Worksheet","",IF(OR(VLOOKUP($C$9,County_Lookup,13,FALSE)="",VLOOKUP($C$9,County_Lookup,13,FALSE)=0),"",VLOOKUP($C$9,County_Lookup,13,FALSE)))</f>
        <v/>
      </c>
      <c r="B27" s="52"/>
      <c r="C27" s="42"/>
      <c r="D27" s="42"/>
      <c r="E27" s="42"/>
      <c r="F27" s="42"/>
      <c r="G27" s="43" t="str">
        <f t="shared" si="2"/>
        <v/>
      </c>
      <c r="H27" s="347" t="str">
        <f t="shared" si="3"/>
        <v/>
      </c>
      <c r="I27" s="52"/>
      <c r="J27" s="42"/>
      <c r="K27" s="42"/>
      <c r="L27" s="42"/>
      <c r="M27" s="42"/>
      <c r="N27" s="43" t="str">
        <f t="shared" si="4"/>
        <v/>
      </c>
      <c r="O27" s="347" t="str">
        <f t="shared" si="5"/>
        <v/>
      </c>
      <c r="P27" s="52"/>
      <c r="Q27" s="42"/>
      <c r="R27" s="42"/>
      <c r="S27" s="42"/>
      <c r="T27" s="42"/>
      <c r="U27" s="43" t="str">
        <f t="shared" si="6"/>
        <v/>
      </c>
      <c r="V27" s="347" t="str">
        <f t="shared" si="7"/>
        <v/>
      </c>
    </row>
    <row r="28" spans="1:22" ht="18" customHeight="1" x14ac:dyDescent="0.2">
      <c r="A28" s="77" t="str">
        <f>IF($C$9="Data Not Entered On Set-Up Worksheet","",IF(OR(VLOOKUP($C$9,County_Lookup,14,FALSE)="",VLOOKUP($C$9,County_Lookup,14,FALSE)=0),"",VLOOKUP($C$9,County_Lookup,14,FALSE)))</f>
        <v/>
      </c>
      <c r="B28" s="52"/>
      <c r="C28" s="42"/>
      <c r="D28" s="42"/>
      <c r="E28" s="42"/>
      <c r="F28" s="42"/>
      <c r="G28" s="43" t="str">
        <f t="shared" si="2"/>
        <v/>
      </c>
      <c r="H28" s="347" t="str">
        <f t="shared" si="3"/>
        <v/>
      </c>
      <c r="I28" s="52"/>
      <c r="J28" s="42"/>
      <c r="K28" s="42"/>
      <c r="L28" s="42"/>
      <c r="M28" s="42"/>
      <c r="N28" s="43" t="str">
        <f t="shared" si="4"/>
        <v/>
      </c>
      <c r="O28" s="347" t="str">
        <f t="shared" si="5"/>
        <v/>
      </c>
      <c r="P28" s="52"/>
      <c r="Q28" s="42"/>
      <c r="R28" s="42"/>
      <c r="S28" s="42"/>
      <c r="T28" s="42"/>
      <c r="U28" s="43" t="str">
        <f t="shared" si="6"/>
        <v/>
      </c>
      <c r="V28" s="347" t="str">
        <f t="shared" si="7"/>
        <v/>
      </c>
    </row>
    <row r="29" spans="1:22" ht="18" customHeight="1" x14ac:dyDescent="0.2">
      <c r="A29" s="76" t="str">
        <f>IF($C$9="Data Not Entered On Set-Up Worksheet","",IF(OR(VLOOKUP($C$9,County_Lookup,15,FALSE)="",VLOOKUP($C$9,County_Lookup,15,FALSE)=0),"",VLOOKUP($C$9,County_Lookup,15,FALSE)))</f>
        <v/>
      </c>
      <c r="B29" s="52"/>
      <c r="C29" s="42"/>
      <c r="D29" s="42"/>
      <c r="E29" s="42"/>
      <c r="F29" s="42"/>
      <c r="G29" s="43" t="str">
        <f t="shared" si="2"/>
        <v/>
      </c>
      <c r="H29" s="347" t="str">
        <f t="shared" si="3"/>
        <v/>
      </c>
      <c r="I29" s="52"/>
      <c r="J29" s="42"/>
      <c r="K29" s="42"/>
      <c r="L29" s="42"/>
      <c r="M29" s="42"/>
      <c r="N29" s="43" t="str">
        <f t="shared" si="4"/>
        <v/>
      </c>
      <c r="O29" s="347" t="str">
        <f t="shared" si="5"/>
        <v/>
      </c>
      <c r="P29" s="52"/>
      <c r="Q29" s="42"/>
      <c r="R29" s="42"/>
      <c r="S29" s="42"/>
      <c r="T29" s="42"/>
      <c r="U29" s="43" t="str">
        <f t="shared" si="6"/>
        <v/>
      </c>
      <c r="V29" s="347" t="str">
        <f t="shared" si="7"/>
        <v/>
      </c>
    </row>
    <row r="30" spans="1:22" ht="18" customHeight="1" x14ac:dyDescent="0.2">
      <c r="A30" s="77" t="str">
        <f>IF($C$9="Data Not Entered On Set-Up Worksheet","",IF(OR(VLOOKUP($C$9,County_Lookup,16,FALSE)="",VLOOKUP($C$9,County_Lookup,16,FALSE)=0),"",VLOOKUP($C$9,County_Lookup,16,FALSE)))</f>
        <v/>
      </c>
      <c r="B30" s="52"/>
      <c r="C30" s="42"/>
      <c r="D30" s="42"/>
      <c r="E30" s="42"/>
      <c r="F30" s="42"/>
      <c r="G30" s="43" t="str">
        <f t="shared" si="2"/>
        <v/>
      </c>
      <c r="H30" s="347" t="str">
        <f t="shared" si="3"/>
        <v/>
      </c>
      <c r="I30" s="52"/>
      <c r="J30" s="42"/>
      <c r="K30" s="42"/>
      <c r="L30" s="42"/>
      <c r="M30" s="42"/>
      <c r="N30" s="43" t="str">
        <f t="shared" si="4"/>
        <v/>
      </c>
      <c r="O30" s="347" t="str">
        <f t="shared" si="5"/>
        <v/>
      </c>
      <c r="P30" s="52"/>
      <c r="Q30" s="42"/>
      <c r="R30" s="42"/>
      <c r="S30" s="42"/>
      <c r="T30" s="42"/>
      <c r="U30" s="43" t="str">
        <f t="shared" si="6"/>
        <v/>
      </c>
      <c r="V30" s="347" t="str">
        <f t="shared" si="7"/>
        <v/>
      </c>
    </row>
    <row r="31" spans="1:22" ht="18" customHeight="1" x14ac:dyDescent="0.2">
      <c r="A31" s="77" t="str">
        <f>IF($C$9="Data Not Entered On Set-Up Worksheet","",IF(OR(VLOOKUP($C$9,County_Lookup,17,FALSE)="",VLOOKUP($C$9,County_Lookup,17,FALSE)=0),"",VLOOKUP($C$9,County_Lookup,17,FALSE)))</f>
        <v/>
      </c>
      <c r="B31" s="52"/>
      <c r="C31" s="42"/>
      <c r="D31" s="42"/>
      <c r="E31" s="42"/>
      <c r="F31" s="42"/>
      <c r="G31" s="43" t="str">
        <f t="shared" si="2"/>
        <v/>
      </c>
      <c r="H31" s="347" t="str">
        <f t="shared" si="3"/>
        <v/>
      </c>
      <c r="I31" s="52"/>
      <c r="J31" s="42"/>
      <c r="K31" s="42"/>
      <c r="L31" s="42"/>
      <c r="M31" s="42"/>
      <c r="N31" s="43" t="str">
        <f t="shared" si="4"/>
        <v/>
      </c>
      <c r="O31" s="347" t="str">
        <f t="shared" si="5"/>
        <v/>
      </c>
      <c r="P31" s="52"/>
      <c r="Q31" s="42"/>
      <c r="R31" s="42"/>
      <c r="S31" s="42"/>
      <c r="T31" s="42"/>
      <c r="U31" s="43" t="str">
        <f t="shared" si="6"/>
        <v/>
      </c>
      <c r="V31" s="347" t="str">
        <f t="shared" si="7"/>
        <v/>
      </c>
    </row>
    <row r="32" spans="1:22" ht="18" customHeight="1" x14ac:dyDescent="0.2">
      <c r="A32" s="77" t="str">
        <f>IF($C$9="Data Not Entered On Set-Up Worksheet","",IF(OR(VLOOKUP($C$9,County_Lookup,18,FALSE)="",VLOOKUP($C$9,County_Lookup,18,FALSE)=0),"",VLOOKUP($C$9,County_Lookup,18,FALSE)))</f>
        <v/>
      </c>
      <c r="B32" s="52"/>
      <c r="C32" s="42"/>
      <c r="D32" s="42"/>
      <c r="E32" s="42"/>
      <c r="F32" s="42"/>
      <c r="G32" s="43" t="str">
        <f t="shared" si="2"/>
        <v/>
      </c>
      <c r="H32" s="347" t="str">
        <f t="shared" si="3"/>
        <v/>
      </c>
      <c r="I32" s="52"/>
      <c r="J32" s="42"/>
      <c r="K32" s="42"/>
      <c r="L32" s="42"/>
      <c r="M32" s="42"/>
      <c r="N32" s="43" t="str">
        <f t="shared" si="4"/>
        <v/>
      </c>
      <c r="O32" s="347" t="str">
        <f t="shared" si="5"/>
        <v/>
      </c>
      <c r="P32" s="52"/>
      <c r="Q32" s="42"/>
      <c r="R32" s="42"/>
      <c r="S32" s="42"/>
      <c r="T32" s="42"/>
      <c r="U32" s="43" t="str">
        <f t="shared" si="6"/>
        <v/>
      </c>
      <c r="V32" s="347" t="str">
        <f t="shared" si="7"/>
        <v/>
      </c>
    </row>
    <row r="33" spans="1:22" ht="18" customHeight="1" x14ac:dyDescent="0.2">
      <c r="A33" s="77" t="str">
        <f>IF($C$9="Data Not Entered On Set-Up Worksheet","",IF(OR(VLOOKUP($C$9,County_Lookup,19,FALSE)="",VLOOKUP($C$9,County_Lookup,19,FALSE)=0),"",VLOOKUP($C$9,County_Lookup,19,FALSE)))</f>
        <v/>
      </c>
      <c r="B33" s="52"/>
      <c r="C33" s="42"/>
      <c r="D33" s="42"/>
      <c r="E33" s="42"/>
      <c r="F33" s="42"/>
      <c r="G33" s="43" t="str">
        <f t="shared" si="2"/>
        <v/>
      </c>
      <c r="H33" s="347" t="str">
        <f t="shared" si="3"/>
        <v/>
      </c>
      <c r="I33" s="52"/>
      <c r="J33" s="42"/>
      <c r="K33" s="42"/>
      <c r="L33" s="42"/>
      <c r="M33" s="42"/>
      <c r="N33" s="43" t="str">
        <f t="shared" si="4"/>
        <v/>
      </c>
      <c r="O33" s="347" t="str">
        <f t="shared" si="5"/>
        <v/>
      </c>
      <c r="P33" s="52"/>
      <c r="Q33" s="42"/>
      <c r="R33" s="42"/>
      <c r="S33" s="42"/>
      <c r="T33" s="42"/>
      <c r="U33" s="43" t="str">
        <f t="shared" si="6"/>
        <v/>
      </c>
      <c r="V33" s="347" t="str">
        <f t="shared" si="7"/>
        <v/>
      </c>
    </row>
    <row r="34" spans="1:22" ht="18" customHeight="1" x14ac:dyDescent="0.2">
      <c r="A34" s="77" t="str">
        <f>IF($C$9="Data Not Entered On Set-Up Worksheet","",IF(OR(VLOOKUP($C$9,County_Lookup,20,FALSE)="",VLOOKUP($C$9,County_Lookup,20,FALSE)=0),"",VLOOKUP($C$9,County_Lookup,20,FALSE)))</f>
        <v/>
      </c>
      <c r="B34" s="52"/>
      <c r="C34" s="42"/>
      <c r="D34" s="42"/>
      <c r="E34" s="42"/>
      <c r="F34" s="42"/>
      <c r="G34" s="43" t="str">
        <f t="shared" si="2"/>
        <v/>
      </c>
      <c r="H34" s="347" t="str">
        <f t="shared" si="3"/>
        <v/>
      </c>
      <c r="I34" s="52"/>
      <c r="J34" s="42"/>
      <c r="K34" s="42"/>
      <c r="L34" s="42"/>
      <c r="M34" s="42"/>
      <c r="N34" s="43" t="str">
        <f t="shared" si="4"/>
        <v/>
      </c>
      <c r="O34" s="347" t="str">
        <f t="shared" si="5"/>
        <v/>
      </c>
      <c r="P34" s="52"/>
      <c r="Q34" s="42"/>
      <c r="R34" s="42"/>
      <c r="S34" s="42"/>
      <c r="T34" s="42"/>
      <c r="U34" s="43" t="str">
        <f t="shared" si="6"/>
        <v/>
      </c>
      <c r="V34" s="347" t="str">
        <f t="shared" si="7"/>
        <v/>
      </c>
    </row>
    <row r="35" spans="1:22" ht="18" customHeight="1" x14ac:dyDescent="0.2">
      <c r="A35" s="77" t="str">
        <f>IF($C$9="Data Not Entered On Set-Up Worksheet","",IF(OR(VLOOKUP($C$9,County_Lookup,21,FALSE)="",VLOOKUP($C$9,County_Lookup,21,FALSE)=0),"",VLOOKUP($C$9,County_Lookup,21,FALSE)))</f>
        <v/>
      </c>
      <c r="B35" s="52"/>
      <c r="C35" s="42"/>
      <c r="D35" s="42"/>
      <c r="E35" s="42"/>
      <c r="F35" s="42"/>
      <c r="G35" s="43" t="str">
        <f t="shared" si="2"/>
        <v/>
      </c>
      <c r="H35" s="347" t="str">
        <f t="shared" si="3"/>
        <v/>
      </c>
      <c r="I35" s="52"/>
      <c r="J35" s="42"/>
      <c r="K35" s="42"/>
      <c r="L35" s="42"/>
      <c r="M35" s="42"/>
      <c r="N35" s="43" t="str">
        <f t="shared" si="4"/>
        <v/>
      </c>
      <c r="O35" s="347" t="str">
        <f t="shared" si="5"/>
        <v/>
      </c>
      <c r="P35" s="52"/>
      <c r="Q35" s="42"/>
      <c r="R35" s="42"/>
      <c r="S35" s="42"/>
      <c r="T35" s="42"/>
      <c r="U35" s="43" t="str">
        <f t="shared" si="6"/>
        <v/>
      </c>
      <c r="V35" s="347" t="str">
        <f t="shared" si="7"/>
        <v/>
      </c>
    </row>
    <row r="36" spans="1:22" ht="18" customHeight="1" x14ac:dyDescent="0.2">
      <c r="A36" s="76" t="str">
        <f>IF($C$9="Data Not Entered On Set-Up Worksheet","",IF(OR(VLOOKUP($C$9,County_Lookup,22,FALSE)="",VLOOKUP($C$9,County_Lookup,22,FALSE)=0),"",VLOOKUP($C$9,County_Lookup,22,FALSE)))</f>
        <v/>
      </c>
      <c r="B36" s="52"/>
      <c r="C36" s="42"/>
      <c r="D36" s="42"/>
      <c r="E36" s="42"/>
      <c r="F36" s="42"/>
      <c r="G36" s="43" t="str">
        <f t="shared" si="2"/>
        <v/>
      </c>
      <c r="H36" s="347" t="str">
        <f t="shared" si="3"/>
        <v/>
      </c>
      <c r="I36" s="52"/>
      <c r="J36" s="42"/>
      <c r="K36" s="42"/>
      <c r="L36" s="42"/>
      <c r="M36" s="42"/>
      <c r="N36" s="43" t="str">
        <f t="shared" si="4"/>
        <v/>
      </c>
      <c r="O36" s="347" t="str">
        <f t="shared" si="5"/>
        <v/>
      </c>
      <c r="P36" s="52"/>
      <c r="Q36" s="42"/>
      <c r="R36" s="42"/>
      <c r="S36" s="42"/>
      <c r="T36" s="42"/>
      <c r="U36" s="43" t="str">
        <f t="shared" si="6"/>
        <v/>
      </c>
      <c r="V36" s="347" t="str">
        <f t="shared" si="7"/>
        <v/>
      </c>
    </row>
    <row r="37" spans="1:22" ht="18" customHeight="1" x14ac:dyDescent="0.2">
      <c r="A37" s="77" t="str">
        <f>IF($C$9="Data Not Entered On Set-Up Worksheet","",IF(OR(VLOOKUP($C$9,County_Lookup,23,FALSE)="",VLOOKUP($C$9,County_Lookup,23,FALSE)=0),"",VLOOKUP($C$9,County_Lookup,23,FALSE)))</f>
        <v/>
      </c>
      <c r="B37" s="52"/>
      <c r="C37" s="42"/>
      <c r="D37" s="42"/>
      <c r="E37" s="42"/>
      <c r="F37" s="42"/>
      <c r="G37" s="43" t="str">
        <f t="shared" si="2"/>
        <v/>
      </c>
      <c r="H37" s="347" t="str">
        <f t="shared" si="3"/>
        <v/>
      </c>
      <c r="I37" s="52"/>
      <c r="J37" s="42"/>
      <c r="K37" s="42"/>
      <c r="L37" s="42"/>
      <c r="M37" s="42"/>
      <c r="N37" s="43" t="str">
        <f t="shared" si="4"/>
        <v/>
      </c>
      <c r="O37" s="347" t="str">
        <f t="shared" si="5"/>
        <v/>
      </c>
      <c r="P37" s="52"/>
      <c r="Q37" s="42"/>
      <c r="R37" s="42"/>
      <c r="S37" s="42"/>
      <c r="T37" s="42"/>
      <c r="U37" s="43" t="str">
        <f t="shared" si="6"/>
        <v/>
      </c>
      <c r="V37" s="347" t="str">
        <f t="shared" si="7"/>
        <v/>
      </c>
    </row>
    <row r="38" spans="1:22" ht="18" customHeight="1" x14ac:dyDescent="0.2">
      <c r="A38" s="77" t="str">
        <f>IF($C$9="Data Not Entered On Set-Up Worksheet","",IF(OR(VLOOKUP($C$9,County_Lookup,24,FALSE)="",VLOOKUP($C$9,County_Lookup,24,FALSE)=0),"",VLOOKUP($C$9,County_Lookup,24,FALSE)))</f>
        <v/>
      </c>
      <c r="B38" s="52"/>
      <c r="C38" s="42"/>
      <c r="D38" s="42"/>
      <c r="E38" s="42"/>
      <c r="F38" s="42"/>
      <c r="G38" s="43" t="str">
        <f t="shared" ref="G38:G40" si="8">IF($A38="","",IF($F38=0,0,B38/$F38))</f>
        <v/>
      </c>
      <c r="H38" s="347" t="str">
        <f t="shared" ref="H38:H40" si="9">IF($A38="","",IF($F38=0,0,C38/$F38))</f>
        <v/>
      </c>
      <c r="I38" s="52"/>
      <c r="J38" s="42"/>
      <c r="K38" s="42"/>
      <c r="L38" s="42"/>
      <c r="M38" s="42"/>
      <c r="N38" s="43" t="str">
        <f t="shared" ref="N38:N40" si="10">IF($A38="","",IF($M38=0,0,I38/$M38))</f>
        <v/>
      </c>
      <c r="O38" s="347" t="str">
        <f t="shared" ref="O38:O40" si="11">IF($A38="","",IF($M38=0,0,J38/$M38))</f>
        <v/>
      </c>
      <c r="P38" s="52"/>
      <c r="Q38" s="42"/>
      <c r="R38" s="42"/>
      <c r="S38" s="42"/>
      <c r="T38" s="42"/>
      <c r="U38" s="43" t="str">
        <f t="shared" ref="U38:U40" si="12">IF($A38="","",IF($T38=0,0,P38/$T38))</f>
        <v/>
      </c>
      <c r="V38" s="347" t="str">
        <f t="shared" ref="V38:V40" si="13">IF($A38="","",IF($T38=0,0,Q38/$T38))</f>
        <v/>
      </c>
    </row>
    <row r="39" spans="1:22" ht="18" customHeight="1" x14ac:dyDescent="0.2">
      <c r="A39" s="77" t="str">
        <f>IF($C$9="Data Not Entered On Set-Up Worksheet","",IF(OR(VLOOKUP($C$9,County_Lookup,25,FALSE)="",VLOOKUP($C$9,County_Lookup,25,FALSE)=0),"",VLOOKUP($C$9,County_Lookup,25,FALSE)))</f>
        <v/>
      </c>
      <c r="B39" s="52"/>
      <c r="C39" s="42"/>
      <c r="D39" s="42"/>
      <c r="E39" s="42"/>
      <c r="F39" s="42"/>
      <c r="G39" s="43" t="str">
        <f t="shared" si="8"/>
        <v/>
      </c>
      <c r="H39" s="347" t="str">
        <f t="shared" si="9"/>
        <v/>
      </c>
      <c r="I39" s="52"/>
      <c r="J39" s="42"/>
      <c r="K39" s="42"/>
      <c r="L39" s="42"/>
      <c r="M39" s="42"/>
      <c r="N39" s="43" t="str">
        <f t="shared" si="10"/>
        <v/>
      </c>
      <c r="O39" s="347" t="str">
        <f t="shared" si="11"/>
        <v/>
      </c>
      <c r="P39" s="52"/>
      <c r="Q39" s="42"/>
      <c r="R39" s="42"/>
      <c r="S39" s="42"/>
      <c r="T39" s="42"/>
      <c r="U39" s="43" t="str">
        <f t="shared" si="12"/>
        <v/>
      </c>
      <c r="V39" s="347" t="str">
        <f t="shared" si="13"/>
        <v/>
      </c>
    </row>
    <row r="40" spans="1:22" ht="18" customHeight="1" x14ac:dyDescent="0.2">
      <c r="A40" s="77" t="str">
        <f>IF($C$9="Data Not Entered On Set-Up Worksheet","",IF(OR(VLOOKUP($C$9,County_Lookup,26,FALSE)="",VLOOKUP($C$9,County_Lookup,26,FALSE)=0),"",VLOOKUP($C$9,County_Lookup,26,FALSE)))</f>
        <v/>
      </c>
      <c r="B40" s="52"/>
      <c r="C40" s="42"/>
      <c r="D40" s="42"/>
      <c r="E40" s="42"/>
      <c r="F40" s="42"/>
      <c r="G40" s="43" t="str">
        <f t="shared" si="8"/>
        <v/>
      </c>
      <c r="H40" s="347" t="str">
        <f t="shared" si="9"/>
        <v/>
      </c>
      <c r="I40" s="52"/>
      <c r="J40" s="42"/>
      <c r="K40" s="42"/>
      <c r="L40" s="42"/>
      <c r="M40" s="42"/>
      <c r="N40" s="43" t="str">
        <f t="shared" si="10"/>
        <v/>
      </c>
      <c r="O40" s="347" t="str">
        <f t="shared" si="11"/>
        <v/>
      </c>
      <c r="P40" s="52"/>
      <c r="Q40" s="42"/>
      <c r="R40" s="42"/>
      <c r="S40" s="42"/>
      <c r="T40" s="42"/>
      <c r="U40" s="43" t="str">
        <f t="shared" si="12"/>
        <v/>
      </c>
      <c r="V40" s="347" t="str">
        <f t="shared" si="13"/>
        <v/>
      </c>
    </row>
    <row r="41" spans="1:22" ht="18" customHeight="1" x14ac:dyDescent="0.2">
      <c r="A41" s="77" t="str">
        <f>IF($C$9="Data Not Entered On Set-Up Worksheet","",IF(OR(VLOOKUP($C$9,County_Lookup,27,FALSE)="",VLOOKUP($C$9,County_Lookup,27,FALSE)=0),"",VLOOKUP($C$9,County_Lookup,27,FALSE)))</f>
        <v/>
      </c>
      <c r="B41" s="52"/>
      <c r="C41" s="42"/>
      <c r="D41" s="42"/>
      <c r="E41" s="42"/>
      <c r="F41" s="42"/>
      <c r="G41" s="43" t="str">
        <f t="shared" si="2"/>
        <v/>
      </c>
      <c r="H41" s="347" t="str">
        <f t="shared" si="3"/>
        <v/>
      </c>
      <c r="I41" s="52"/>
      <c r="J41" s="42"/>
      <c r="K41" s="42"/>
      <c r="L41" s="42"/>
      <c r="M41" s="42"/>
      <c r="N41" s="43" t="str">
        <f t="shared" si="4"/>
        <v/>
      </c>
      <c r="O41" s="347" t="str">
        <f t="shared" si="5"/>
        <v/>
      </c>
      <c r="P41" s="52"/>
      <c r="Q41" s="42"/>
      <c r="R41" s="42"/>
      <c r="S41" s="42"/>
      <c r="T41" s="42"/>
      <c r="U41" s="43" t="str">
        <f t="shared" si="6"/>
        <v/>
      </c>
      <c r="V41" s="347" t="str">
        <f t="shared" si="7"/>
        <v/>
      </c>
    </row>
    <row r="42" spans="1:22" ht="18" customHeight="1" thickBot="1" x14ac:dyDescent="0.25">
      <c r="A42" s="78" t="s">
        <v>0</v>
      </c>
      <c r="B42" s="348">
        <f>SUM(B16:B41)</f>
        <v>0</v>
      </c>
      <c r="C42" s="349">
        <f t="shared" ref="C42:F42" si="14">SUM(C16:C41)</f>
        <v>0</v>
      </c>
      <c r="D42" s="349">
        <f t="shared" si="14"/>
        <v>0</v>
      </c>
      <c r="E42" s="349">
        <f t="shared" si="14"/>
        <v>0</v>
      </c>
      <c r="F42" s="349">
        <f t="shared" si="14"/>
        <v>0</v>
      </c>
      <c r="G42" s="353">
        <f t="shared" si="2"/>
        <v>0</v>
      </c>
      <c r="H42" s="354">
        <f t="shared" si="3"/>
        <v>0</v>
      </c>
      <c r="I42" s="348">
        <f>SUM(I16:I41)</f>
        <v>0</v>
      </c>
      <c r="J42" s="349">
        <f t="shared" ref="J42" si="15">SUM(J16:J41)</f>
        <v>0</v>
      </c>
      <c r="K42" s="349">
        <f t="shared" ref="K42" si="16">SUM(K16:K41)</f>
        <v>0</v>
      </c>
      <c r="L42" s="349">
        <f t="shared" ref="L42" si="17">SUM(L16:L41)</f>
        <v>0</v>
      </c>
      <c r="M42" s="349">
        <f t="shared" ref="M42" si="18">SUM(M16:M41)</f>
        <v>0</v>
      </c>
      <c r="N42" s="353">
        <f t="shared" si="4"/>
        <v>0</v>
      </c>
      <c r="O42" s="354">
        <f t="shared" si="5"/>
        <v>0</v>
      </c>
      <c r="P42" s="348">
        <f>SUM(P16:P41)</f>
        <v>0</v>
      </c>
      <c r="Q42" s="349">
        <f t="shared" ref="Q42" si="19">SUM(Q16:Q41)</f>
        <v>0</v>
      </c>
      <c r="R42" s="349">
        <f t="shared" ref="R42" si="20">SUM(R16:R41)</f>
        <v>0</v>
      </c>
      <c r="S42" s="349">
        <f t="shared" ref="S42" si="21">SUM(S16:S41)</f>
        <v>0</v>
      </c>
      <c r="T42" s="349">
        <f t="shared" ref="T42" si="22">SUM(T16:T41)</f>
        <v>0</v>
      </c>
      <c r="U42" s="353">
        <f t="shared" si="6"/>
        <v>0</v>
      </c>
      <c r="V42" s="354">
        <f t="shared" si="7"/>
        <v>0</v>
      </c>
    </row>
    <row r="43" spans="1:22" x14ac:dyDescent="0.2">
      <c r="A43" s="54"/>
      <c r="B43" s="22" t="s">
        <v>402</v>
      </c>
      <c r="I43" s="54" t="s">
        <v>402</v>
      </c>
      <c r="P43" s="54" t="s">
        <v>402</v>
      </c>
    </row>
    <row r="45" spans="1:22" x14ac:dyDescent="0.2">
      <c r="B45" s="60" t="s">
        <v>468</v>
      </c>
      <c r="I45" s="60" t="s">
        <v>469</v>
      </c>
      <c r="P45" s="60" t="s">
        <v>470</v>
      </c>
    </row>
  </sheetData>
  <sheetProtection sheet="1" objects="1" scenarios="1"/>
  <conditionalFormatting sqref="C3:C4">
    <cfRule type="expression" dxfId="317" priority="37">
      <formula>C3="Data Not Entered On Set-Up Worksheet"</formula>
    </cfRule>
  </conditionalFormatting>
  <conditionalFormatting sqref="C9">
    <cfRule type="expression" dxfId="316" priority="36">
      <formula>C9="Data Not Entered On Set-Up Worksheet"</formula>
    </cfRule>
  </conditionalFormatting>
  <conditionalFormatting sqref="B12">
    <cfRule type="expression" dxfId="315" priority="31">
      <formula>B12="Data Not Entered On Set-Up Worksheet"</formula>
    </cfRule>
  </conditionalFormatting>
  <conditionalFormatting sqref="C11">
    <cfRule type="expression" dxfId="314" priority="24">
      <formula>C11="Data Not Entered On Set-Up Worksheet"</formula>
    </cfRule>
  </conditionalFormatting>
  <conditionalFormatting sqref="B16:F38 I16:M38 P16:T38 P41:T41 I41:M41 B41:F41">
    <cfRule type="expression" dxfId="313" priority="8">
      <formula>AND($A16&lt;&gt;"",XER16="")</formula>
    </cfRule>
  </conditionalFormatting>
  <conditionalFormatting sqref="E11">
    <cfRule type="expression" dxfId="312" priority="7">
      <formula>E11="Data Not Entered On Set-Up Worksheet"</formula>
    </cfRule>
  </conditionalFormatting>
  <conditionalFormatting sqref="B16:F38 B41:F41">
    <cfRule type="expression" dxfId="311" priority="5">
      <formula>$A16="Other"</formula>
    </cfRule>
  </conditionalFormatting>
  <conditionalFormatting sqref="P39:T39 I39:M39 B39:F39">
    <cfRule type="expression" dxfId="310" priority="4">
      <formula>AND($A39&lt;&gt;"",XER39="")</formula>
    </cfRule>
  </conditionalFormatting>
  <conditionalFormatting sqref="B39:F39">
    <cfRule type="expression" dxfId="309" priority="3">
      <formula>$A39="Other"</formula>
    </cfRule>
  </conditionalFormatting>
  <conditionalFormatting sqref="P40:T40 I40:M40 B40:F40">
    <cfRule type="expression" dxfId="308" priority="2">
      <formula>AND($A40&lt;&gt;"",XER40="")</formula>
    </cfRule>
  </conditionalFormatting>
  <conditionalFormatting sqref="B40:F40">
    <cfRule type="expression" dxfId="307" priority="1">
      <formula>$A40="Other"</formula>
    </cfRule>
  </conditionalFormatting>
  <pageMargins left="0.5" right="0.5" top="0.5" bottom="0.5" header="0.3" footer="0.3"/>
  <pageSetup scale="32"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H21"/>
  <sheetViews>
    <sheetView showGridLines="0" workbookViewId="0">
      <selection activeCell="B19" sqref="B19"/>
    </sheetView>
  </sheetViews>
  <sheetFormatPr defaultRowHeight="12.75" x14ac:dyDescent="0.2"/>
  <cols>
    <col min="1" max="7" width="15.7109375" style="22" customWidth="1"/>
    <col min="8" max="16384" width="9.140625" style="22"/>
  </cols>
  <sheetData>
    <row r="1" spans="1:8" ht="15" customHeight="1" x14ac:dyDescent="0.2">
      <c r="A1" s="36" t="s">
        <v>28</v>
      </c>
    </row>
    <row r="2" spans="1:8" ht="15" customHeight="1" x14ac:dyDescent="0.2">
      <c r="A2" s="36" t="s">
        <v>196</v>
      </c>
    </row>
    <row r="3" spans="1:8" ht="15" customHeight="1" x14ac:dyDescent="0.2">
      <c r="A3" s="30" t="s">
        <v>194</v>
      </c>
      <c r="C3" s="147">
        <f>IF('Set-Up Worksheet'!F3="","Data Not Entered On Set-Up Worksheet",'Set-Up Worksheet'!F3)</f>
        <v>2018</v>
      </c>
    </row>
    <row r="4" spans="1:8" ht="15" customHeight="1" x14ac:dyDescent="0.2">
      <c r="A4" s="30" t="s">
        <v>195</v>
      </c>
      <c r="C4" s="147" t="str">
        <f>IF('Set-Up Worksheet'!F4="","Data Not Entered On Set-Up Worksheet",'Set-Up Worksheet'!F4)</f>
        <v>1st Quarter</v>
      </c>
    </row>
    <row r="5" spans="1:8" ht="15" customHeight="1" x14ac:dyDescent="0.2">
      <c r="C5" s="32"/>
    </row>
    <row r="6" spans="1:8" ht="15" customHeight="1" x14ac:dyDescent="0.2">
      <c r="A6" s="30" t="s">
        <v>336</v>
      </c>
      <c r="C6" s="32"/>
    </row>
    <row r="7" spans="1:8" ht="15" customHeight="1" x14ac:dyDescent="0.2">
      <c r="A7" s="30" t="s">
        <v>403</v>
      </c>
      <c r="C7" s="32"/>
    </row>
    <row r="8" spans="1:8" ht="15" customHeight="1" x14ac:dyDescent="0.2">
      <c r="A8" s="30"/>
      <c r="C8" s="32"/>
    </row>
    <row r="9" spans="1:8" ht="15" customHeight="1" x14ac:dyDescent="0.2">
      <c r="A9" s="30" t="s">
        <v>29</v>
      </c>
      <c r="C9" s="39" t="str">
        <f>IF('Set-Up Worksheet'!E7="","Data Not Entered On Set-Up Worksheet",'Set-Up Worksheet'!E7)</f>
        <v>Data Not Entered On Set-Up Worksheet</v>
      </c>
    </row>
    <row r="10" spans="1:8" ht="15" customHeight="1" x14ac:dyDescent="0.2">
      <c r="A10" s="30" t="s">
        <v>9</v>
      </c>
      <c r="C10" s="32" t="s">
        <v>10</v>
      </c>
    </row>
    <row r="11" spans="1:8" ht="15" customHeight="1" x14ac:dyDescent="0.2">
      <c r="A11" s="30" t="s">
        <v>197</v>
      </c>
      <c r="C11" s="40" t="str">
        <f>IF(C4="Data Not Entered On Set-Up Worksheet","Data Not Entered On Set-Up Worksheet",IF(C4="1st Quarter",'Report Schedule'!D46,IF(C4="2nd Quarter",'Report Schedule'!E46,IF(C4="3rd Quarter",'Report Schedule'!F46,IF(C4="4th Quarter",'Report Schedule'!G46,"")))))</f>
        <v>Apr - Jun 2017</v>
      </c>
      <c r="E11" s="54"/>
    </row>
    <row r="14" spans="1:8" ht="193.5" customHeight="1" x14ac:dyDescent="0.2">
      <c r="A14" s="560" t="s">
        <v>433</v>
      </c>
      <c r="B14" s="560"/>
      <c r="C14" s="560"/>
      <c r="D14" s="560"/>
      <c r="E14" s="560"/>
      <c r="F14" s="560"/>
      <c r="G14" s="560"/>
      <c r="H14" s="47"/>
    </row>
    <row r="15" spans="1:8" x14ac:dyDescent="0.2">
      <c r="A15" s="47"/>
      <c r="B15" s="47"/>
      <c r="C15" s="47"/>
      <c r="D15" s="47"/>
      <c r="E15" s="47"/>
      <c r="F15" s="47"/>
      <c r="G15" s="47"/>
      <c r="H15" s="47"/>
    </row>
    <row r="17" spans="2:6" x14ac:dyDescent="0.2">
      <c r="B17" s="337" t="s">
        <v>400</v>
      </c>
      <c r="C17" s="338"/>
      <c r="D17" s="338"/>
      <c r="E17" s="339"/>
    </row>
    <row r="18" spans="2:6" ht="15" customHeight="1" x14ac:dyDescent="0.2">
      <c r="B18" s="336" t="s">
        <v>397</v>
      </c>
      <c r="C18" s="336" t="s">
        <v>398</v>
      </c>
      <c r="D18" s="336" t="s">
        <v>432</v>
      </c>
      <c r="E18" s="343" t="s">
        <v>401</v>
      </c>
      <c r="F18" s="342" t="s">
        <v>399</v>
      </c>
    </row>
    <row r="19" spans="2:6" ht="20.100000000000001" customHeight="1" x14ac:dyDescent="0.2">
      <c r="B19" s="340"/>
      <c r="C19" s="340"/>
      <c r="D19" s="340"/>
      <c r="E19" s="340"/>
      <c r="F19" s="341"/>
    </row>
    <row r="21" spans="2:6" x14ac:dyDescent="0.2">
      <c r="B21" s="54" t="s">
        <v>402</v>
      </c>
    </row>
  </sheetData>
  <sheetProtection sheet="1" objects="1" scenarios="1"/>
  <mergeCells count="1">
    <mergeCell ref="A14:G14"/>
  </mergeCells>
  <conditionalFormatting sqref="C3:C4">
    <cfRule type="expression" dxfId="306" priority="3">
      <formula>C3="Data Not Entered On Set-Up Worksheet"</formula>
    </cfRule>
  </conditionalFormatting>
  <conditionalFormatting sqref="C9">
    <cfRule type="expression" dxfId="305" priority="2">
      <formula>C9="Data Not Entered On Set-Up Worksheet"</formula>
    </cfRule>
  </conditionalFormatting>
  <conditionalFormatting sqref="C11">
    <cfRule type="expression" dxfId="304"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K16"/>
  <sheetViews>
    <sheetView showGridLines="0" workbookViewId="0">
      <selection activeCell="C16" sqref="C16"/>
    </sheetView>
  </sheetViews>
  <sheetFormatPr defaultRowHeight="12.75" x14ac:dyDescent="0.2"/>
  <cols>
    <col min="1" max="1" width="22.42578125" style="22" customWidth="1"/>
    <col min="2" max="16384" width="9.140625" style="22"/>
  </cols>
  <sheetData>
    <row r="1" spans="1:11" ht="15" customHeight="1" x14ac:dyDescent="0.2">
      <c r="A1" s="36" t="s">
        <v>28</v>
      </c>
    </row>
    <row r="2" spans="1:11" ht="15" customHeight="1" x14ac:dyDescent="0.2">
      <c r="A2" s="36" t="s">
        <v>196</v>
      </c>
    </row>
    <row r="3" spans="1:11" ht="15" customHeight="1" x14ac:dyDescent="0.2">
      <c r="A3" s="30" t="s">
        <v>194</v>
      </c>
      <c r="C3" s="147">
        <f>IF('Set-Up Worksheet'!F3="","Data Not Entered On Set-Up Worksheet",'Set-Up Worksheet'!F3)</f>
        <v>2018</v>
      </c>
    </row>
    <row r="4" spans="1:11" ht="15" customHeight="1" x14ac:dyDescent="0.2">
      <c r="A4" s="30" t="s">
        <v>195</v>
      </c>
      <c r="C4" s="147" t="str">
        <f>IF('Set-Up Worksheet'!F4="","Data Not Entered On Set-Up Worksheet",'Set-Up Worksheet'!F4)</f>
        <v>1st Quarter</v>
      </c>
    </row>
    <row r="5" spans="1:11" ht="15" customHeight="1" x14ac:dyDescent="0.2">
      <c r="C5" s="32"/>
    </row>
    <row r="6" spans="1:11" ht="15" customHeight="1" x14ac:dyDescent="0.2">
      <c r="A6" s="30" t="s">
        <v>193</v>
      </c>
      <c r="C6" s="32"/>
    </row>
    <row r="7" spans="1:11" ht="15" customHeight="1" x14ac:dyDescent="0.2">
      <c r="A7" s="30" t="s">
        <v>567</v>
      </c>
      <c r="C7" s="32"/>
    </row>
    <row r="8" spans="1:11" ht="15" customHeight="1" x14ac:dyDescent="0.2">
      <c r="A8" s="30"/>
      <c r="C8" s="32"/>
    </row>
    <row r="9" spans="1:11" ht="15" customHeight="1" x14ac:dyDescent="0.2">
      <c r="A9" s="30" t="s">
        <v>29</v>
      </c>
      <c r="C9" s="39" t="str">
        <f>IF('Set-Up Worksheet'!E7="","Data Not Entered On Set-Up Worksheet",'Set-Up Worksheet'!E7)</f>
        <v>Data Not Entered On Set-Up Worksheet</v>
      </c>
    </row>
    <row r="10" spans="1:11" ht="15" customHeight="1" x14ac:dyDescent="0.2">
      <c r="A10" s="30" t="s">
        <v>9</v>
      </c>
      <c r="C10" s="32" t="s">
        <v>10</v>
      </c>
    </row>
    <row r="11" spans="1:11" ht="15" customHeight="1" x14ac:dyDescent="0.2">
      <c r="A11" s="30" t="s">
        <v>197</v>
      </c>
      <c r="C11" s="40" t="str">
        <f>IF(C4="Data Not Entered On Set-Up Worksheet","Data Not Entered On Set-Up Worksheet",IF(C4="1st Quarter",'Report Schedule'!D13,IF(C4="2nd Quarter",'Report Schedule'!E13,IF(C4="3rd Quarter",'Report Schedule'!F13,IF(C4="4th Quarter",'Report Schedule'!G13,"")))))</f>
        <v>Jul - Sep 2017</v>
      </c>
    </row>
    <row r="14" spans="1:11" ht="60.75" customHeight="1" x14ac:dyDescent="0.2">
      <c r="A14" s="560" t="s">
        <v>568</v>
      </c>
      <c r="B14" s="560"/>
      <c r="C14" s="560"/>
      <c r="D14" s="560"/>
      <c r="E14" s="560"/>
      <c r="F14" s="560"/>
      <c r="G14" s="560"/>
      <c r="H14" s="560"/>
      <c r="I14" s="560"/>
      <c r="J14" s="560"/>
      <c r="K14" s="47"/>
    </row>
    <row r="15" spans="1:11" x14ac:dyDescent="0.2">
      <c r="A15" s="47"/>
      <c r="B15" s="47"/>
      <c r="C15" s="47"/>
      <c r="D15" s="47"/>
      <c r="E15" s="47"/>
      <c r="F15" s="47"/>
      <c r="G15" s="47"/>
      <c r="H15" s="47"/>
      <c r="I15" s="47"/>
      <c r="J15" s="47"/>
      <c r="K15" s="47"/>
    </row>
    <row r="16" spans="1:11" x14ac:dyDescent="0.2">
      <c r="A16" s="47"/>
      <c r="B16" s="47"/>
      <c r="C16" s="47"/>
      <c r="D16" s="47"/>
      <c r="E16" s="47"/>
      <c r="F16" s="47"/>
      <c r="G16" s="47"/>
      <c r="H16" s="47"/>
      <c r="I16" s="47"/>
      <c r="J16" s="47"/>
      <c r="K16" s="47"/>
    </row>
  </sheetData>
  <sheetProtection sheet="1" objects="1" scenarios="1"/>
  <mergeCells count="1">
    <mergeCell ref="A14:J14"/>
  </mergeCells>
  <conditionalFormatting sqref="C3:C4">
    <cfRule type="expression" dxfId="937" priority="4">
      <formula>C3="Data Not Entered On Set-Up Worksheet"</formula>
    </cfRule>
  </conditionalFormatting>
  <conditionalFormatting sqref="C9">
    <cfRule type="expression" dxfId="936" priority="3">
      <formula>C9="Data Not Entered On Set-Up Worksheet"</formula>
    </cfRule>
  </conditionalFormatting>
  <conditionalFormatting sqref="C11">
    <cfRule type="expression" dxfId="935"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113"/>
  <sheetViews>
    <sheetView showGridLines="0" workbookViewId="0">
      <selection activeCell="B18" sqref="B18"/>
    </sheetView>
  </sheetViews>
  <sheetFormatPr defaultRowHeight="12.75" x14ac:dyDescent="0.2"/>
  <cols>
    <col min="1" max="1" width="22.42578125" style="22" customWidth="1"/>
    <col min="2" max="22" width="16.7109375" style="22" customWidth="1"/>
    <col min="23" max="16384" width="9.140625" style="22"/>
  </cols>
  <sheetData>
    <row r="1" spans="1:22" ht="15" customHeight="1" x14ac:dyDescent="0.2">
      <c r="A1" s="36" t="s">
        <v>28</v>
      </c>
      <c r="I1" s="36" t="s">
        <v>329</v>
      </c>
      <c r="P1" s="36" t="s">
        <v>329</v>
      </c>
    </row>
    <row r="2" spans="1:22" ht="15" customHeight="1" x14ac:dyDescent="0.2">
      <c r="A2" s="36" t="s">
        <v>196</v>
      </c>
      <c r="I2" s="358" t="s">
        <v>330</v>
      </c>
      <c r="P2" s="358" t="s">
        <v>330</v>
      </c>
    </row>
    <row r="3" spans="1:22" ht="15" customHeight="1" x14ac:dyDescent="0.2">
      <c r="A3" s="30" t="s">
        <v>194</v>
      </c>
      <c r="C3" s="147">
        <f>IF('Set-Up Worksheet'!F3="","Data Not Entered On Set-Up Worksheet",'Set-Up Worksheet'!F3)</f>
        <v>2018</v>
      </c>
      <c r="J3" s="357">
        <f t="shared" ref="J3:J11" si="0">C3</f>
        <v>2018</v>
      </c>
      <c r="K3" s="355"/>
      <c r="L3" s="355"/>
      <c r="Q3" s="357">
        <f t="shared" ref="Q3:Q11" si="1">C3</f>
        <v>2018</v>
      </c>
    </row>
    <row r="4" spans="1:22" ht="15" customHeight="1" x14ac:dyDescent="0.2">
      <c r="A4" s="30" t="s">
        <v>195</v>
      </c>
      <c r="C4" s="147" t="str">
        <f>IF('Set-Up Worksheet'!F4="","Data Not Entered On Set-Up Worksheet",'Set-Up Worksheet'!F4)</f>
        <v>1st Quarter</v>
      </c>
      <c r="D4" s="32"/>
      <c r="E4" s="32"/>
      <c r="J4" s="355" t="str">
        <f t="shared" si="0"/>
        <v>1st Quarter</v>
      </c>
      <c r="K4" s="355"/>
      <c r="L4" s="355"/>
      <c r="Q4" s="355" t="str">
        <f t="shared" si="1"/>
        <v>1st Quarter</v>
      </c>
    </row>
    <row r="5" spans="1:22" ht="15" customHeight="1" x14ac:dyDescent="0.2">
      <c r="A5" s="30"/>
      <c r="C5" s="32"/>
      <c r="D5" s="32"/>
      <c r="E5" s="32"/>
      <c r="J5" s="355"/>
      <c r="K5" s="355"/>
      <c r="L5" s="355"/>
      <c r="Q5" s="355"/>
    </row>
    <row r="6" spans="1:22" ht="15" customHeight="1" x14ac:dyDescent="0.2">
      <c r="A6" s="30" t="s">
        <v>336</v>
      </c>
      <c r="C6" s="32"/>
      <c r="D6" s="32"/>
      <c r="E6" s="32"/>
      <c r="J6" s="355"/>
      <c r="K6" s="355"/>
      <c r="L6" s="355"/>
      <c r="Q6" s="355"/>
    </row>
    <row r="7" spans="1:22" ht="15" customHeight="1" x14ac:dyDescent="0.2">
      <c r="A7" s="30" t="s">
        <v>408</v>
      </c>
      <c r="C7" s="32"/>
      <c r="D7" s="32"/>
      <c r="E7" s="32"/>
      <c r="I7" s="30" t="s">
        <v>409</v>
      </c>
      <c r="J7" s="355"/>
      <c r="K7" s="355"/>
      <c r="L7" s="355"/>
      <c r="P7" s="30" t="s">
        <v>409</v>
      </c>
      <c r="Q7" s="355"/>
    </row>
    <row r="8" spans="1:22" ht="15" customHeight="1" x14ac:dyDescent="0.2">
      <c r="A8" s="30"/>
      <c r="C8" s="32"/>
      <c r="D8" s="32"/>
      <c r="E8" s="32"/>
      <c r="J8" s="355"/>
      <c r="K8" s="355"/>
      <c r="L8" s="355"/>
      <c r="Q8" s="355"/>
    </row>
    <row r="9" spans="1:22" ht="15" customHeight="1" x14ac:dyDescent="0.2">
      <c r="A9" s="30" t="s">
        <v>29</v>
      </c>
      <c r="C9" s="39" t="str">
        <f>IF('Set-Up Worksheet'!E7="","Data Not Entered On Set-Up Worksheet",'Set-Up Worksheet'!E7)</f>
        <v>Data Not Entered On Set-Up Worksheet</v>
      </c>
      <c r="J9" s="355" t="str">
        <f t="shared" si="0"/>
        <v>Data Not Entered On Set-Up Worksheet</v>
      </c>
      <c r="K9" s="355"/>
      <c r="L9" s="355"/>
      <c r="Q9" s="355" t="str">
        <f t="shared" si="1"/>
        <v>Data Not Entered On Set-Up Worksheet</v>
      </c>
    </row>
    <row r="10" spans="1:22" ht="15" customHeight="1" x14ac:dyDescent="0.2">
      <c r="A10" s="30" t="s">
        <v>9</v>
      </c>
      <c r="C10" s="32" t="s">
        <v>10</v>
      </c>
      <c r="J10" s="355" t="str">
        <f t="shared" si="0"/>
        <v>Behavioral Health</v>
      </c>
      <c r="K10" s="355"/>
      <c r="L10" s="355"/>
      <c r="Q10" s="355" t="str">
        <f t="shared" si="1"/>
        <v>Behavioral Health</v>
      </c>
    </row>
    <row r="11" spans="1:22" ht="15" customHeight="1" x14ac:dyDescent="0.2">
      <c r="A11" s="30" t="s">
        <v>197</v>
      </c>
      <c r="C11" s="40" t="str">
        <f>IF(C4="Data Not Entered On Set-Up Worksheet","Data Not Entered On Set-Up Worksheet",IF(C4="1st Quarter",'Report Schedule'!D49,IF(C4="2nd Quarter",'Report Schedule'!E49,IF(C4="3rd Quarter",'Report Schedule'!F49,IF(C4="4th Quarter",'Report Schedule'!G49,"")))))</f>
        <v>Apr - Jun 2017</v>
      </c>
      <c r="E11" s="79" t="s">
        <v>40</v>
      </c>
      <c r="J11" s="355" t="str">
        <f t="shared" si="0"/>
        <v>Apr - Jun 2017</v>
      </c>
      <c r="K11" s="355"/>
      <c r="L11" s="356" t="s">
        <v>40</v>
      </c>
      <c r="Q11" s="355" t="str">
        <f t="shared" si="1"/>
        <v>Apr - Jun 2017</v>
      </c>
      <c r="S11" s="356" t="s">
        <v>40</v>
      </c>
    </row>
    <row r="12" spans="1:22" ht="15" customHeight="1" x14ac:dyDescent="0.2">
      <c r="A12" s="30"/>
      <c r="B12" s="40"/>
    </row>
    <row r="13" spans="1:22" ht="20.100000000000001" customHeight="1" x14ac:dyDescent="0.2">
      <c r="A13" s="312" t="s">
        <v>308</v>
      </c>
      <c r="B13" s="243" t="s">
        <v>412</v>
      </c>
      <c r="C13" s="243"/>
      <c r="D13" s="243"/>
      <c r="E13" s="243"/>
      <c r="F13" s="243"/>
      <c r="G13" s="243"/>
      <c r="H13" s="243"/>
      <c r="I13" s="243" t="s">
        <v>412</v>
      </c>
      <c r="J13" s="243"/>
      <c r="K13" s="243"/>
      <c r="L13" s="243"/>
      <c r="M13" s="243"/>
      <c r="N13" s="243"/>
      <c r="O13" s="243"/>
      <c r="P13" s="243" t="s">
        <v>412</v>
      </c>
      <c r="Q13" s="243"/>
      <c r="R13" s="243"/>
      <c r="S13" s="243"/>
      <c r="T13" s="243"/>
      <c r="U13" s="243"/>
      <c r="V13" s="243"/>
    </row>
    <row r="14" spans="1:22" ht="13.5" thickBot="1" x14ac:dyDescent="0.25"/>
    <row r="15" spans="1:22" ht="18" customHeight="1" thickBot="1" x14ac:dyDescent="0.25">
      <c r="A15" s="226" t="s">
        <v>327</v>
      </c>
      <c r="B15" s="384" t="s">
        <v>39</v>
      </c>
      <c r="C15" s="235"/>
      <c r="D15" s="235"/>
      <c r="E15" s="235"/>
      <c r="F15" s="235"/>
      <c r="G15" s="235"/>
      <c r="H15" s="236"/>
      <c r="I15" s="383" t="s">
        <v>241</v>
      </c>
      <c r="J15" s="231"/>
      <c r="K15" s="231"/>
      <c r="L15" s="231"/>
      <c r="M15" s="231"/>
      <c r="N15" s="231"/>
      <c r="O15" s="232"/>
      <c r="P15" s="384" t="s">
        <v>243</v>
      </c>
      <c r="Q15" s="235"/>
      <c r="R15" s="235"/>
      <c r="S15" s="235"/>
      <c r="T15" s="235"/>
      <c r="U15" s="235"/>
      <c r="V15" s="236"/>
    </row>
    <row r="16" spans="1:22" ht="13.5" thickBot="1" x14ac:dyDescent="0.25">
      <c r="A16" s="30"/>
      <c r="B16" s="37" t="s">
        <v>3</v>
      </c>
      <c r="C16" s="37" t="s">
        <v>3</v>
      </c>
      <c r="D16" s="37"/>
      <c r="E16" s="37"/>
      <c r="F16" s="37" t="s">
        <v>4</v>
      </c>
      <c r="G16" s="37" t="s">
        <v>8</v>
      </c>
      <c r="H16" s="37" t="s">
        <v>8</v>
      </c>
      <c r="I16" s="37" t="s">
        <v>3</v>
      </c>
      <c r="J16" s="37" t="s">
        <v>3</v>
      </c>
      <c r="K16" s="37"/>
      <c r="L16" s="37"/>
      <c r="M16" s="37" t="s">
        <v>4</v>
      </c>
      <c r="N16" s="37" t="s">
        <v>8</v>
      </c>
      <c r="O16" s="37" t="s">
        <v>8</v>
      </c>
      <c r="P16" s="37" t="s">
        <v>3</v>
      </c>
      <c r="Q16" s="37" t="s">
        <v>3</v>
      </c>
      <c r="R16" s="37"/>
      <c r="S16" s="37"/>
      <c r="T16" s="37" t="s">
        <v>4</v>
      </c>
      <c r="U16" s="37" t="s">
        <v>8</v>
      </c>
      <c r="V16" s="37" t="s">
        <v>8</v>
      </c>
    </row>
    <row r="17" spans="1:22" ht="51" x14ac:dyDescent="0.2">
      <c r="A17" s="75" t="s">
        <v>43</v>
      </c>
      <c r="B17" s="350" t="s">
        <v>434</v>
      </c>
      <c r="C17" s="351" t="s">
        <v>435</v>
      </c>
      <c r="D17" s="351" t="s">
        <v>404</v>
      </c>
      <c r="E17" s="351" t="s">
        <v>405</v>
      </c>
      <c r="F17" s="351" t="s">
        <v>30</v>
      </c>
      <c r="G17" s="351" t="s">
        <v>436</v>
      </c>
      <c r="H17" s="352" t="s">
        <v>437</v>
      </c>
      <c r="I17" s="344" t="s">
        <v>434</v>
      </c>
      <c r="J17" s="345" t="s">
        <v>435</v>
      </c>
      <c r="K17" s="345" t="s">
        <v>404</v>
      </c>
      <c r="L17" s="345" t="s">
        <v>405</v>
      </c>
      <c r="M17" s="345" t="s">
        <v>30</v>
      </c>
      <c r="N17" s="345" t="s">
        <v>436</v>
      </c>
      <c r="O17" s="346" t="s">
        <v>437</v>
      </c>
      <c r="P17" s="350" t="s">
        <v>434</v>
      </c>
      <c r="Q17" s="351" t="s">
        <v>435</v>
      </c>
      <c r="R17" s="351" t="s">
        <v>404</v>
      </c>
      <c r="S17" s="351" t="s">
        <v>405</v>
      </c>
      <c r="T17" s="351" t="s">
        <v>30</v>
      </c>
      <c r="U17" s="351" t="s">
        <v>436</v>
      </c>
      <c r="V17" s="352" t="s">
        <v>437</v>
      </c>
    </row>
    <row r="18" spans="1:22" ht="18" customHeight="1" x14ac:dyDescent="0.2">
      <c r="A18" s="76" t="str">
        <f>IF($C$9="Data Not Entered On Set-Up Worksheet","",IF(OR(VLOOKUP($C$9,County_Lookup,2,FALSE)="",VLOOKUP($C$9,County_Lookup,2,FALSE)=0),"",VLOOKUP($C$9,County_Lookup,2,FALSE)))</f>
        <v/>
      </c>
      <c r="B18" s="52"/>
      <c r="C18" s="42"/>
      <c r="D18" s="42"/>
      <c r="E18" s="42"/>
      <c r="F18" s="42"/>
      <c r="G18" s="43" t="str">
        <f>IF($A18="","",IF($F18=0,0,B18/$F18))</f>
        <v/>
      </c>
      <c r="H18" s="347" t="str">
        <f>IF($A18="","",IF($F18=0,0,C18/$F18))</f>
        <v/>
      </c>
      <c r="I18" s="52"/>
      <c r="J18" s="42"/>
      <c r="K18" s="42"/>
      <c r="L18" s="42"/>
      <c r="M18" s="42"/>
      <c r="N18" s="43" t="str">
        <f>IF($A18="","",IF($M18=0,0,I18/$M18))</f>
        <v/>
      </c>
      <c r="O18" s="347" t="str">
        <f>IF($A18="","",IF($M18=0,0,J18/$M18))</f>
        <v/>
      </c>
      <c r="P18" s="52"/>
      <c r="Q18" s="42"/>
      <c r="R18" s="42"/>
      <c r="S18" s="42"/>
      <c r="T18" s="42"/>
      <c r="U18" s="43" t="str">
        <f>IF($A18="","",IF($T18=0,0,P18/$T18))</f>
        <v/>
      </c>
      <c r="V18" s="347" t="str">
        <f>IF($A18="","",IF($T18=0,0,Q18/$T18))</f>
        <v/>
      </c>
    </row>
    <row r="19" spans="1:22" ht="18" customHeight="1" x14ac:dyDescent="0.2">
      <c r="A19" s="77" t="str">
        <f>IF($C$9="Data Not Entered On Set-Up Worksheet","",IF(OR(VLOOKUP($C$9,County_Lookup,3,FALSE)="",VLOOKUP($C$9,County_Lookup,3,FALSE)=0),"",VLOOKUP($C$9,County_Lookup,3,FALSE)))</f>
        <v/>
      </c>
      <c r="B19" s="52"/>
      <c r="C19" s="42"/>
      <c r="D19" s="42"/>
      <c r="E19" s="42"/>
      <c r="F19" s="42"/>
      <c r="G19" s="43" t="str">
        <f t="shared" ref="G19:H44" si="2">IF($A19="","",IF($F19=0,0,B19/$F19))</f>
        <v/>
      </c>
      <c r="H19" s="347" t="str">
        <f t="shared" si="2"/>
        <v/>
      </c>
      <c r="I19" s="52"/>
      <c r="J19" s="42"/>
      <c r="K19" s="42"/>
      <c r="L19" s="42"/>
      <c r="M19" s="42"/>
      <c r="N19" s="43" t="str">
        <f t="shared" ref="N19:O44" si="3">IF($A19="","",IF($M19=0,0,I19/$M19))</f>
        <v/>
      </c>
      <c r="O19" s="347" t="str">
        <f t="shared" si="3"/>
        <v/>
      </c>
      <c r="P19" s="52"/>
      <c r="Q19" s="42"/>
      <c r="R19" s="42"/>
      <c r="S19" s="42"/>
      <c r="T19" s="42"/>
      <c r="U19" s="43" t="str">
        <f t="shared" ref="U19:V44" si="4">IF($A19="","",IF($T19=0,0,P19/$T19))</f>
        <v/>
      </c>
      <c r="V19" s="347" t="str">
        <f t="shared" si="4"/>
        <v/>
      </c>
    </row>
    <row r="20" spans="1:22" ht="18" customHeight="1" x14ac:dyDescent="0.2">
      <c r="A20" s="77" t="str">
        <f>IF($C$9="Data Not Entered On Set-Up Worksheet","",IF(OR(VLOOKUP($C$9,County_Lookup,4,FALSE)="",VLOOKUP($C$9,County_Lookup,4,FALSE)=0),"",VLOOKUP($C$9,County_Lookup,4,FALSE)))</f>
        <v/>
      </c>
      <c r="B20" s="52"/>
      <c r="C20" s="42"/>
      <c r="D20" s="42"/>
      <c r="E20" s="42"/>
      <c r="F20" s="42"/>
      <c r="G20" s="43" t="str">
        <f t="shared" si="2"/>
        <v/>
      </c>
      <c r="H20" s="347" t="str">
        <f t="shared" si="2"/>
        <v/>
      </c>
      <c r="I20" s="52"/>
      <c r="J20" s="42"/>
      <c r="K20" s="42"/>
      <c r="L20" s="42"/>
      <c r="M20" s="42"/>
      <c r="N20" s="43" t="str">
        <f t="shared" si="3"/>
        <v/>
      </c>
      <c r="O20" s="347" t="str">
        <f t="shared" si="3"/>
        <v/>
      </c>
      <c r="P20" s="52"/>
      <c r="Q20" s="42"/>
      <c r="R20" s="42"/>
      <c r="S20" s="42"/>
      <c r="T20" s="42"/>
      <c r="U20" s="43" t="str">
        <f t="shared" si="4"/>
        <v/>
      </c>
      <c r="V20" s="347" t="str">
        <f t="shared" si="4"/>
        <v/>
      </c>
    </row>
    <row r="21" spans="1:22" ht="18" customHeight="1" x14ac:dyDescent="0.2">
      <c r="A21" s="77" t="str">
        <f>IF($C$9="Data Not Entered On Set-Up Worksheet","",IF(OR(VLOOKUP($C$9,County_Lookup,5,FALSE)="",VLOOKUP($C$9,County_Lookup,5,FALSE)=0),"",VLOOKUP($C$9,County_Lookup,5,FALSE)))</f>
        <v/>
      </c>
      <c r="B21" s="52"/>
      <c r="C21" s="42"/>
      <c r="D21" s="42"/>
      <c r="E21" s="42"/>
      <c r="F21" s="42"/>
      <c r="G21" s="43" t="str">
        <f t="shared" si="2"/>
        <v/>
      </c>
      <c r="H21" s="347" t="str">
        <f t="shared" si="2"/>
        <v/>
      </c>
      <c r="I21" s="52"/>
      <c r="J21" s="42"/>
      <c r="K21" s="42"/>
      <c r="L21" s="42"/>
      <c r="M21" s="42"/>
      <c r="N21" s="43" t="str">
        <f t="shared" si="3"/>
        <v/>
      </c>
      <c r="O21" s="347" t="str">
        <f t="shared" si="3"/>
        <v/>
      </c>
      <c r="P21" s="52"/>
      <c r="Q21" s="42"/>
      <c r="R21" s="42"/>
      <c r="S21" s="42"/>
      <c r="T21" s="42"/>
      <c r="U21" s="43" t="str">
        <f t="shared" si="4"/>
        <v/>
      </c>
      <c r="V21" s="347" t="str">
        <f t="shared" si="4"/>
        <v/>
      </c>
    </row>
    <row r="22" spans="1:22" ht="18" customHeight="1" x14ac:dyDescent="0.2">
      <c r="A22" s="77" t="str">
        <f>IF($C$9="Data Not Entered On Set-Up Worksheet","",IF(OR(VLOOKUP($C$9,County_Lookup,6,FALSE)="",VLOOKUP($C$9,County_Lookup,6,FALSE)=0),"",VLOOKUP($C$9,County_Lookup,6,FALSE)))</f>
        <v/>
      </c>
      <c r="B22" s="52"/>
      <c r="C22" s="42"/>
      <c r="D22" s="42"/>
      <c r="E22" s="42"/>
      <c r="F22" s="42"/>
      <c r="G22" s="43" t="str">
        <f t="shared" si="2"/>
        <v/>
      </c>
      <c r="H22" s="347" t="str">
        <f t="shared" si="2"/>
        <v/>
      </c>
      <c r="I22" s="52"/>
      <c r="J22" s="42"/>
      <c r="K22" s="42"/>
      <c r="L22" s="42"/>
      <c r="M22" s="42"/>
      <c r="N22" s="43" t="str">
        <f t="shared" si="3"/>
        <v/>
      </c>
      <c r="O22" s="347" t="str">
        <f t="shared" si="3"/>
        <v/>
      </c>
      <c r="P22" s="52"/>
      <c r="Q22" s="42"/>
      <c r="R22" s="42"/>
      <c r="S22" s="42"/>
      <c r="T22" s="42"/>
      <c r="U22" s="43" t="str">
        <f t="shared" si="4"/>
        <v/>
      </c>
      <c r="V22" s="347" t="str">
        <f t="shared" si="4"/>
        <v/>
      </c>
    </row>
    <row r="23" spans="1:22" ht="18" customHeight="1" x14ac:dyDescent="0.2">
      <c r="A23" s="77" t="str">
        <f>IF($C$9="Data Not Entered On Set-Up Worksheet","",IF(OR(VLOOKUP($C$9,County_Lookup,7,FALSE)="",VLOOKUP($C$9,County_Lookup,7,FALSE)=0),"",VLOOKUP($C$9,County_Lookup,7,FALSE)))</f>
        <v/>
      </c>
      <c r="B23" s="52"/>
      <c r="C23" s="42"/>
      <c r="D23" s="42"/>
      <c r="E23" s="42"/>
      <c r="F23" s="42"/>
      <c r="G23" s="43" t="str">
        <f t="shared" si="2"/>
        <v/>
      </c>
      <c r="H23" s="347" t="str">
        <f t="shared" si="2"/>
        <v/>
      </c>
      <c r="I23" s="52"/>
      <c r="J23" s="42"/>
      <c r="K23" s="42"/>
      <c r="L23" s="42"/>
      <c r="M23" s="42"/>
      <c r="N23" s="43" t="str">
        <f t="shared" si="3"/>
        <v/>
      </c>
      <c r="O23" s="347" t="str">
        <f t="shared" si="3"/>
        <v/>
      </c>
      <c r="P23" s="52"/>
      <c r="Q23" s="42"/>
      <c r="R23" s="42"/>
      <c r="S23" s="42"/>
      <c r="T23" s="42"/>
      <c r="U23" s="43" t="str">
        <f t="shared" si="4"/>
        <v/>
      </c>
      <c r="V23" s="347" t="str">
        <f t="shared" si="4"/>
        <v/>
      </c>
    </row>
    <row r="24" spans="1:22" ht="18" customHeight="1" x14ac:dyDescent="0.2">
      <c r="A24" s="76" t="str">
        <f>IF($C$9="Data Not Entered On Set-Up Worksheet","",IF(OR(VLOOKUP($C$9,County_Lookup,8,FALSE)="",VLOOKUP($C$9,County_Lookup,8,FALSE)=0),"",VLOOKUP($C$9,County_Lookup,8,FALSE)))</f>
        <v/>
      </c>
      <c r="B24" s="52"/>
      <c r="C24" s="42"/>
      <c r="D24" s="42"/>
      <c r="E24" s="42"/>
      <c r="F24" s="42"/>
      <c r="G24" s="43" t="str">
        <f t="shared" si="2"/>
        <v/>
      </c>
      <c r="H24" s="347" t="str">
        <f t="shared" si="2"/>
        <v/>
      </c>
      <c r="I24" s="52"/>
      <c r="J24" s="42"/>
      <c r="K24" s="42"/>
      <c r="L24" s="42"/>
      <c r="M24" s="42"/>
      <c r="N24" s="43" t="str">
        <f t="shared" si="3"/>
        <v/>
      </c>
      <c r="O24" s="347" t="str">
        <f t="shared" si="3"/>
        <v/>
      </c>
      <c r="P24" s="52"/>
      <c r="Q24" s="42"/>
      <c r="R24" s="42"/>
      <c r="S24" s="42"/>
      <c r="T24" s="42"/>
      <c r="U24" s="43" t="str">
        <f t="shared" si="4"/>
        <v/>
      </c>
      <c r="V24" s="347" t="str">
        <f t="shared" si="4"/>
        <v/>
      </c>
    </row>
    <row r="25" spans="1:22" ht="18" customHeight="1" x14ac:dyDescent="0.2">
      <c r="A25" s="77" t="str">
        <f>IF($C$9="Data Not Entered On Set-Up Worksheet","",IF(OR(VLOOKUP($C$9,County_Lookup,9,FALSE)="",VLOOKUP($C$9,County_Lookup,9,FALSE)=0),"",VLOOKUP($C$9,County_Lookup,9,FALSE)))</f>
        <v/>
      </c>
      <c r="B25" s="52"/>
      <c r="C25" s="42"/>
      <c r="D25" s="42"/>
      <c r="E25" s="42"/>
      <c r="F25" s="42"/>
      <c r="G25" s="43" t="str">
        <f t="shared" si="2"/>
        <v/>
      </c>
      <c r="H25" s="347" t="str">
        <f t="shared" si="2"/>
        <v/>
      </c>
      <c r="I25" s="52"/>
      <c r="J25" s="42"/>
      <c r="K25" s="42"/>
      <c r="L25" s="42"/>
      <c r="M25" s="42"/>
      <c r="N25" s="43" t="str">
        <f t="shared" si="3"/>
        <v/>
      </c>
      <c r="O25" s="347" t="str">
        <f t="shared" si="3"/>
        <v/>
      </c>
      <c r="P25" s="52"/>
      <c r="Q25" s="42"/>
      <c r="R25" s="42"/>
      <c r="S25" s="42"/>
      <c r="T25" s="42"/>
      <c r="U25" s="43" t="str">
        <f t="shared" si="4"/>
        <v/>
      </c>
      <c r="V25" s="347" t="str">
        <f t="shared" si="4"/>
        <v/>
      </c>
    </row>
    <row r="26" spans="1:22" ht="18" customHeight="1" x14ac:dyDescent="0.2">
      <c r="A26" s="77" t="str">
        <f>IF($C$9="Data Not Entered On Set-Up Worksheet","",IF(OR(VLOOKUP($C$9,County_Lookup,10,FALSE)="",VLOOKUP($C$9,County_Lookup,10,FALSE)=0),"",VLOOKUP($C$9,County_Lookup,10,FALSE)))</f>
        <v/>
      </c>
      <c r="B26" s="52"/>
      <c r="C26" s="42"/>
      <c r="D26" s="42"/>
      <c r="E26" s="42"/>
      <c r="F26" s="42"/>
      <c r="G26" s="43" t="str">
        <f t="shared" si="2"/>
        <v/>
      </c>
      <c r="H26" s="347" t="str">
        <f t="shared" si="2"/>
        <v/>
      </c>
      <c r="I26" s="52"/>
      <c r="J26" s="42"/>
      <c r="K26" s="42"/>
      <c r="L26" s="42"/>
      <c r="M26" s="42"/>
      <c r="N26" s="43" t="str">
        <f t="shared" si="3"/>
        <v/>
      </c>
      <c r="O26" s="347" t="str">
        <f t="shared" si="3"/>
        <v/>
      </c>
      <c r="P26" s="52"/>
      <c r="Q26" s="42"/>
      <c r="R26" s="42"/>
      <c r="S26" s="42"/>
      <c r="T26" s="42"/>
      <c r="U26" s="43" t="str">
        <f t="shared" si="4"/>
        <v/>
      </c>
      <c r="V26" s="347" t="str">
        <f t="shared" si="4"/>
        <v/>
      </c>
    </row>
    <row r="27" spans="1:22" ht="18" customHeight="1" x14ac:dyDescent="0.2">
      <c r="A27" s="77" t="str">
        <f>IF($C$9="Data Not Entered On Set-Up Worksheet","",IF(OR(VLOOKUP($C$9,County_Lookup,11,FALSE)="",VLOOKUP($C$9,County_Lookup,11,FALSE)=0),"",VLOOKUP($C$9,County_Lookup,11,FALSE)))</f>
        <v/>
      </c>
      <c r="B27" s="52"/>
      <c r="C27" s="42"/>
      <c r="D27" s="42"/>
      <c r="E27" s="42"/>
      <c r="F27" s="42"/>
      <c r="G27" s="43" t="str">
        <f t="shared" si="2"/>
        <v/>
      </c>
      <c r="H27" s="347" t="str">
        <f t="shared" si="2"/>
        <v/>
      </c>
      <c r="I27" s="52"/>
      <c r="J27" s="42"/>
      <c r="K27" s="42"/>
      <c r="L27" s="42"/>
      <c r="M27" s="42"/>
      <c r="N27" s="43" t="str">
        <f t="shared" si="3"/>
        <v/>
      </c>
      <c r="O27" s="347" t="str">
        <f t="shared" si="3"/>
        <v/>
      </c>
      <c r="P27" s="52"/>
      <c r="Q27" s="42"/>
      <c r="R27" s="42"/>
      <c r="S27" s="42"/>
      <c r="T27" s="42"/>
      <c r="U27" s="43" t="str">
        <f t="shared" si="4"/>
        <v/>
      </c>
      <c r="V27" s="347" t="str">
        <f t="shared" si="4"/>
        <v/>
      </c>
    </row>
    <row r="28" spans="1:22" ht="18" customHeight="1" x14ac:dyDescent="0.2">
      <c r="A28" s="77" t="str">
        <f>IF($C$9="Data Not Entered On Set-Up Worksheet","",IF(OR(VLOOKUP($C$9,County_Lookup,12,FALSE)="",VLOOKUP($C$9,County_Lookup,12,FALSE)=0),"",VLOOKUP($C$9,County_Lookup,12,FALSE)))</f>
        <v/>
      </c>
      <c r="B28" s="52"/>
      <c r="C28" s="42"/>
      <c r="D28" s="42"/>
      <c r="E28" s="42"/>
      <c r="F28" s="42"/>
      <c r="G28" s="43" t="str">
        <f t="shared" si="2"/>
        <v/>
      </c>
      <c r="H28" s="347" t="str">
        <f t="shared" si="2"/>
        <v/>
      </c>
      <c r="I28" s="52"/>
      <c r="J28" s="42"/>
      <c r="K28" s="42"/>
      <c r="L28" s="42"/>
      <c r="M28" s="42"/>
      <c r="N28" s="43" t="str">
        <f t="shared" si="3"/>
        <v/>
      </c>
      <c r="O28" s="347" t="str">
        <f t="shared" si="3"/>
        <v/>
      </c>
      <c r="P28" s="52"/>
      <c r="Q28" s="42"/>
      <c r="R28" s="42"/>
      <c r="S28" s="42"/>
      <c r="T28" s="42"/>
      <c r="U28" s="43" t="str">
        <f t="shared" si="4"/>
        <v/>
      </c>
      <c r="V28" s="347" t="str">
        <f t="shared" si="4"/>
        <v/>
      </c>
    </row>
    <row r="29" spans="1:22" ht="18" customHeight="1" x14ac:dyDescent="0.2">
      <c r="A29" s="77" t="str">
        <f>IF($C$9="Data Not Entered On Set-Up Worksheet","",IF(OR(VLOOKUP($C$9,County_Lookup,13,FALSE)="",VLOOKUP($C$9,County_Lookup,13,FALSE)=0),"",VLOOKUP($C$9,County_Lookup,13,FALSE)))</f>
        <v/>
      </c>
      <c r="B29" s="52"/>
      <c r="C29" s="42"/>
      <c r="D29" s="42"/>
      <c r="E29" s="42"/>
      <c r="F29" s="42"/>
      <c r="G29" s="43" t="str">
        <f t="shared" si="2"/>
        <v/>
      </c>
      <c r="H29" s="347" t="str">
        <f t="shared" si="2"/>
        <v/>
      </c>
      <c r="I29" s="52"/>
      <c r="J29" s="42"/>
      <c r="K29" s="42"/>
      <c r="L29" s="42"/>
      <c r="M29" s="42"/>
      <c r="N29" s="43" t="str">
        <f t="shared" si="3"/>
        <v/>
      </c>
      <c r="O29" s="347" t="str">
        <f t="shared" si="3"/>
        <v/>
      </c>
      <c r="P29" s="52"/>
      <c r="Q29" s="42"/>
      <c r="R29" s="42"/>
      <c r="S29" s="42"/>
      <c r="T29" s="42"/>
      <c r="U29" s="43" t="str">
        <f t="shared" si="4"/>
        <v/>
      </c>
      <c r="V29" s="347" t="str">
        <f t="shared" si="4"/>
        <v/>
      </c>
    </row>
    <row r="30" spans="1:22" ht="18" customHeight="1" x14ac:dyDescent="0.2">
      <c r="A30" s="77" t="str">
        <f>IF($C$9="Data Not Entered On Set-Up Worksheet","",IF(OR(VLOOKUP($C$9,County_Lookup,14,FALSE)="",VLOOKUP($C$9,County_Lookup,14,FALSE)=0),"",VLOOKUP($C$9,County_Lookup,14,FALSE)))</f>
        <v/>
      </c>
      <c r="B30" s="52"/>
      <c r="C30" s="42"/>
      <c r="D30" s="42"/>
      <c r="E30" s="42"/>
      <c r="F30" s="42"/>
      <c r="G30" s="43" t="str">
        <f t="shared" si="2"/>
        <v/>
      </c>
      <c r="H30" s="347" t="str">
        <f t="shared" si="2"/>
        <v/>
      </c>
      <c r="I30" s="52"/>
      <c r="J30" s="42"/>
      <c r="K30" s="42"/>
      <c r="L30" s="42"/>
      <c r="M30" s="42"/>
      <c r="N30" s="43" t="str">
        <f t="shared" si="3"/>
        <v/>
      </c>
      <c r="O30" s="347" t="str">
        <f t="shared" si="3"/>
        <v/>
      </c>
      <c r="P30" s="52"/>
      <c r="Q30" s="42"/>
      <c r="R30" s="42"/>
      <c r="S30" s="42"/>
      <c r="T30" s="42"/>
      <c r="U30" s="43" t="str">
        <f t="shared" si="4"/>
        <v/>
      </c>
      <c r="V30" s="347" t="str">
        <f t="shared" si="4"/>
        <v/>
      </c>
    </row>
    <row r="31" spans="1:22" ht="18" customHeight="1" x14ac:dyDescent="0.2">
      <c r="A31" s="76" t="str">
        <f>IF($C$9="Data Not Entered On Set-Up Worksheet","",IF(OR(VLOOKUP($C$9,County_Lookup,15,FALSE)="",VLOOKUP($C$9,County_Lookup,15,FALSE)=0),"",VLOOKUP($C$9,County_Lookup,15,FALSE)))</f>
        <v/>
      </c>
      <c r="B31" s="52"/>
      <c r="C31" s="42"/>
      <c r="D31" s="42"/>
      <c r="E31" s="42"/>
      <c r="F31" s="42"/>
      <c r="G31" s="43" t="str">
        <f t="shared" si="2"/>
        <v/>
      </c>
      <c r="H31" s="347" t="str">
        <f t="shared" si="2"/>
        <v/>
      </c>
      <c r="I31" s="52"/>
      <c r="J31" s="42"/>
      <c r="K31" s="42"/>
      <c r="L31" s="42"/>
      <c r="M31" s="42"/>
      <c r="N31" s="43" t="str">
        <f t="shared" si="3"/>
        <v/>
      </c>
      <c r="O31" s="347" t="str">
        <f t="shared" si="3"/>
        <v/>
      </c>
      <c r="P31" s="52"/>
      <c r="Q31" s="42"/>
      <c r="R31" s="42"/>
      <c r="S31" s="42"/>
      <c r="T31" s="42"/>
      <c r="U31" s="43" t="str">
        <f t="shared" si="4"/>
        <v/>
      </c>
      <c r="V31" s="347" t="str">
        <f t="shared" si="4"/>
        <v/>
      </c>
    </row>
    <row r="32" spans="1:22" ht="18" customHeight="1" x14ac:dyDescent="0.2">
      <c r="A32" s="77" t="str">
        <f>IF($C$9="Data Not Entered On Set-Up Worksheet","",IF(OR(VLOOKUP($C$9,County_Lookup,16,FALSE)="",VLOOKUP($C$9,County_Lookup,16,FALSE)=0),"",VLOOKUP($C$9,County_Lookup,16,FALSE)))</f>
        <v/>
      </c>
      <c r="B32" s="52"/>
      <c r="C32" s="42"/>
      <c r="D32" s="42"/>
      <c r="E32" s="42"/>
      <c r="F32" s="42"/>
      <c r="G32" s="43" t="str">
        <f t="shared" si="2"/>
        <v/>
      </c>
      <c r="H32" s="347" t="str">
        <f t="shared" si="2"/>
        <v/>
      </c>
      <c r="I32" s="52"/>
      <c r="J32" s="42"/>
      <c r="K32" s="42"/>
      <c r="L32" s="42"/>
      <c r="M32" s="42"/>
      <c r="N32" s="43" t="str">
        <f t="shared" si="3"/>
        <v/>
      </c>
      <c r="O32" s="347" t="str">
        <f t="shared" si="3"/>
        <v/>
      </c>
      <c r="P32" s="52"/>
      <c r="Q32" s="42"/>
      <c r="R32" s="42"/>
      <c r="S32" s="42"/>
      <c r="T32" s="42"/>
      <c r="U32" s="43" t="str">
        <f t="shared" si="4"/>
        <v/>
      </c>
      <c r="V32" s="347" t="str">
        <f t="shared" si="4"/>
        <v/>
      </c>
    </row>
    <row r="33" spans="1:22" ht="18" customHeight="1" x14ac:dyDescent="0.2">
      <c r="A33" s="77" t="str">
        <f>IF($C$9="Data Not Entered On Set-Up Worksheet","",IF(OR(VLOOKUP($C$9,County_Lookup,17,FALSE)="",VLOOKUP($C$9,County_Lookup,17,FALSE)=0),"",VLOOKUP($C$9,County_Lookup,17,FALSE)))</f>
        <v/>
      </c>
      <c r="B33" s="52"/>
      <c r="C33" s="42"/>
      <c r="D33" s="42"/>
      <c r="E33" s="42"/>
      <c r="F33" s="42"/>
      <c r="G33" s="43" t="str">
        <f t="shared" si="2"/>
        <v/>
      </c>
      <c r="H33" s="347" t="str">
        <f t="shared" si="2"/>
        <v/>
      </c>
      <c r="I33" s="52"/>
      <c r="J33" s="42"/>
      <c r="K33" s="42"/>
      <c r="L33" s="42"/>
      <c r="M33" s="42"/>
      <c r="N33" s="43" t="str">
        <f t="shared" si="3"/>
        <v/>
      </c>
      <c r="O33" s="347" t="str">
        <f t="shared" si="3"/>
        <v/>
      </c>
      <c r="P33" s="52"/>
      <c r="Q33" s="42"/>
      <c r="R33" s="42"/>
      <c r="S33" s="42"/>
      <c r="T33" s="42"/>
      <c r="U33" s="43" t="str">
        <f t="shared" si="4"/>
        <v/>
      </c>
      <c r="V33" s="347" t="str">
        <f t="shared" si="4"/>
        <v/>
      </c>
    </row>
    <row r="34" spans="1:22" ht="18" customHeight="1" x14ac:dyDescent="0.2">
      <c r="A34" s="77" t="str">
        <f>IF($C$9="Data Not Entered On Set-Up Worksheet","",IF(OR(VLOOKUP($C$9,County_Lookup,18,FALSE)="",VLOOKUP($C$9,County_Lookup,18,FALSE)=0),"",VLOOKUP($C$9,County_Lookup,18,FALSE)))</f>
        <v/>
      </c>
      <c r="B34" s="52"/>
      <c r="C34" s="42"/>
      <c r="D34" s="42"/>
      <c r="E34" s="42"/>
      <c r="F34" s="42"/>
      <c r="G34" s="43" t="str">
        <f t="shared" si="2"/>
        <v/>
      </c>
      <c r="H34" s="347" t="str">
        <f t="shared" si="2"/>
        <v/>
      </c>
      <c r="I34" s="52"/>
      <c r="J34" s="42"/>
      <c r="K34" s="42"/>
      <c r="L34" s="42"/>
      <c r="M34" s="42"/>
      <c r="N34" s="43" t="str">
        <f t="shared" si="3"/>
        <v/>
      </c>
      <c r="O34" s="347" t="str">
        <f t="shared" si="3"/>
        <v/>
      </c>
      <c r="P34" s="52"/>
      <c r="Q34" s="42"/>
      <c r="R34" s="42"/>
      <c r="S34" s="42"/>
      <c r="T34" s="42"/>
      <c r="U34" s="43" t="str">
        <f t="shared" si="4"/>
        <v/>
      </c>
      <c r="V34" s="347" t="str">
        <f t="shared" si="4"/>
        <v/>
      </c>
    </row>
    <row r="35" spans="1:22" ht="18" customHeight="1" x14ac:dyDescent="0.2">
      <c r="A35" s="77" t="str">
        <f>IF($C$9="Data Not Entered On Set-Up Worksheet","",IF(OR(VLOOKUP($C$9,County_Lookup,19,FALSE)="",VLOOKUP($C$9,County_Lookup,19,FALSE)=0),"",VLOOKUP($C$9,County_Lookup,19,FALSE)))</f>
        <v/>
      </c>
      <c r="B35" s="52"/>
      <c r="C35" s="42"/>
      <c r="D35" s="42"/>
      <c r="E35" s="42"/>
      <c r="F35" s="42"/>
      <c r="G35" s="43" t="str">
        <f t="shared" si="2"/>
        <v/>
      </c>
      <c r="H35" s="347" t="str">
        <f t="shared" si="2"/>
        <v/>
      </c>
      <c r="I35" s="52"/>
      <c r="J35" s="42"/>
      <c r="K35" s="42"/>
      <c r="L35" s="42"/>
      <c r="M35" s="42"/>
      <c r="N35" s="43" t="str">
        <f t="shared" si="3"/>
        <v/>
      </c>
      <c r="O35" s="347" t="str">
        <f t="shared" si="3"/>
        <v/>
      </c>
      <c r="P35" s="52"/>
      <c r="Q35" s="42"/>
      <c r="R35" s="42"/>
      <c r="S35" s="42"/>
      <c r="T35" s="42"/>
      <c r="U35" s="43" t="str">
        <f t="shared" si="4"/>
        <v/>
      </c>
      <c r="V35" s="347" t="str">
        <f t="shared" si="4"/>
        <v/>
      </c>
    </row>
    <row r="36" spans="1:22" ht="18" customHeight="1" x14ac:dyDescent="0.2">
      <c r="A36" s="77" t="str">
        <f>IF($C$9="Data Not Entered On Set-Up Worksheet","",IF(OR(VLOOKUP($C$9,County_Lookup,20,FALSE)="",VLOOKUP($C$9,County_Lookup,20,FALSE)=0),"",VLOOKUP($C$9,County_Lookup,20,FALSE)))</f>
        <v/>
      </c>
      <c r="B36" s="52"/>
      <c r="C36" s="42"/>
      <c r="D36" s="42"/>
      <c r="E36" s="42"/>
      <c r="F36" s="42"/>
      <c r="G36" s="43" t="str">
        <f t="shared" si="2"/>
        <v/>
      </c>
      <c r="H36" s="347" t="str">
        <f t="shared" si="2"/>
        <v/>
      </c>
      <c r="I36" s="52"/>
      <c r="J36" s="42"/>
      <c r="K36" s="42"/>
      <c r="L36" s="42"/>
      <c r="M36" s="42"/>
      <c r="N36" s="43" t="str">
        <f t="shared" si="3"/>
        <v/>
      </c>
      <c r="O36" s="347" t="str">
        <f t="shared" si="3"/>
        <v/>
      </c>
      <c r="P36" s="52"/>
      <c r="Q36" s="42"/>
      <c r="R36" s="42"/>
      <c r="S36" s="42"/>
      <c r="T36" s="42"/>
      <c r="U36" s="43" t="str">
        <f t="shared" si="4"/>
        <v/>
      </c>
      <c r="V36" s="347" t="str">
        <f t="shared" si="4"/>
        <v/>
      </c>
    </row>
    <row r="37" spans="1:22" ht="18" customHeight="1" x14ac:dyDescent="0.2">
      <c r="A37" s="77" t="str">
        <f>IF($C$9="Data Not Entered On Set-Up Worksheet","",IF(OR(VLOOKUP($C$9,County_Lookup,21,FALSE)="",VLOOKUP($C$9,County_Lookup,21,FALSE)=0),"",VLOOKUP($C$9,County_Lookup,21,FALSE)))</f>
        <v/>
      </c>
      <c r="B37" s="52"/>
      <c r="C37" s="42"/>
      <c r="D37" s="42"/>
      <c r="E37" s="42"/>
      <c r="F37" s="42"/>
      <c r="G37" s="43" t="str">
        <f t="shared" si="2"/>
        <v/>
      </c>
      <c r="H37" s="347" t="str">
        <f t="shared" si="2"/>
        <v/>
      </c>
      <c r="I37" s="52"/>
      <c r="J37" s="42"/>
      <c r="K37" s="42"/>
      <c r="L37" s="42"/>
      <c r="M37" s="42"/>
      <c r="N37" s="43" t="str">
        <f t="shared" si="3"/>
        <v/>
      </c>
      <c r="O37" s="347" t="str">
        <f t="shared" si="3"/>
        <v/>
      </c>
      <c r="P37" s="52"/>
      <c r="Q37" s="42"/>
      <c r="R37" s="42"/>
      <c r="S37" s="42"/>
      <c r="T37" s="42"/>
      <c r="U37" s="43" t="str">
        <f t="shared" si="4"/>
        <v/>
      </c>
      <c r="V37" s="347" t="str">
        <f t="shared" si="4"/>
        <v/>
      </c>
    </row>
    <row r="38" spans="1:22" ht="18" customHeight="1" x14ac:dyDescent="0.2">
      <c r="A38" s="76" t="str">
        <f>IF($C$9="Data Not Entered On Set-Up Worksheet","",IF(OR(VLOOKUP($C$9,County_Lookup,22,FALSE)="",VLOOKUP($C$9,County_Lookup,22,FALSE)=0),"",VLOOKUP($C$9,County_Lookup,22,FALSE)))</f>
        <v/>
      </c>
      <c r="B38" s="52"/>
      <c r="C38" s="42"/>
      <c r="D38" s="42"/>
      <c r="E38" s="42"/>
      <c r="F38" s="42"/>
      <c r="G38" s="43" t="str">
        <f t="shared" si="2"/>
        <v/>
      </c>
      <c r="H38" s="347" t="str">
        <f t="shared" si="2"/>
        <v/>
      </c>
      <c r="I38" s="52"/>
      <c r="J38" s="42"/>
      <c r="K38" s="42"/>
      <c r="L38" s="42"/>
      <c r="M38" s="42"/>
      <c r="N38" s="43" t="str">
        <f t="shared" si="3"/>
        <v/>
      </c>
      <c r="O38" s="347" t="str">
        <f t="shared" si="3"/>
        <v/>
      </c>
      <c r="P38" s="52"/>
      <c r="Q38" s="42"/>
      <c r="R38" s="42"/>
      <c r="S38" s="42"/>
      <c r="T38" s="42"/>
      <c r="U38" s="43" t="str">
        <f t="shared" si="4"/>
        <v/>
      </c>
      <c r="V38" s="347" t="str">
        <f t="shared" si="4"/>
        <v/>
      </c>
    </row>
    <row r="39" spans="1:22" ht="18" customHeight="1" x14ac:dyDescent="0.2">
      <c r="A39" s="77" t="str">
        <f>IF($C$9="Data Not Entered On Set-Up Worksheet","",IF(OR(VLOOKUP($C$9,County_Lookup,23,FALSE)="",VLOOKUP($C$9,County_Lookup,23,FALSE)=0),"",VLOOKUP($C$9,County_Lookup,23,FALSE)))</f>
        <v/>
      </c>
      <c r="B39" s="52"/>
      <c r="C39" s="42"/>
      <c r="D39" s="42"/>
      <c r="E39" s="42"/>
      <c r="F39" s="42"/>
      <c r="G39" s="43" t="str">
        <f t="shared" si="2"/>
        <v/>
      </c>
      <c r="H39" s="347" t="str">
        <f t="shared" si="2"/>
        <v/>
      </c>
      <c r="I39" s="52"/>
      <c r="J39" s="42"/>
      <c r="K39" s="42"/>
      <c r="L39" s="42"/>
      <c r="M39" s="42"/>
      <c r="N39" s="43" t="str">
        <f t="shared" si="3"/>
        <v/>
      </c>
      <c r="O39" s="347" t="str">
        <f t="shared" si="3"/>
        <v/>
      </c>
      <c r="P39" s="52"/>
      <c r="Q39" s="42"/>
      <c r="R39" s="42"/>
      <c r="S39" s="42"/>
      <c r="T39" s="42"/>
      <c r="U39" s="43" t="str">
        <f t="shared" si="4"/>
        <v/>
      </c>
      <c r="V39" s="347" t="str">
        <f t="shared" si="4"/>
        <v/>
      </c>
    </row>
    <row r="40" spans="1:22" ht="18" customHeight="1" x14ac:dyDescent="0.2">
      <c r="A40" s="77" t="str">
        <f>IF($C$9="Data Not Entered On Set-Up Worksheet","",IF(OR(VLOOKUP($C$9,County_Lookup,24,FALSE)="",VLOOKUP($C$9,County_Lookup,24,FALSE)=0),"",VLOOKUP($C$9,County_Lookup,24,FALSE)))</f>
        <v/>
      </c>
      <c r="B40" s="52"/>
      <c r="C40" s="42"/>
      <c r="D40" s="42"/>
      <c r="E40" s="42"/>
      <c r="F40" s="42"/>
      <c r="G40" s="43" t="str">
        <f t="shared" ref="G40:G42" si="5">IF($A40="","",IF($F40=0,0,B40/$F40))</f>
        <v/>
      </c>
      <c r="H40" s="347" t="str">
        <f t="shared" ref="H40:H42" si="6">IF($A40="","",IF($F40=0,0,C40/$F40))</f>
        <v/>
      </c>
      <c r="I40" s="52"/>
      <c r="J40" s="42"/>
      <c r="K40" s="42"/>
      <c r="L40" s="42"/>
      <c r="M40" s="42"/>
      <c r="N40" s="43" t="str">
        <f t="shared" ref="N40:N42" si="7">IF($A40="","",IF($M40=0,0,I40/$M40))</f>
        <v/>
      </c>
      <c r="O40" s="347" t="str">
        <f t="shared" ref="O40:O42" si="8">IF($A40="","",IF($M40=0,0,J40/$M40))</f>
        <v/>
      </c>
      <c r="P40" s="52"/>
      <c r="Q40" s="42"/>
      <c r="R40" s="42"/>
      <c r="S40" s="42"/>
      <c r="T40" s="42"/>
      <c r="U40" s="43" t="str">
        <f t="shared" ref="U40:U42" si="9">IF($A40="","",IF($T40=0,0,P40/$T40))</f>
        <v/>
      </c>
      <c r="V40" s="347" t="str">
        <f t="shared" ref="V40:V42" si="10">IF($A40="","",IF($T40=0,0,Q40/$T40))</f>
        <v/>
      </c>
    </row>
    <row r="41" spans="1:22" ht="18" customHeight="1" x14ac:dyDescent="0.2">
      <c r="A41" s="77" t="str">
        <f>IF($C$9="Data Not Entered On Set-Up Worksheet","",IF(OR(VLOOKUP($C$9,County_Lookup,25,FALSE)="",VLOOKUP($C$9,County_Lookup,25,FALSE)=0),"",VLOOKUP($C$9,County_Lookup,25,FALSE)))</f>
        <v/>
      </c>
      <c r="B41" s="52"/>
      <c r="C41" s="42"/>
      <c r="D41" s="42"/>
      <c r="E41" s="42"/>
      <c r="F41" s="42"/>
      <c r="G41" s="43" t="str">
        <f t="shared" si="5"/>
        <v/>
      </c>
      <c r="H41" s="347" t="str">
        <f t="shared" si="6"/>
        <v/>
      </c>
      <c r="I41" s="52"/>
      <c r="J41" s="42"/>
      <c r="K41" s="42"/>
      <c r="L41" s="42"/>
      <c r="M41" s="42"/>
      <c r="N41" s="43" t="str">
        <f t="shared" si="7"/>
        <v/>
      </c>
      <c r="O41" s="347" t="str">
        <f t="shared" si="8"/>
        <v/>
      </c>
      <c r="P41" s="52"/>
      <c r="Q41" s="42"/>
      <c r="R41" s="42"/>
      <c r="S41" s="42"/>
      <c r="T41" s="42"/>
      <c r="U41" s="43" t="str">
        <f t="shared" si="9"/>
        <v/>
      </c>
      <c r="V41" s="347" t="str">
        <f t="shared" si="10"/>
        <v/>
      </c>
    </row>
    <row r="42" spans="1:22" ht="18" customHeight="1" x14ac:dyDescent="0.2">
      <c r="A42" s="77" t="str">
        <f>IF($C$9="Data Not Entered On Set-Up Worksheet","",IF(OR(VLOOKUP($C$9,County_Lookup,26,FALSE)="",VLOOKUP($C$9,County_Lookup,26,FALSE)=0),"",VLOOKUP($C$9,County_Lookup,26,FALSE)))</f>
        <v/>
      </c>
      <c r="B42" s="52"/>
      <c r="C42" s="42"/>
      <c r="D42" s="42"/>
      <c r="E42" s="42"/>
      <c r="F42" s="42"/>
      <c r="G42" s="43" t="str">
        <f t="shared" si="5"/>
        <v/>
      </c>
      <c r="H42" s="347" t="str">
        <f t="shared" si="6"/>
        <v/>
      </c>
      <c r="I42" s="52"/>
      <c r="J42" s="42"/>
      <c r="K42" s="42"/>
      <c r="L42" s="42"/>
      <c r="M42" s="42"/>
      <c r="N42" s="43" t="str">
        <f t="shared" si="7"/>
        <v/>
      </c>
      <c r="O42" s="347" t="str">
        <f t="shared" si="8"/>
        <v/>
      </c>
      <c r="P42" s="52"/>
      <c r="Q42" s="42"/>
      <c r="R42" s="42"/>
      <c r="S42" s="42"/>
      <c r="T42" s="42"/>
      <c r="U42" s="43" t="str">
        <f t="shared" si="9"/>
        <v/>
      </c>
      <c r="V42" s="347" t="str">
        <f t="shared" si="10"/>
        <v/>
      </c>
    </row>
    <row r="43" spans="1:22" ht="18" customHeight="1" x14ac:dyDescent="0.2">
      <c r="A43" s="77" t="str">
        <f>IF($C$9="Data Not Entered On Set-Up Worksheet","",IF(OR(VLOOKUP($C$9,County_Lookup,27,FALSE)="",VLOOKUP($C$9,County_Lookup,27,FALSE)=0),"",VLOOKUP($C$9,County_Lookup,27,FALSE)))</f>
        <v/>
      </c>
      <c r="B43" s="52"/>
      <c r="C43" s="42"/>
      <c r="D43" s="42"/>
      <c r="E43" s="42"/>
      <c r="F43" s="42"/>
      <c r="G43" s="43" t="str">
        <f t="shared" si="2"/>
        <v/>
      </c>
      <c r="H43" s="347" t="str">
        <f t="shared" si="2"/>
        <v/>
      </c>
      <c r="I43" s="52"/>
      <c r="J43" s="42"/>
      <c r="K43" s="42"/>
      <c r="L43" s="42"/>
      <c r="M43" s="42"/>
      <c r="N43" s="43" t="str">
        <f t="shared" si="3"/>
        <v/>
      </c>
      <c r="O43" s="347" t="str">
        <f t="shared" si="3"/>
        <v/>
      </c>
      <c r="P43" s="52"/>
      <c r="Q43" s="42"/>
      <c r="R43" s="42"/>
      <c r="S43" s="42"/>
      <c r="T43" s="42"/>
      <c r="U43" s="43" t="str">
        <f t="shared" si="4"/>
        <v/>
      </c>
      <c r="V43" s="347" t="str">
        <f t="shared" si="4"/>
        <v/>
      </c>
    </row>
    <row r="44" spans="1:22" ht="18" customHeight="1" thickBot="1" x14ac:dyDescent="0.25">
      <c r="A44" s="78" t="s">
        <v>0</v>
      </c>
      <c r="B44" s="348">
        <f>SUM(B18:B43)</f>
        <v>0</v>
      </c>
      <c r="C44" s="349">
        <f t="shared" ref="C44:F44" si="11">SUM(C18:C43)</f>
        <v>0</v>
      </c>
      <c r="D44" s="349">
        <f t="shared" si="11"/>
        <v>0</v>
      </c>
      <c r="E44" s="349">
        <f t="shared" si="11"/>
        <v>0</v>
      </c>
      <c r="F44" s="349">
        <f t="shared" si="11"/>
        <v>0</v>
      </c>
      <c r="G44" s="353">
        <f t="shared" si="2"/>
        <v>0</v>
      </c>
      <c r="H44" s="354">
        <f t="shared" si="2"/>
        <v>0</v>
      </c>
      <c r="I44" s="348">
        <f>SUM(I18:I43)</f>
        <v>0</v>
      </c>
      <c r="J44" s="349">
        <f t="shared" ref="J44:M44" si="12">SUM(J18:J43)</f>
        <v>0</v>
      </c>
      <c r="K44" s="349">
        <f t="shared" si="12"/>
        <v>0</v>
      </c>
      <c r="L44" s="349">
        <f t="shared" si="12"/>
        <v>0</v>
      </c>
      <c r="M44" s="349">
        <f t="shared" si="12"/>
        <v>0</v>
      </c>
      <c r="N44" s="353">
        <f t="shared" si="3"/>
        <v>0</v>
      </c>
      <c r="O44" s="354">
        <f t="shared" si="3"/>
        <v>0</v>
      </c>
      <c r="P44" s="348">
        <f>SUM(P18:P43)</f>
        <v>0</v>
      </c>
      <c r="Q44" s="349">
        <f t="shared" ref="Q44:T44" si="13">SUM(Q18:Q43)</f>
        <v>0</v>
      </c>
      <c r="R44" s="349">
        <f t="shared" si="13"/>
        <v>0</v>
      </c>
      <c r="S44" s="349">
        <f t="shared" si="13"/>
        <v>0</v>
      </c>
      <c r="T44" s="349">
        <f t="shared" si="13"/>
        <v>0</v>
      </c>
      <c r="U44" s="353">
        <f t="shared" si="4"/>
        <v>0</v>
      </c>
      <c r="V44" s="354">
        <f t="shared" si="4"/>
        <v>0</v>
      </c>
    </row>
    <row r="45" spans="1:22" x14ac:dyDescent="0.2">
      <c r="B45" s="22" t="s">
        <v>402</v>
      </c>
      <c r="I45" s="22" t="s">
        <v>402</v>
      </c>
      <c r="P45" s="22" t="s">
        <v>402</v>
      </c>
    </row>
    <row r="46" spans="1:22" ht="20.100000000000001" customHeight="1" x14ac:dyDescent="0.2">
      <c r="A46" s="312" t="s">
        <v>307</v>
      </c>
      <c r="B46" s="243" t="s">
        <v>411</v>
      </c>
      <c r="C46" s="243"/>
      <c r="D46" s="243"/>
      <c r="E46" s="243"/>
      <c r="F46" s="243"/>
      <c r="G46" s="243"/>
      <c r="H46" s="243"/>
      <c r="I46" s="243" t="s">
        <v>411</v>
      </c>
      <c r="J46" s="243"/>
      <c r="K46" s="243"/>
      <c r="L46" s="243"/>
      <c r="M46" s="243"/>
      <c r="N46" s="243"/>
      <c r="O46" s="243"/>
      <c r="P46" s="243" t="s">
        <v>411</v>
      </c>
      <c r="Q46" s="243"/>
      <c r="R46" s="243"/>
      <c r="S46" s="243"/>
      <c r="T46" s="243"/>
      <c r="U46" s="243"/>
      <c r="V46" s="243"/>
    </row>
    <row r="47" spans="1:22" ht="13.5" thickBot="1" x14ac:dyDescent="0.25"/>
    <row r="48" spans="1:22" ht="18" customHeight="1" thickBot="1" x14ac:dyDescent="0.25">
      <c r="A48" s="226" t="s">
        <v>327</v>
      </c>
      <c r="B48" s="234" t="s">
        <v>39</v>
      </c>
      <c r="C48" s="235"/>
      <c r="D48" s="235"/>
      <c r="E48" s="235"/>
      <c r="F48" s="235"/>
      <c r="G48" s="235"/>
      <c r="H48" s="236"/>
      <c r="I48" s="63" t="s">
        <v>241</v>
      </c>
      <c r="J48" s="231"/>
      <c r="K48" s="231"/>
      <c r="L48" s="231"/>
      <c r="M48" s="231"/>
      <c r="N48" s="231"/>
      <c r="O48" s="232"/>
      <c r="P48" s="234" t="s">
        <v>243</v>
      </c>
      <c r="Q48" s="235"/>
      <c r="R48" s="235"/>
      <c r="S48" s="235"/>
      <c r="T48" s="235"/>
      <c r="U48" s="235"/>
      <c r="V48" s="236"/>
    </row>
    <row r="49" spans="1:22" ht="13.5" thickBot="1" x14ac:dyDescent="0.25">
      <c r="A49" s="30"/>
      <c r="B49" s="37" t="s">
        <v>3</v>
      </c>
      <c r="C49" s="37" t="s">
        <v>3</v>
      </c>
      <c r="D49" s="37"/>
      <c r="E49" s="37"/>
      <c r="F49" s="37" t="s">
        <v>4</v>
      </c>
      <c r="G49" s="37" t="s">
        <v>8</v>
      </c>
      <c r="H49" s="37" t="s">
        <v>8</v>
      </c>
      <c r="I49" s="37" t="s">
        <v>3</v>
      </c>
      <c r="J49" s="37" t="s">
        <v>3</v>
      </c>
      <c r="K49" s="37"/>
      <c r="L49" s="37"/>
      <c r="M49" s="37" t="s">
        <v>4</v>
      </c>
      <c r="N49" s="37" t="s">
        <v>8</v>
      </c>
      <c r="O49" s="37" t="s">
        <v>8</v>
      </c>
      <c r="P49" s="37" t="s">
        <v>3</v>
      </c>
      <c r="Q49" s="37" t="s">
        <v>3</v>
      </c>
      <c r="R49" s="37"/>
      <c r="S49" s="37"/>
      <c r="T49" s="37" t="s">
        <v>4</v>
      </c>
      <c r="U49" s="37" t="s">
        <v>8</v>
      </c>
      <c r="V49" s="37" t="s">
        <v>8</v>
      </c>
    </row>
    <row r="50" spans="1:22" ht="51" x14ac:dyDescent="0.2">
      <c r="A50" s="75" t="s">
        <v>43</v>
      </c>
      <c r="B50" s="350" t="s">
        <v>35</v>
      </c>
      <c r="C50" s="351" t="s">
        <v>33</v>
      </c>
      <c r="D50" s="351" t="s">
        <v>404</v>
      </c>
      <c r="E50" s="351" t="s">
        <v>405</v>
      </c>
      <c r="F50" s="351" t="s">
        <v>30</v>
      </c>
      <c r="G50" s="351" t="s">
        <v>36</v>
      </c>
      <c r="H50" s="352" t="s">
        <v>34</v>
      </c>
      <c r="I50" s="344" t="s">
        <v>35</v>
      </c>
      <c r="J50" s="345" t="s">
        <v>33</v>
      </c>
      <c r="K50" s="345" t="s">
        <v>404</v>
      </c>
      <c r="L50" s="345" t="s">
        <v>405</v>
      </c>
      <c r="M50" s="345" t="s">
        <v>30</v>
      </c>
      <c r="N50" s="345" t="s">
        <v>36</v>
      </c>
      <c r="O50" s="346" t="s">
        <v>34</v>
      </c>
      <c r="P50" s="350" t="s">
        <v>35</v>
      </c>
      <c r="Q50" s="351" t="s">
        <v>33</v>
      </c>
      <c r="R50" s="351" t="s">
        <v>404</v>
      </c>
      <c r="S50" s="351" t="s">
        <v>405</v>
      </c>
      <c r="T50" s="351" t="s">
        <v>30</v>
      </c>
      <c r="U50" s="351" t="s">
        <v>36</v>
      </c>
      <c r="V50" s="352" t="s">
        <v>34</v>
      </c>
    </row>
    <row r="51" spans="1:22" ht="18" customHeight="1" x14ac:dyDescent="0.2">
      <c r="A51" s="76" t="str">
        <f>IF($C$9="Data Not Entered On Set-Up Worksheet","",IF(OR(VLOOKUP($C$9,County_Lookup,2,FALSE)="",VLOOKUP($C$9,County_Lookup,2,FALSE)=0),"",VLOOKUP($C$9,County_Lookup,2,FALSE)))</f>
        <v/>
      </c>
      <c r="B51" s="52"/>
      <c r="C51" s="42"/>
      <c r="D51" s="42"/>
      <c r="E51" s="42"/>
      <c r="F51" s="42"/>
      <c r="G51" s="43" t="str">
        <f>IF($A51="","",IF($F51=0,0,B51/$F51))</f>
        <v/>
      </c>
      <c r="H51" s="347" t="str">
        <f>IF($A51="","",IF($F51=0,0,C51/$F51))</f>
        <v/>
      </c>
      <c r="I51" s="52"/>
      <c r="J51" s="42"/>
      <c r="K51" s="42"/>
      <c r="L51" s="42"/>
      <c r="M51" s="42"/>
      <c r="N51" s="43" t="str">
        <f>IF($A51="","",IF($M51=0,0,I51/$M51))</f>
        <v/>
      </c>
      <c r="O51" s="347" t="str">
        <f>IF($A51="","",IF($M51=0,0,J51/$M51))</f>
        <v/>
      </c>
      <c r="P51" s="52"/>
      <c r="Q51" s="42"/>
      <c r="R51" s="42"/>
      <c r="S51" s="42"/>
      <c r="T51" s="42"/>
      <c r="U51" s="43" t="str">
        <f>IF($A51="","",IF($T51=0,0,P51/$T51))</f>
        <v/>
      </c>
      <c r="V51" s="347" t="str">
        <f>IF($A51="","",IF($T51=0,0,Q51/$T51))</f>
        <v/>
      </c>
    </row>
    <row r="52" spans="1:22" ht="18" customHeight="1" x14ac:dyDescent="0.2">
      <c r="A52" s="77" t="str">
        <f>IF($C$9="Data Not Entered On Set-Up Worksheet","",IF(OR(VLOOKUP($C$9,County_Lookup,3,FALSE)="",VLOOKUP($C$9,County_Lookup,3,FALSE)=0),"",VLOOKUP($C$9,County_Lookup,3,FALSE)))</f>
        <v/>
      </c>
      <c r="B52" s="52"/>
      <c r="C52" s="42"/>
      <c r="D52" s="42"/>
      <c r="E52" s="42"/>
      <c r="F52" s="42"/>
      <c r="G52" s="43" t="str">
        <f t="shared" ref="G52:G77" si="14">IF($A52="","",IF($F52=0,0,B52/$F52))</f>
        <v/>
      </c>
      <c r="H52" s="347" t="str">
        <f t="shared" ref="H52:H77" si="15">IF($A52="","",IF($F52=0,0,C52/$F52))</f>
        <v/>
      </c>
      <c r="I52" s="52"/>
      <c r="J52" s="42"/>
      <c r="K52" s="42"/>
      <c r="L52" s="42"/>
      <c r="M52" s="42"/>
      <c r="N52" s="43" t="str">
        <f t="shared" ref="N52:N77" si="16">IF($A52="","",IF($M52=0,0,I52/$M52))</f>
        <v/>
      </c>
      <c r="O52" s="347" t="str">
        <f t="shared" ref="O52:O77" si="17">IF($A52="","",IF($M52=0,0,J52/$M52))</f>
        <v/>
      </c>
      <c r="P52" s="52"/>
      <c r="Q52" s="42"/>
      <c r="R52" s="42"/>
      <c r="S52" s="42"/>
      <c r="T52" s="42"/>
      <c r="U52" s="43" t="str">
        <f t="shared" ref="U52:U77" si="18">IF($A52="","",IF($T52=0,0,P52/$T52))</f>
        <v/>
      </c>
      <c r="V52" s="347" t="str">
        <f t="shared" ref="V52:V77" si="19">IF($A52="","",IF($T52=0,0,Q52/$T52))</f>
        <v/>
      </c>
    </row>
    <row r="53" spans="1:22" ht="18" customHeight="1" x14ac:dyDescent="0.2">
      <c r="A53" s="77" t="str">
        <f>IF($C$9="Data Not Entered On Set-Up Worksheet","",IF(OR(VLOOKUP($C$9,County_Lookup,4,FALSE)="",VLOOKUP($C$9,County_Lookup,4,FALSE)=0),"",VLOOKUP($C$9,County_Lookup,4,FALSE)))</f>
        <v/>
      </c>
      <c r="B53" s="52"/>
      <c r="C53" s="42"/>
      <c r="D53" s="42"/>
      <c r="E53" s="42"/>
      <c r="F53" s="42"/>
      <c r="G53" s="43" t="str">
        <f t="shared" si="14"/>
        <v/>
      </c>
      <c r="H53" s="347" t="str">
        <f t="shared" si="15"/>
        <v/>
      </c>
      <c r="I53" s="52"/>
      <c r="J53" s="42"/>
      <c r="K53" s="42"/>
      <c r="L53" s="42"/>
      <c r="M53" s="42"/>
      <c r="N53" s="43" t="str">
        <f t="shared" si="16"/>
        <v/>
      </c>
      <c r="O53" s="347" t="str">
        <f t="shared" si="17"/>
        <v/>
      </c>
      <c r="P53" s="52"/>
      <c r="Q53" s="42"/>
      <c r="R53" s="42"/>
      <c r="S53" s="42"/>
      <c r="T53" s="42"/>
      <c r="U53" s="43" t="str">
        <f t="shared" si="18"/>
        <v/>
      </c>
      <c r="V53" s="347" t="str">
        <f t="shared" si="19"/>
        <v/>
      </c>
    </row>
    <row r="54" spans="1:22" ht="18" customHeight="1" x14ac:dyDescent="0.2">
      <c r="A54" s="77" t="str">
        <f>IF($C$9="Data Not Entered On Set-Up Worksheet","",IF(OR(VLOOKUP($C$9,County_Lookup,5,FALSE)="",VLOOKUP($C$9,County_Lookup,5,FALSE)=0),"",VLOOKUP($C$9,County_Lookup,5,FALSE)))</f>
        <v/>
      </c>
      <c r="B54" s="52"/>
      <c r="C54" s="42"/>
      <c r="D54" s="42"/>
      <c r="E54" s="42"/>
      <c r="F54" s="42"/>
      <c r="G54" s="43" t="str">
        <f t="shared" si="14"/>
        <v/>
      </c>
      <c r="H54" s="347" t="str">
        <f t="shared" si="15"/>
        <v/>
      </c>
      <c r="I54" s="52"/>
      <c r="J54" s="42"/>
      <c r="K54" s="42"/>
      <c r="L54" s="42"/>
      <c r="M54" s="42"/>
      <c r="N54" s="43" t="str">
        <f t="shared" si="16"/>
        <v/>
      </c>
      <c r="O54" s="347" t="str">
        <f t="shared" si="17"/>
        <v/>
      </c>
      <c r="P54" s="52"/>
      <c r="Q54" s="42"/>
      <c r="R54" s="42"/>
      <c r="S54" s="42"/>
      <c r="T54" s="42"/>
      <c r="U54" s="43" t="str">
        <f t="shared" si="18"/>
        <v/>
      </c>
      <c r="V54" s="347" t="str">
        <f t="shared" si="19"/>
        <v/>
      </c>
    </row>
    <row r="55" spans="1:22" ht="18" customHeight="1" x14ac:dyDescent="0.2">
      <c r="A55" s="77" t="str">
        <f>IF($C$9="Data Not Entered On Set-Up Worksheet","",IF(OR(VLOOKUP($C$9,County_Lookup,6,FALSE)="",VLOOKUP($C$9,County_Lookup,6,FALSE)=0),"",VLOOKUP($C$9,County_Lookup,6,FALSE)))</f>
        <v/>
      </c>
      <c r="B55" s="52"/>
      <c r="C55" s="42"/>
      <c r="D55" s="42"/>
      <c r="E55" s="42"/>
      <c r="F55" s="42"/>
      <c r="G55" s="43" t="str">
        <f t="shared" si="14"/>
        <v/>
      </c>
      <c r="H55" s="347" t="str">
        <f t="shared" si="15"/>
        <v/>
      </c>
      <c r="I55" s="52"/>
      <c r="J55" s="42"/>
      <c r="K55" s="42"/>
      <c r="L55" s="42"/>
      <c r="M55" s="42"/>
      <c r="N55" s="43" t="str">
        <f t="shared" si="16"/>
        <v/>
      </c>
      <c r="O55" s="347" t="str">
        <f t="shared" si="17"/>
        <v/>
      </c>
      <c r="P55" s="52"/>
      <c r="Q55" s="42"/>
      <c r="R55" s="42"/>
      <c r="S55" s="42"/>
      <c r="T55" s="42"/>
      <c r="U55" s="43" t="str">
        <f t="shared" si="18"/>
        <v/>
      </c>
      <c r="V55" s="347" t="str">
        <f t="shared" si="19"/>
        <v/>
      </c>
    </row>
    <row r="56" spans="1:22" ht="18" customHeight="1" x14ac:dyDescent="0.2">
      <c r="A56" s="77" t="str">
        <f>IF($C$9="Data Not Entered On Set-Up Worksheet","",IF(OR(VLOOKUP($C$9,County_Lookup,7,FALSE)="",VLOOKUP($C$9,County_Lookup,7,FALSE)=0),"",VLOOKUP($C$9,County_Lookup,7,FALSE)))</f>
        <v/>
      </c>
      <c r="B56" s="52"/>
      <c r="C56" s="42"/>
      <c r="D56" s="42"/>
      <c r="E56" s="42"/>
      <c r="F56" s="42"/>
      <c r="G56" s="43" t="str">
        <f t="shared" si="14"/>
        <v/>
      </c>
      <c r="H56" s="347" t="str">
        <f t="shared" si="15"/>
        <v/>
      </c>
      <c r="I56" s="52"/>
      <c r="J56" s="42"/>
      <c r="K56" s="42"/>
      <c r="L56" s="42"/>
      <c r="M56" s="42"/>
      <c r="N56" s="43" t="str">
        <f t="shared" si="16"/>
        <v/>
      </c>
      <c r="O56" s="347" t="str">
        <f t="shared" si="17"/>
        <v/>
      </c>
      <c r="P56" s="52"/>
      <c r="Q56" s="42"/>
      <c r="R56" s="42"/>
      <c r="S56" s="42"/>
      <c r="T56" s="42"/>
      <c r="U56" s="43" t="str">
        <f t="shared" si="18"/>
        <v/>
      </c>
      <c r="V56" s="347" t="str">
        <f t="shared" si="19"/>
        <v/>
      </c>
    </row>
    <row r="57" spans="1:22" ht="18" customHeight="1" x14ac:dyDescent="0.2">
      <c r="A57" s="76" t="str">
        <f>IF($C$9="Data Not Entered On Set-Up Worksheet","",IF(OR(VLOOKUP($C$9,County_Lookup,8,FALSE)="",VLOOKUP($C$9,County_Lookup,8,FALSE)=0),"",VLOOKUP($C$9,County_Lookup,8,FALSE)))</f>
        <v/>
      </c>
      <c r="B57" s="52"/>
      <c r="C57" s="42"/>
      <c r="D57" s="42"/>
      <c r="E57" s="42"/>
      <c r="F57" s="42"/>
      <c r="G57" s="43" t="str">
        <f t="shared" si="14"/>
        <v/>
      </c>
      <c r="H57" s="347" t="str">
        <f t="shared" si="15"/>
        <v/>
      </c>
      <c r="I57" s="52"/>
      <c r="J57" s="42"/>
      <c r="K57" s="42"/>
      <c r="L57" s="42"/>
      <c r="M57" s="42"/>
      <c r="N57" s="43" t="str">
        <f t="shared" si="16"/>
        <v/>
      </c>
      <c r="O57" s="347" t="str">
        <f t="shared" si="17"/>
        <v/>
      </c>
      <c r="P57" s="52"/>
      <c r="Q57" s="42"/>
      <c r="R57" s="42"/>
      <c r="S57" s="42"/>
      <c r="T57" s="42"/>
      <c r="U57" s="43" t="str">
        <f t="shared" si="18"/>
        <v/>
      </c>
      <c r="V57" s="347" t="str">
        <f t="shared" si="19"/>
        <v/>
      </c>
    </row>
    <row r="58" spans="1:22" ht="18" customHeight="1" x14ac:dyDescent="0.2">
      <c r="A58" s="77" t="str">
        <f>IF($C$9="Data Not Entered On Set-Up Worksheet","",IF(OR(VLOOKUP($C$9,County_Lookup,9,FALSE)="",VLOOKUP($C$9,County_Lookup,9,FALSE)=0),"",VLOOKUP($C$9,County_Lookup,9,FALSE)))</f>
        <v/>
      </c>
      <c r="B58" s="52"/>
      <c r="C58" s="42"/>
      <c r="D58" s="42"/>
      <c r="E58" s="42"/>
      <c r="F58" s="42"/>
      <c r="G58" s="43" t="str">
        <f t="shared" si="14"/>
        <v/>
      </c>
      <c r="H58" s="347" t="str">
        <f t="shared" si="15"/>
        <v/>
      </c>
      <c r="I58" s="52"/>
      <c r="J58" s="42"/>
      <c r="K58" s="42"/>
      <c r="L58" s="42"/>
      <c r="M58" s="42"/>
      <c r="N58" s="43" t="str">
        <f t="shared" si="16"/>
        <v/>
      </c>
      <c r="O58" s="347" t="str">
        <f t="shared" si="17"/>
        <v/>
      </c>
      <c r="P58" s="52"/>
      <c r="Q58" s="42"/>
      <c r="R58" s="42"/>
      <c r="S58" s="42"/>
      <c r="T58" s="42"/>
      <c r="U58" s="43" t="str">
        <f t="shared" si="18"/>
        <v/>
      </c>
      <c r="V58" s="347" t="str">
        <f t="shared" si="19"/>
        <v/>
      </c>
    </row>
    <row r="59" spans="1:22" ht="18" customHeight="1" x14ac:dyDescent="0.2">
      <c r="A59" s="77" t="str">
        <f>IF($C$9="Data Not Entered On Set-Up Worksheet","",IF(OR(VLOOKUP($C$9,County_Lookup,10,FALSE)="",VLOOKUP($C$9,County_Lookup,10,FALSE)=0),"",VLOOKUP($C$9,County_Lookup,10,FALSE)))</f>
        <v/>
      </c>
      <c r="B59" s="52"/>
      <c r="C59" s="42"/>
      <c r="D59" s="42"/>
      <c r="E59" s="42"/>
      <c r="F59" s="42"/>
      <c r="G59" s="43" t="str">
        <f t="shared" si="14"/>
        <v/>
      </c>
      <c r="H59" s="347" t="str">
        <f t="shared" si="15"/>
        <v/>
      </c>
      <c r="I59" s="52"/>
      <c r="J59" s="42"/>
      <c r="K59" s="42"/>
      <c r="L59" s="42"/>
      <c r="M59" s="42"/>
      <c r="N59" s="43" t="str">
        <f t="shared" si="16"/>
        <v/>
      </c>
      <c r="O59" s="347" t="str">
        <f t="shared" si="17"/>
        <v/>
      </c>
      <c r="P59" s="52"/>
      <c r="Q59" s="42"/>
      <c r="R59" s="42"/>
      <c r="S59" s="42"/>
      <c r="T59" s="42"/>
      <c r="U59" s="43" t="str">
        <f t="shared" si="18"/>
        <v/>
      </c>
      <c r="V59" s="347" t="str">
        <f t="shared" si="19"/>
        <v/>
      </c>
    </row>
    <row r="60" spans="1:22" ht="18" customHeight="1" x14ac:dyDescent="0.2">
      <c r="A60" s="77" t="str">
        <f>IF($C$9="Data Not Entered On Set-Up Worksheet","",IF(OR(VLOOKUP($C$9,County_Lookup,11,FALSE)="",VLOOKUP($C$9,County_Lookup,11,FALSE)=0),"",VLOOKUP($C$9,County_Lookup,11,FALSE)))</f>
        <v/>
      </c>
      <c r="B60" s="52"/>
      <c r="C60" s="42"/>
      <c r="D60" s="42"/>
      <c r="E60" s="42"/>
      <c r="F60" s="42"/>
      <c r="G60" s="43" t="str">
        <f t="shared" si="14"/>
        <v/>
      </c>
      <c r="H60" s="347" t="str">
        <f t="shared" si="15"/>
        <v/>
      </c>
      <c r="I60" s="52"/>
      <c r="J60" s="42"/>
      <c r="K60" s="42"/>
      <c r="L60" s="42"/>
      <c r="M60" s="42"/>
      <c r="N60" s="43" t="str">
        <f t="shared" si="16"/>
        <v/>
      </c>
      <c r="O60" s="347" t="str">
        <f t="shared" si="17"/>
        <v/>
      </c>
      <c r="P60" s="52"/>
      <c r="Q60" s="42"/>
      <c r="R60" s="42"/>
      <c r="S60" s="42"/>
      <c r="T60" s="42"/>
      <c r="U60" s="43" t="str">
        <f t="shared" si="18"/>
        <v/>
      </c>
      <c r="V60" s="347" t="str">
        <f t="shared" si="19"/>
        <v/>
      </c>
    </row>
    <row r="61" spans="1:22" ht="18" customHeight="1" x14ac:dyDescent="0.2">
      <c r="A61" s="77" t="str">
        <f>IF($C$9="Data Not Entered On Set-Up Worksheet","",IF(OR(VLOOKUP($C$9,County_Lookup,12,FALSE)="",VLOOKUP($C$9,County_Lookup,12,FALSE)=0),"",VLOOKUP($C$9,County_Lookup,12,FALSE)))</f>
        <v/>
      </c>
      <c r="B61" s="52"/>
      <c r="C61" s="42"/>
      <c r="D61" s="42"/>
      <c r="E61" s="42"/>
      <c r="F61" s="42"/>
      <c r="G61" s="43" t="str">
        <f t="shared" si="14"/>
        <v/>
      </c>
      <c r="H61" s="347" t="str">
        <f t="shared" si="15"/>
        <v/>
      </c>
      <c r="I61" s="52"/>
      <c r="J61" s="42"/>
      <c r="K61" s="42"/>
      <c r="L61" s="42"/>
      <c r="M61" s="42"/>
      <c r="N61" s="43" t="str">
        <f t="shared" si="16"/>
        <v/>
      </c>
      <c r="O61" s="347" t="str">
        <f t="shared" si="17"/>
        <v/>
      </c>
      <c r="P61" s="52"/>
      <c r="Q61" s="42"/>
      <c r="R61" s="42"/>
      <c r="S61" s="42"/>
      <c r="T61" s="42"/>
      <c r="U61" s="43" t="str">
        <f t="shared" si="18"/>
        <v/>
      </c>
      <c r="V61" s="347" t="str">
        <f t="shared" si="19"/>
        <v/>
      </c>
    </row>
    <row r="62" spans="1:22" ht="18" customHeight="1" x14ac:dyDescent="0.2">
      <c r="A62" s="77" t="str">
        <f>IF($C$9="Data Not Entered On Set-Up Worksheet","",IF(OR(VLOOKUP($C$9,County_Lookup,13,FALSE)="",VLOOKUP($C$9,County_Lookup,13,FALSE)=0),"",VLOOKUP($C$9,County_Lookup,13,FALSE)))</f>
        <v/>
      </c>
      <c r="B62" s="52"/>
      <c r="C62" s="42"/>
      <c r="D62" s="42"/>
      <c r="E62" s="42"/>
      <c r="F62" s="42"/>
      <c r="G62" s="43" t="str">
        <f t="shared" si="14"/>
        <v/>
      </c>
      <c r="H62" s="347" t="str">
        <f t="shared" si="15"/>
        <v/>
      </c>
      <c r="I62" s="52"/>
      <c r="J62" s="42"/>
      <c r="K62" s="42"/>
      <c r="L62" s="42"/>
      <c r="M62" s="42"/>
      <c r="N62" s="43" t="str">
        <f t="shared" si="16"/>
        <v/>
      </c>
      <c r="O62" s="347" t="str">
        <f t="shared" si="17"/>
        <v/>
      </c>
      <c r="P62" s="52"/>
      <c r="Q62" s="42"/>
      <c r="R62" s="42"/>
      <c r="S62" s="42"/>
      <c r="T62" s="42"/>
      <c r="U62" s="43" t="str">
        <f t="shared" si="18"/>
        <v/>
      </c>
      <c r="V62" s="347" t="str">
        <f t="shared" si="19"/>
        <v/>
      </c>
    </row>
    <row r="63" spans="1:22" ht="18" customHeight="1" x14ac:dyDescent="0.2">
      <c r="A63" s="77" t="str">
        <f>IF($C$9="Data Not Entered On Set-Up Worksheet","",IF(OR(VLOOKUP($C$9,County_Lookup,14,FALSE)="",VLOOKUP($C$9,County_Lookup,14,FALSE)=0),"",VLOOKUP($C$9,County_Lookup,14,FALSE)))</f>
        <v/>
      </c>
      <c r="B63" s="52"/>
      <c r="C63" s="42"/>
      <c r="D63" s="42"/>
      <c r="E63" s="42"/>
      <c r="F63" s="42"/>
      <c r="G63" s="43" t="str">
        <f t="shared" si="14"/>
        <v/>
      </c>
      <c r="H63" s="347" t="str">
        <f t="shared" si="15"/>
        <v/>
      </c>
      <c r="I63" s="52"/>
      <c r="J63" s="42"/>
      <c r="K63" s="42"/>
      <c r="L63" s="42"/>
      <c r="M63" s="42"/>
      <c r="N63" s="43" t="str">
        <f t="shared" si="16"/>
        <v/>
      </c>
      <c r="O63" s="347" t="str">
        <f t="shared" si="17"/>
        <v/>
      </c>
      <c r="P63" s="52"/>
      <c r="Q63" s="42"/>
      <c r="R63" s="42"/>
      <c r="S63" s="42"/>
      <c r="T63" s="42"/>
      <c r="U63" s="43" t="str">
        <f t="shared" si="18"/>
        <v/>
      </c>
      <c r="V63" s="347" t="str">
        <f t="shared" si="19"/>
        <v/>
      </c>
    </row>
    <row r="64" spans="1:22" ht="18" customHeight="1" x14ac:dyDescent="0.2">
      <c r="A64" s="76" t="str">
        <f>IF($C$9="Data Not Entered On Set-Up Worksheet","",IF(OR(VLOOKUP($C$9,County_Lookup,15,FALSE)="",VLOOKUP($C$9,County_Lookup,15,FALSE)=0),"",VLOOKUP($C$9,County_Lookup,15,FALSE)))</f>
        <v/>
      </c>
      <c r="B64" s="52"/>
      <c r="C64" s="42"/>
      <c r="D64" s="42"/>
      <c r="E64" s="42"/>
      <c r="F64" s="42"/>
      <c r="G64" s="43" t="str">
        <f t="shared" si="14"/>
        <v/>
      </c>
      <c r="H64" s="347" t="str">
        <f t="shared" si="15"/>
        <v/>
      </c>
      <c r="I64" s="52"/>
      <c r="J64" s="42"/>
      <c r="K64" s="42"/>
      <c r="L64" s="42"/>
      <c r="M64" s="42"/>
      <c r="N64" s="43" t="str">
        <f t="shared" si="16"/>
        <v/>
      </c>
      <c r="O64" s="347" t="str">
        <f t="shared" si="17"/>
        <v/>
      </c>
      <c r="P64" s="52"/>
      <c r="Q64" s="42"/>
      <c r="R64" s="42"/>
      <c r="S64" s="42"/>
      <c r="T64" s="42"/>
      <c r="U64" s="43" t="str">
        <f t="shared" si="18"/>
        <v/>
      </c>
      <c r="V64" s="347" t="str">
        <f t="shared" si="19"/>
        <v/>
      </c>
    </row>
    <row r="65" spans="1:22" ht="18" customHeight="1" x14ac:dyDescent="0.2">
      <c r="A65" s="77" t="str">
        <f>IF($C$9="Data Not Entered On Set-Up Worksheet","",IF(OR(VLOOKUP($C$9,County_Lookup,16,FALSE)="",VLOOKUP($C$9,County_Lookup,16,FALSE)=0),"",VLOOKUP($C$9,County_Lookup,16,FALSE)))</f>
        <v/>
      </c>
      <c r="B65" s="52"/>
      <c r="C65" s="42"/>
      <c r="D65" s="42"/>
      <c r="E65" s="42"/>
      <c r="F65" s="42"/>
      <c r="G65" s="43" t="str">
        <f t="shared" si="14"/>
        <v/>
      </c>
      <c r="H65" s="347" t="str">
        <f t="shared" si="15"/>
        <v/>
      </c>
      <c r="I65" s="52"/>
      <c r="J65" s="42"/>
      <c r="K65" s="42"/>
      <c r="L65" s="42"/>
      <c r="M65" s="42"/>
      <c r="N65" s="43" t="str">
        <f t="shared" si="16"/>
        <v/>
      </c>
      <c r="O65" s="347" t="str">
        <f t="shared" si="17"/>
        <v/>
      </c>
      <c r="P65" s="52"/>
      <c r="Q65" s="42"/>
      <c r="R65" s="42"/>
      <c r="S65" s="42"/>
      <c r="T65" s="42"/>
      <c r="U65" s="43" t="str">
        <f t="shared" si="18"/>
        <v/>
      </c>
      <c r="V65" s="347" t="str">
        <f t="shared" si="19"/>
        <v/>
      </c>
    </row>
    <row r="66" spans="1:22" ht="18" customHeight="1" x14ac:dyDescent="0.2">
      <c r="A66" s="77" t="str">
        <f>IF($C$9="Data Not Entered On Set-Up Worksheet","",IF(OR(VLOOKUP($C$9,County_Lookup,17,FALSE)="",VLOOKUP($C$9,County_Lookup,17,FALSE)=0),"",VLOOKUP($C$9,County_Lookup,17,FALSE)))</f>
        <v/>
      </c>
      <c r="B66" s="52"/>
      <c r="C66" s="42"/>
      <c r="D66" s="42"/>
      <c r="E66" s="42"/>
      <c r="F66" s="42"/>
      <c r="G66" s="43" t="str">
        <f t="shared" si="14"/>
        <v/>
      </c>
      <c r="H66" s="347" t="str">
        <f t="shared" si="15"/>
        <v/>
      </c>
      <c r="I66" s="52"/>
      <c r="J66" s="42"/>
      <c r="K66" s="42"/>
      <c r="L66" s="42"/>
      <c r="M66" s="42"/>
      <c r="N66" s="43" t="str">
        <f t="shared" si="16"/>
        <v/>
      </c>
      <c r="O66" s="347" t="str">
        <f t="shared" si="17"/>
        <v/>
      </c>
      <c r="P66" s="52"/>
      <c r="Q66" s="42"/>
      <c r="R66" s="42"/>
      <c r="S66" s="42"/>
      <c r="T66" s="42"/>
      <c r="U66" s="43" t="str">
        <f t="shared" si="18"/>
        <v/>
      </c>
      <c r="V66" s="347" t="str">
        <f t="shared" si="19"/>
        <v/>
      </c>
    </row>
    <row r="67" spans="1:22" ht="18" customHeight="1" x14ac:dyDescent="0.2">
      <c r="A67" s="77" t="str">
        <f>IF($C$9="Data Not Entered On Set-Up Worksheet","",IF(OR(VLOOKUP($C$9,County_Lookup,18,FALSE)="",VLOOKUP($C$9,County_Lookup,18,FALSE)=0),"",VLOOKUP($C$9,County_Lookup,18,FALSE)))</f>
        <v/>
      </c>
      <c r="B67" s="52"/>
      <c r="C67" s="42"/>
      <c r="D67" s="42"/>
      <c r="E67" s="42"/>
      <c r="F67" s="42"/>
      <c r="G67" s="43" t="str">
        <f t="shared" si="14"/>
        <v/>
      </c>
      <c r="H67" s="347" t="str">
        <f t="shared" si="15"/>
        <v/>
      </c>
      <c r="I67" s="52"/>
      <c r="J67" s="42"/>
      <c r="K67" s="42"/>
      <c r="L67" s="42"/>
      <c r="M67" s="42"/>
      <c r="N67" s="43" t="str">
        <f t="shared" si="16"/>
        <v/>
      </c>
      <c r="O67" s="347" t="str">
        <f t="shared" si="17"/>
        <v/>
      </c>
      <c r="P67" s="52"/>
      <c r="Q67" s="42"/>
      <c r="R67" s="42"/>
      <c r="S67" s="42"/>
      <c r="T67" s="42"/>
      <c r="U67" s="43" t="str">
        <f t="shared" si="18"/>
        <v/>
      </c>
      <c r="V67" s="347" t="str">
        <f t="shared" si="19"/>
        <v/>
      </c>
    </row>
    <row r="68" spans="1:22" ht="18" customHeight="1" x14ac:dyDescent="0.2">
      <c r="A68" s="77" t="str">
        <f>IF($C$9="Data Not Entered On Set-Up Worksheet","",IF(OR(VLOOKUP($C$9,County_Lookup,19,FALSE)="",VLOOKUP($C$9,County_Lookup,19,FALSE)=0),"",VLOOKUP($C$9,County_Lookup,19,FALSE)))</f>
        <v/>
      </c>
      <c r="B68" s="52"/>
      <c r="C68" s="42"/>
      <c r="D68" s="42"/>
      <c r="E68" s="42"/>
      <c r="F68" s="42"/>
      <c r="G68" s="43" t="str">
        <f t="shared" si="14"/>
        <v/>
      </c>
      <c r="H68" s="347" t="str">
        <f t="shared" si="15"/>
        <v/>
      </c>
      <c r="I68" s="52"/>
      <c r="J68" s="42"/>
      <c r="K68" s="42"/>
      <c r="L68" s="42"/>
      <c r="M68" s="42"/>
      <c r="N68" s="43" t="str">
        <f t="shared" si="16"/>
        <v/>
      </c>
      <c r="O68" s="347" t="str">
        <f t="shared" si="17"/>
        <v/>
      </c>
      <c r="P68" s="52"/>
      <c r="Q68" s="42"/>
      <c r="R68" s="42"/>
      <c r="S68" s="42"/>
      <c r="T68" s="42"/>
      <c r="U68" s="43" t="str">
        <f t="shared" si="18"/>
        <v/>
      </c>
      <c r="V68" s="347" t="str">
        <f t="shared" si="19"/>
        <v/>
      </c>
    </row>
    <row r="69" spans="1:22" ht="18" customHeight="1" x14ac:dyDescent="0.2">
      <c r="A69" s="77" t="str">
        <f>IF($C$9="Data Not Entered On Set-Up Worksheet","",IF(OR(VLOOKUP($C$9,County_Lookup,20,FALSE)="",VLOOKUP($C$9,County_Lookup,20,FALSE)=0),"",VLOOKUP($C$9,County_Lookup,20,FALSE)))</f>
        <v/>
      </c>
      <c r="B69" s="52"/>
      <c r="C69" s="42"/>
      <c r="D69" s="42"/>
      <c r="E69" s="42"/>
      <c r="F69" s="42"/>
      <c r="G69" s="43" t="str">
        <f t="shared" si="14"/>
        <v/>
      </c>
      <c r="H69" s="347" t="str">
        <f t="shared" si="15"/>
        <v/>
      </c>
      <c r="I69" s="52"/>
      <c r="J69" s="42"/>
      <c r="K69" s="42"/>
      <c r="L69" s="42"/>
      <c r="M69" s="42"/>
      <c r="N69" s="43" t="str">
        <f t="shared" si="16"/>
        <v/>
      </c>
      <c r="O69" s="347" t="str">
        <f t="shared" si="17"/>
        <v/>
      </c>
      <c r="P69" s="52"/>
      <c r="Q69" s="42"/>
      <c r="R69" s="42"/>
      <c r="S69" s="42"/>
      <c r="T69" s="42"/>
      <c r="U69" s="43" t="str">
        <f t="shared" si="18"/>
        <v/>
      </c>
      <c r="V69" s="347" t="str">
        <f t="shared" si="19"/>
        <v/>
      </c>
    </row>
    <row r="70" spans="1:22" ht="18" customHeight="1" x14ac:dyDescent="0.2">
      <c r="A70" s="77" t="str">
        <f>IF($C$9="Data Not Entered On Set-Up Worksheet","",IF(OR(VLOOKUP($C$9,County_Lookup,21,FALSE)="",VLOOKUP($C$9,County_Lookup,21,FALSE)=0),"",VLOOKUP($C$9,County_Lookup,21,FALSE)))</f>
        <v/>
      </c>
      <c r="B70" s="52"/>
      <c r="C70" s="42"/>
      <c r="D70" s="42"/>
      <c r="E70" s="42"/>
      <c r="F70" s="42"/>
      <c r="G70" s="43" t="str">
        <f t="shared" si="14"/>
        <v/>
      </c>
      <c r="H70" s="347" t="str">
        <f t="shared" si="15"/>
        <v/>
      </c>
      <c r="I70" s="52"/>
      <c r="J70" s="42"/>
      <c r="K70" s="42"/>
      <c r="L70" s="42"/>
      <c r="M70" s="42"/>
      <c r="N70" s="43" t="str">
        <f t="shared" si="16"/>
        <v/>
      </c>
      <c r="O70" s="347" t="str">
        <f t="shared" si="17"/>
        <v/>
      </c>
      <c r="P70" s="52"/>
      <c r="Q70" s="42"/>
      <c r="R70" s="42"/>
      <c r="S70" s="42"/>
      <c r="T70" s="42"/>
      <c r="U70" s="43" t="str">
        <f t="shared" si="18"/>
        <v/>
      </c>
      <c r="V70" s="347" t="str">
        <f t="shared" si="19"/>
        <v/>
      </c>
    </row>
    <row r="71" spans="1:22" ht="18" customHeight="1" x14ac:dyDescent="0.2">
      <c r="A71" s="76" t="str">
        <f>IF($C$9="Data Not Entered On Set-Up Worksheet","",IF(OR(VLOOKUP($C$9,County_Lookup,22,FALSE)="",VLOOKUP($C$9,County_Lookup,22,FALSE)=0),"",VLOOKUP($C$9,County_Lookup,22,FALSE)))</f>
        <v/>
      </c>
      <c r="B71" s="52"/>
      <c r="C71" s="42"/>
      <c r="D71" s="42"/>
      <c r="E71" s="42"/>
      <c r="F71" s="42"/>
      <c r="G71" s="43" t="str">
        <f t="shared" si="14"/>
        <v/>
      </c>
      <c r="H71" s="347" t="str">
        <f t="shared" si="15"/>
        <v/>
      </c>
      <c r="I71" s="52"/>
      <c r="J71" s="42"/>
      <c r="K71" s="42"/>
      <c r="L71" s="42"/>
      <c r="M71" s="42"/>
      <c r="N71" s="43" t="str">
        <f t="shared" si="16"/>
        <v/>
      </c>
      <c r="O71" s="347" t="str">
        <f t="shared" si="17"/>
        <v/>
      </c>
      <c r="P71" s="52"/>
      <c r="Q71" s="42"/>
      <c r="R71" s="42"/>
      <c r="S71" s="42"/>
      <c r="T71" s="42"/>
      <c r="U71" s="43" t="str">
        <f t="shared" si="18"/>
        <v/>
      </c>
      <c r="V71" s="347" t="str">
        <f t="shared" si="19"/>
        <v/>
      </c>
    </row>
    <row r="72" spans="1:22" ht="18" customHeight="1" x14ac:dyDescent="0.2">
      <c r="A72" s="77" t="str">
        <f>IF($C$9="Data Not Entered On Set-Up Worksheet","",IF(OR(VLOOKUP($C$9,County_Lookup,23,FALSE)="",VLOOKUP($C$9,County_Lookup,23,FALSE)=0),"",VLOOKUP($C$9,County_Lookup,23,FALSE)))</f>
        <v/>
      </c>
      <c r="B72" s="52"/>
      <c r="C72" s="42"/>
      <c r="D72" s="42"/>
      <c r="E72" s="42"/>
      <c r="F72" s="42"/>
      <c r="G72" s="43" t="str">
        <f t="shared" si="14"/>
        <v/>
      </c>
      <c r="H72" s="347" t="str">
        <f t="shared" si="15"/>
        <v/>
      </c>
      <c r="I72" s="52"/>
      <c r="J72" s="42"/>
      <c r="K72" s="42"/>
      <c r="L72" s="42"/>
      <c r="M72" s="42"/>
      <c r="N72" s="43" t="str">
        <f t="shared" si="16"/>
        <v/>
      </c>
      <c r="O72" s="347" t="str">
        <f t="shared" si="17"/>
        <v/>
      </c>
      <c r="P72" s="52"/>
      <c r="Q72" s="42"/>
      <c r="R72" s="42"/>
      <c r="S72" s="42"/>
      <c r="T72" s="42"/>
      <c r="U72" s="43" t="str">
        <f t="shared" si="18"/>
        <v/>
      </c>
      <c r="V72" s="347" t="str">
        <f t="shared" si="19"/>
        <v/>
      </c>
    </row>
    <row r="73" spans="1:22" ht="18" customHeight="1" x14ac:dyDescent="0.2">
      <c r="A73" s="77" t="str">
        <f>IF($C$9="Data Not Entered On Set-Up Worksheet","",IF(OR(VLOOKUP($C$9,County_Lookup,24,FALSE)="",VLOOKUP($C$9,County_Lookup,24,FALSE)=0),"",VLOOKUP($C$9,County_Lookup,24,FALSE)))</f>
        <v/>
      </c>
      <c r="B73" s="52"/>
      <c r="C73" s="42"/>
      <c r="D73" s="42"/>
      <c r="E73" s="42"/>
      <c r="F73" s="42"/>
      <c r="G73" s="43" t="str">
        <f t="shared" ref="G73:G75" si="20">IF($A73="","",IF($F73=0,0,B73/$F73))</f>
        <v/>
      </c>
      <c r="H73" s="347" t="str">
        <f t="shared" ref="H73:H75" si="21">IF($A73="","",IF($F73=0,0,C73/$F73))</f>
        <v/>
      </c>
      <c r="I73" s="52"/>
      <c r="J73" s="42"/>
      <c r="K73" s="42"/>
      <c r="L73" s="42"/>
      <c r="M73" s="42"/>
      <c r="N73" s="43" t="str">
        <f t="shared" ref="N73:N75" si="22">IF($A73="","",IF($M73=0,0,I73/$M73))</f>
        <v/>
      </c>
      <c r="O73" s="347" t="str">
        <f t="shared" ref="O73:O75" si="23">IF($A73="","",IF($M73=0,0,J73/$M73))</f>
        <v/>
      </c>
      <c r="P73" s="52"/>
      <c r="Q73" s="42"/>
      <c r="R73" s="42"/>
      <c r="S73" s="42"/>
      <c r="T73" s="42"/>
      <c r="U73" s="43" t="str">
        <f t="shared" ref="U73:U75" si="24">IF($A73="","",IF($T73=0,0,P73/$T73))</f>
        <v/>
      </c>
      <c r="V73" s="347" t="str">
        <f t="shared" ref="V73:V75" si="25">IF($A73="","",IF($T73=0,0,Q73/$T73))</f>
        <v/>
      </c>
    </row>
    <row r="74" spans="1:22" ht="18" customHeight="1" x14ac:dyDescent="0.2">
      <c r="A74" s="77" t="str">
        <f>IF($C$9="Data Not Entered On Set-Up Worksheet","",IF(OR(VLOOKUP($C$9,County_Lookup,25,FALSE)="",VLOOKUP($C$9,County_Lookup,25,FALSE)=0),"",VLOOKUP($C$9,County_Lookup,25,FALSE)))</f>
        <v/>
      </c>
      <c r="B74" s="52"/>
      <c r="C74" s="42"/>
      <c r="D74" s="42"/>
      <c r="E74" s="42"/>
      <c r="F74" s="42"/>
      <c r="G74" s="43" t="str">
        <f t="shared" si="20"/>
        <v/>
      </c>
      <c r="H74" s="347" t="str">
        <f t="shared" si="21"/>
        <v/>
      </c>
      <c r="I74" s="52"/>
      <c r="J74" s="42"/>
      <c r="K74" s="42"/>
      <c r="L74" s="42"/>
      <c r="M74" s="42"/>
      <c r="N74" s="43" t="str">
        <f t="shared" si="22"/>
        <v/>
      </c>
      <c r="O74" s="347" t="str">
        <f t="shared" si="23"/>
        <v/>
      </c>
      <c r="P74" s="52"/>
      <c r="Q74" s="42"/>
      <c r="R74" s="42"/>
      <c r="S74" s="42"/>
      <c r="T74" s="42"/>
      <c r="U74" s="43" t="str">
        <f t="shared" si="24"/>
        <v/>
      </c>
      <c r="V74" s="347" t="str">
        <f t="shared" si="25"/>
        <v/>
      </c>
    </row>
    <row r="75" spans="1:22" ht="18" customHeight="1" x14ac:dyDescent="0.2">
      <c r="A75" s="77" t="str">
        <f>IF($C$9="Data Not Entered On Set-Up Worksheet","",IF(OR(VLOOKUP($C$9,County_Lookup,26,FALSE)="",VLOOKUP($C$9,County_Lookup,26,FALSE)=0),"",VLOOKUP($C$9,County_Lookup,26,FALSE)))</f>
        <v/>
      </c>
      <c r="B75" s="52"/>
      <c r="C75" s="42"/>
      <c r="D75" s="42"/>
      <c r="E75" s="42"/>
      <c r="F75" s="42"/>
      <c r="G75" s="43" t="str">
        <f t="shared" si="20"/>
        <v/>
      </c>
      <c r="H75" s="347" t="str">
        <f t="shared" si="21"/>
        <v/>
      </c>
      <c r="I75" s="52"/>
      <c r="J75" s="42"/>
      <c r="K75" s="42"/>
      <c r="L75" s="42"/>
      <c r="M75" s="42"/>
      <c r="N75" s="43" t="str">
        <f t="shared" si="22"/>
        <v/>
      </c>
      <c r="O75" s="347" t="str">
        <f t="shared" si="23"/>
        <v/>
      </c>
      <c r="P75" s="52"/>
      <c r="Q75" s="42"/>
      <c r="R75" s="42"/>
      <c r="S75" s="42"/>
      <c r="T75" s="42"/>
      <c r="U75" s="43" t="str">
        <f t="shared" si="24"/>
        <v/>
      </c>
      <c r="V75" s="347" t="str">
        <f t="shared" si="25"/>
        <v/>
      </c>
    </row>
    <row r="76" spans="1:22" ht="18" customHeight="1" x14ac:dyDescent="0.2">
      <c r="A76" s="77" t="str">
        <f>IF($C$9="Data Not Entered On Set-Up Worksheet","",IF(OR(VLOOKUP($C$9,County_Lookup,27,FALSE)="",VLOOKUP($C$9,County_Lookup,27,FALSE)=0),"",VLOOKUP($C$9,County_Lookup,27,FALSE)))</f>
        <v/>
      </c>
      <c r="B76" s="52"/>
      <c r="C76" s="42"/>
      <c r="D76" s="42"/>
      <c r="E76" s="42"/>
      <c r="F76" s="42"/>
      <c r="G76" s="43" t="str">
        <f t="shared" si="14"/>
        <v/>
      </c>
      <c r="H76" s="347" t="str">
        <f t="shared" si="15"/>
        <v/>
      </c>
      <c r="I76" s="52"/>
      <c r="J76" s="42"/>
      <c r="K76" s="42"/>
      <c r="L76" s="42"/>
      <c r="M76" s="42"/>
      <c r="N76" s="43" t="str">
        <f t="shared" si="16"/>
        <v/>
      </c>
      <c r="O76" s="347" t="str">
        <f t="shared" si="17"/>
        <v/>
      </c>
      <c r="P76" s="52"/>
      <c r="Q76" s="42"/>
      <c r="R76" s="42"/>
      <c r="S76" s="42"/>
      <c r="T76" s="42"/>
      <c r="U76" s="43" t="str">
        <f t="shared" si="18"/>
        <v/>
      </c>
      <c r="V76" s="347" t="str">
        <f t="shared" si="19"/>
        <v/>
      </c>
    </row>
    <row r="77" spans="1:22" ht="18" customHeight="1" thickBot="1" x14ac:dyDescent="0.25">
      <c r="A77" s="78" t="s">
        <v>0</v>
      </c>
      <c r="B77" s="348">
        <f>SUM(B51:B76)</f>
        <v>0</v>
      </c>
      <c r="C77" s="349">
        <f t="shared" ref="C77" si="26">SUM(C51:C76)</f>
        <v>0</v>
      </c>
      <c r="D77" s="349">
        <f t="shared" ref="D77" si="27">SUM(D51:D76)</f>
        <v>0</v>
      </c>
      <c r="E77" s="349">
        <f t="shared" ref="E77" si="28">SUM(E51:E76)</f>
        <v>0</v>
      </c>
      <c r="F77" s="349">
        <f t="shared" ref="F77" si="29">SUM(F51:F76)</f>
        <v>0</v>
      </c>
      <c r="G77" s="353">
        <f t="shared" si="14"/>
        <v>0</v>
      </c>
      <c r="H77" s="354">
        <f t="shared" si="15"/>
        <v>0</v>
      </c>
      <c r="I77" s="348">
        <f>SUM(I51:I76)</f>
        <v>0</v>
      </c>
      <c r="J77" s="349">
        <f t="shared" ref="J77" si="30">SUM(J51:J76)</f>
        <v>0</v>
      </c>
      <c r="K77" s="349">
        <f t="shared" ref="K77" si="31">SUM(K51:K76)</f>
        <v>0</v>
      </c>
      <c r="L77" s="349">
        <f t="shared" ref="L77" si="32">SUM(L51:L76)</f>
        <v>0</v>
      </c>
      <c r="M77" s="349">
        <f t="shared" ref="M77" si="33">SUM(M51:M76)</f>
        <v>0</v>
      </c>
      <c r="N77" s="353">
        <f t="shared" si="16"/>
        <v>0</v>
      </c>
      <c r="O77" s="354">
        <f t="shared" si="17"/>
        <v>0</v>
      </c>
      <c r="P77" s="348">
        <f>SUM(P51:P76)</f>
        <v>0</v>
      </c>
      <c r="Q77" s="349">
        <f t="shared" ref="Q77" si="34">SUM(Q51:Q76)</f>
        <v>0</v>
      </c>
      <c r="R77" s="349">
        <f t="shared" ref="R77" si="35">SUM(R51:R76)</f>
        <v>0</v>
      </c>
      <c r="S77" s="349">
        <f t="shared" ref="S77" si="36">SUM(S51:S76)</f>
        <v>0</v>
      </c>
      <c r="T77" s="349">
        <f t="shared" ref="T77" si="37">SUM(T51:T76)</f>
        <v>0</v>
      </c>
      <c r="U77" s="353">
        <f t="shared" si="18"/>
        <v>0</v>
      </c>
      <c r="V77" s="354">
        <f t="shared" si="19"/>
        <v>0</v>
      </c>
    </row>
    <row r="78" spans="1:22" x14ac:dyDescent="0.2">
      <c r="B78" s="22" t="s">
        <v>402</v>
      </c>
      <c r="I78" s="22" t="s">
        <v>402</v>
      </c>
      <c r="P78" s="22" t="s">
        <v>402</v>
      </c>
    </row>
    <row r="79" spans="1:22" ht="20.100000000000001" customHeight="1" x14ac:dyDescent="0.2">
      <c r="A79" s="312" t="s">
        <v>410</v>
      </c>
      <c r="B79" s="243" t="s">
        <v>413</v>
      </c>
      <c r="C79" s="243"/>
      <c r="D79" s="243"/>
      <c r="E79" s="243"/>
      <c r="F79" s="243"/>
      <c r="G79" s="243"/>
      <c r="H79" s="243"/>
      <c r="I79" s="243" t="s">
        <v>413</v>
      </c>
      <c r="J79" s="243"/>
      <c r="K79" s="243"/>
      <c r="L79" s="243"/>
      <c r="M79" s="243"/>
      <c r="N79" s="243"/>
      <c r="O79" s="243"/>
      <c r="P79" s="243" t="s">
        <v>413</v>
      </c>
      <c r="Q79" s="243"/>
      <c r="R79" s="243"/>
      <c r="S79" s="243"/>
      <c r="T79" s="243"/>
      <c r="U79" s="243"/>
      <c r="V79" s="243"/>
    </row>
    <row r="80" spans="1:22" ht="13.5" thickBot="1" x14ac:dyDescent="0.25"/>
    <row r="81" spans="1:22" ht="18" customHeight="1" thickBot="1" x14ac:dyDescent="0.25">
      <c r="A81" s="226" t="s">
        <v>327</v>
      </c>
      <c r="B81" s="234" t="s">
        <v>39</v>
      </c>
      <c r="C81" s="235"/>
      <c r="D81" s="235"/>
      <c r="E81" s="235"/>
      <c r="F81" s="235"/>
      <c r="G81" s="235"/>
      <c r="H81" s="236"/>
      <c r="I81" s="63" t="s">
        <v>241</v>
      </c>
      <c r="J81" s="231"/>
      <c r="K81" s="231"/>
      <c r="L81" s="231"/>
      <c r="M81" s="231"/>
      <c r="N81" s="231"/>
      <c r="O81" s="232"/>
      <c r="P81" s="234" t="s">
        <v>243</v>
      </c>
      <c r="Q81" s="235"/>
      <c r="R81" s="235"/>
      <c r="S81" s="235"/>
      <c r="T81" s="235"/>
      <c r="U81" s="235"/>
      <c r="V81" s="236"/>
    </row>
    <row r="82" spans="1:22" ht="13.5" thickBot="1" x14ac:dyDescent="0.25">
      <c r="A82" s="30"/>
      <c r="B82" s="37" t="s">
        <v>3</v>
      </c>
      <c r="C82" s="37" t="s">
        <v>3</v>
      </c>
      <c r="D82" s="37"/>
      <c r="E82" s="37"/>
      <c r="F82" s="37" t="s">
        <v>4</v>
      </c>
      <c r="G82" s="37" t="s">
        <v>8</v>
      </c>
      <c r="H82" s="37" t="s">
        <v>8</v>
      </c>
      <c r="I82" s="37" t="s">
        <v>3</v>
      </c>
      <c r="J82" s="37" t="s">
        <v>3</v>
      </c>
      <c r="K82" s="37"/>
      <c r="L82" s="37"/>
      <c r="M82" s="37" t="s">
        <v>4</v>
      </c>
      <c r="N82" s="37" t="s">
        <v>8</v>
      </c>
      <c r="O82" s="37" t="s">
        <v>8</v>
      </c>
      <c r="P82" s="37" t="s">
        <v>3</v>
      </c>
      <c r="Q82" s="37" t="s">
        <v>3</v>
      </c>
      <c r="R82" s="37"/>
      <c r="S82" s="37"/>
      <c r="T82" s="37" t="s">
        <v>4</v>
      </c>
      <c r="U82" s="37" t="s">
        <v>8</v>
      </c>
      <c r="V82" s="37" t="s">
        <v>8</v>
      </c>
    </row>
    <row r="83" spans="1:22" ht="51" x14ac:dyDescent="0.2">
      <c r="A83" s="75" t="s">
        <v>43</v>
      </c>
      <c r="B83" s="350" t="s">
        <v>35</v>
      </c>
      <c r="C83" s="351" t="s">
        <v>33</v>
      </c>
      <c r="D83" s="351" t="s">
        <v>404</v>
      </c>
      <c r="E83" s="351" t="s">
        <v>405</v>
      </c>
      <c r="F83" s="351" t="s">
        <v>30</v>
      </c>
      <c r="G83" s="351" t="s">
        <v>36</v>
      </c>
      <c r="H83" s="352" t="s">
        <v>34</v>
      </c>
      <c r="I83" s="344" t="s">
        <v>35</v>
      </c>
      <c r="J83" s="345" t="s">
        <v>33</v>
      </c>
      <c r="K83" s="345" t="s">
        <v>404</v>
      </c>
      <c r="L83" s="345" t="s">
        <v>405</v>
      </c>
      <c r="M83" s="345" t="s">
        <v>30</v>
      </c>
      <c r="N83" s="345" t="s">
        <v>36</v>
      </c>
      <c r="O83" s="346" t="s">
        <v>34</v>
      </c>
      <c r="P83" s="350" t="s">
        <v>35</v>
      </c>
      <c r="Q83" s="351" t="s">
        <v>33</v>
      </c>
      <c r="R83" s="351" t="s">
        <v>404</v>
      </c>
      <c r="S83" s="351" t="s">
        <v>405</v>
      </c>
      <c r="T83" s="351" t="s">
        <v>30</v>
      </c>
      <c r="U83" s="351" t="s">
        <v>36</v>
      </c>
      <c r="V83" s="352" t="s">
        <v>34</v>
      </c>
    </row>
    <row r="84" spans="1:22" ht="18" customHeight="1" x14ac:dyDescent="0.2">
      <c r="A84" s="76" t="str">
        <f>IF($C$9="Data Not Entered On Set-Up Worksheet","",IF(OR(VLOOKUP($C$9,County_Lookup,2,FALSE)="",VLOOKUP($C$9,County_Lookup,2,FALSE)=0),"",VLOOKUP($C$9,County_Lookup,2,FALSE)))</f>
        <v/>
      </c>
      <c r="B84" s="52"/>
      <c r="C84" s="42"/>
      <c r="D84" s="42"/>
      <c r="E84" s="42"/>
      <c r="F84" s="42"/>
      <c r="G84" s="43" t="str">
        <f>IF($A84="","",IF($F84=0,0,B84/$F84))</f>
        <v/>
      </c>
      <c r="H84" s="347" t="str">
        <f>IF($A84="","",IF($F84=0,0,C84/$F84))</f>
        <v/>
      </c>
      <c r="I84" s="52"/>
      <c r="J84" s="42"/>
      <c r="K84" s="42"/>
      <c r="L84" s="42"/>
      <c r="M84" s="42"/>
      <c r="N84" s="43" t="str">
        <f>IF($A84="","",IF($M84=0,0,I84/$M84))</f>
        <v/>
      </c>
      <c r="O84" s="347" t="str">
        <f>IF($A84="","",IF($M84=0,0,J84/$M84))</f>
        <v/>
      </c>
      <c r="P84" s="52"/>
      <c r="Q84" s="42"/>
      <c r="R84" s="42"/>
      <c r="S84" s="42"/>
      <c r="T84" s="42"/>
      <c r="U84" s="43" t="str">
        <f>IF($A84="","",IF($T84=0,0,P84/$T84))</f>
        <v/>
      </c>
      <c r="V84" s="347" t="str">
        <f>IF($A84="","",IF($T84=0,0,Q84/$T84))</f>
        <v/>
      </c>
    </row>
    <row r="85" spans="1:22" ht="18" customHeight="1" x14ac:dyDescent="0.2">
      <c r="A85" s="77" t="str">
        <f>IF($C$9="Data Not Entered On Set-Up Worksheet","",IF(OR(VLOOKUP($C$9,County_Lookup,3,FALSE)="",VLOOKUP($C$9,County_Lookup,3,FALSE)=0),"",VLOOKUP($C$9,County_Lookup,3,FALSE)))</f>
        <v/>
      </c>
      <c r="B85" s="52"/>
      <c r="C85" s="42"/>
      <c r="D85" s="42"/>
      <c r="E85" s="42"/>
      <c r="F85" s="42"/>
      <c r="G85" s="43" t="str">
        <f t="shared" ref="G85:G110" si="38">IF($A85="","",IF($F85=0,0,B85/$F85))</f>
        <v/>
      </c>
      <c r="H85" s="347" t="str">
        <f t="shared" ref="H85:H110" si="39">IF($A85="","",IF($F85=0,0,C85/$F85))</f>
        <v/>
      </c>
      <c r="I85" s="52"/>
      <c r="J85" s="42"/>
      <c r="K85" s="42"/>
      <c r="L85" s="42"/>
      <c r="M85" s="42"/>
      <c r="N85" s="43" t="str">
        <f t="shared" ref="N85:N110" si="40">IF($A85="","",IF($M85=0,0,I85/$M85))</f>
        <v/>
      </c>
      <c r="O85" s="347" t="str">
        <f t="shared" ref="O85:O110" si="41">IF($A85="","",IF($M85=0,0,J85/$M85))</f>
        <v/>
      </c>
      <c r="P85" s="52"/>
      <c r="Q85" s="42"/>
      <c r="R85" s="42"/>
      <c r="S85" s="42"/>
      <c r="T85" s="42"/>
      <c r="U85" s="43" t="str">
        <f t="shared" ref="U85:U110" si="42">IF($A85="","",IF($T85=0,0,P85/$T85))</f>
        <v/>
      </c>
      <c r="V85" s="347" t="str">
        <f t="shared" ref="V85:V110" si="43">IF($A85="","",IF($T85=0,0,Q85/$T85))</f>
        <v/>
      </c>
    </row>
    <row r="86" spans="1:22" ht="18" customHeight="1" x14ac:dyDescent="0.2">
      <c r="A86" s="77" t="str">
        <f>IF($C$9="Data Not Entered On Set-Up Worksheet","",IF(OR(VLOOKUP($C$9,County_Lookup,4,FALSE)="",VLOOKUP($C$9,County_Lookup,4,FALSE)=0),"",VLOOKUP($C$9,County_Lookup,4,FALSE)))</f>
        <v/>
      </c>
      <c r="B86" s="52"/>
      <c r="C86" s="42"/>
      <c r="D86" s="42"/>
      <c r="E86" s="42"/>
      <c r="F86" s="42"/>
      <c r="G86" s="43" t="str">
        <f t="shared" si="38"/>
        <v/>
      </c>
      <c r="H86" s="347" t="str">
        <f t="shared" si="39"/>
        <v/>
      </c>
      <c r="I86" s="52"/>
      <c r="J86" s="42"/>
      <c r="K86" s="42"/>
      <c r="L86" s="42"/>
      <c r="M86" s="42"/>
      <c r="N86" s="43" t="str">
        <f t="shared" si="40"/>
        <v/>
      </c>
      <c r="O86" s="347" t="str">
        <f t="shared" si="41"/>
        <v/>
      </c>
      <c r="P86" s="52"/>
      <c r="Q86" s="42"/>
      <c r="R86" s="42"/>
      <c r="S86" s="42"/>
      <c r="T86" s="42"/>
      <c r="U86" s="43" t="str">
        <f t="shared" si="42"/>
        <v/>
      </c>
      <c r="V86" s="347" t="str">
        <f t="shared" si="43"/>
        <v/>
      </c>
    </row>
    <row r="87" spans="1:22" ht="18" customHeight="1" x14ac:dyDescent="0.2">
      <c r="A87" s="77" t="str">
        <f>IF($C$9="Data Not Entered On Set-Up Worksheet","",IF(OR(VLOOKUP($C$9,County_Lookup,5,FALSE)="",VLOOKUP($C$9,County_Lookup,5,FALSE)=0),"",VLOOKUP($C$9,County_Lookup,5,FALSE)))</f>
        <v/>
      </c>
      <c r="B87" s="52"/>
      <c r="C87" s="42"/>
      <c r="D87" s="42"/>
      <c r="E87" s="42"/>
      <c r="F87" s="42"/>
      <c r="G87" s="43" t="str">
        <f t="shared" si="38"/>
        <v/>
      </c>
      <c r="H87" s="347" t="str">
        <f t="shared" si="39"/>
        <v/>
      </c>
      <c r="I87" s="52"/>
      <c r="J87" s="42"/>
      <c r="K87" s="42"/>
      <c r="L87" s="42"/>
      <c r="M87" s="42"/>
      <c r="N87" s="43" t="str">
        <f t="shared" si="40"/>
        <v/>
      </c>
      <c r="O87" s="347" t="str">
        <f t="shared" si="41"/>
        <v/>
      </c>
      <c r="P87" s="52"/>
      <c r="Q87" s="42"/>
      <c r="R87" s="42"/>
      <c r="S87" s="42"/>
      <c r="T87" s="42"/>
      <c r="U87" s="43" t="str">
        <f t="shared" si="42"/>
        <v/>
      </c>
      <c r="V87" s="347" t="str">
        <f t="shared" si="43"/>
        <v/>
      </c>
    </row>
    <row r="88" spans="1:22" ht="18" customHeight="1" x14ac:dyDescent="0.2">
      <c r="A88" s="77" t="str">
        <f>IF($C$9="Data Not Entered On Set-Up Worksheet","",IF(OR(VLOOKUP($C$9,County_Lookup,6,FALSE)="",VLOOKUP($C$9,County_Lookup,6,FALSE)=0),"",VLOOKUP($C$9,County_Lookup,6,FALSE)))</f>
        <v/>
      </c>
      <c r="B88" s="52"/>
      <c r="C88" s="42"/>
      <c r="D88" s="42"/>
      <c r="E88" s="42"/>
      <c r="F88" s="42"/>
      <c r="G88" s="43" t="str">
        <f t="shared" si="38"/>
        <v/>
      </c>
      <c r="H88" s="347" t="str">
        <f t="shared" si="39"/>
        <v/>
      </c>
      <c r="I88" s="52"/>
      <c r="J88" s="42"/>
      <c r="K88" s="42"/>
      <c r="L88" s="42"/>
      <c r="M88" s="42"/>
      <c r="N88" s="43" t="str">
        <f t="shared" si="40"/>
        <v/>
      </c>
      <c r="O88" s="347" t="str">
        <f t="shared" si="41"/>
        <v/>
      </c>
      <c r="P88" s="52"/>
      <c r="Q88" s="42"/>
      <c r="R88" s="42"/>
      <c r="S88" s="42"/>
      <c r="T88" s="42"/>
      <c r="U88" s="43" t="str">
        <f t="shared" si="42"/>
        <v/>
      </c>
      <c r="V88" s="347" t="str">
        <f t="shared" si="43"/>
        <v/>
      </c>
    </row>
    <row r="89" spans="1:22" ht="18" customHeight="1" x14ac:dyDescent="0.2">
      <c r="A89" s="77" t="str">
        <f>IF($C$9="Data Not Entered On Set-Up Worksheet","",IF(OR(VLOOKUP($C$9,County_Lookup,7,FALSE)="",VLOOKUP($C$9,County_Lookup,7,FALSE)=0),"",VLOOKUP($C$9,County_Lookup,7,FALSE)))</f>
        <v/>
      </c>
      <c r="B89" s="52"/>
      <c r="C89" s="42"/>
      <c r="D89" s="42"/>
      <c r="E89" s="42"/>
      <c r="F89" s="42"/>
      <c r="G89" s="43" t="str">
        <f t="shared" si="38"/>
        <v/>
      </c>
      <c r="H89" s="347" t="str">
        <f t="shared" si="39"/>
        <v/>
      </c>
      <c r="I89" s="52"/>
      <c r="J89" s="42"/>
      <c r="K89" s="42"/>
      <c r="L89" s="42"/>
      <c r="M89" s="42"/>
      <c r="N89" s="43" t="str">
        <f t="shared" si="40"/>
        <v/>
      </c>
      <c r="O89" s="347" t="str">
        <f t="shared" si="41"/>
        <v/>
      </c>
      <c r="P89" s="52"/>
      <c r="Q89" s="42"/>
      <c r="R89" s="42"/>
      <c r="S89" s="42"/>
      <c r="T89" s="42"/>
      <c r="U89" s="43" t="str">
        <f t="shared" si="42"/>
        <v/>
      </c>
      <c r="V89" s="347" t="str">
        <f t="shared" si="43"/>
        <v/>
      </c>
    </row>
    <row r="90" spans="1:22" ht="18" customHeight="1" x14ac:dyDescent="0.2">
      <c r="A90" s="76" t="str">
        <f>IF($C$9="Data Not Entered On Set-Up Worksheet","",IF(OR(VLOOKUP($C$9,County_Lookup,8,FALSE)="",VLOOKUP($C$9,County_Lookup,8,FALSE)=0),"",VLOOKUP($C$9,County_Lookup,8,FALSE)))</f>
        <v/>
      </c>
      <c r="B90" s="52"/>
      <c r="C90" s="42"/>
      <c r="D90" s="42"/>
      <c r="E90" s="42"/>
      <c r="F90" s="42"/>
      <c r="G90" s="43" t="str">
        <f t="shared" si="38"/>
        <v/>
      </c>
      <c r="H90" s="347" t="str">
        <f t="shared" si="39"/>
        <v/>
      </c>
      <c r="I90" s="52"/>
      <c r="J90" s="42"/>
      <c r="K90" s="42"/>
      <c r="L90" s="42"/>
      <c r="M90" s="42"/>
      <c r="N90" s="43" t="str">
        <f t="shared" si="40"/>
        <v/>
      </c>
      <c r="O90" s="347" t="str">
        <f t="shared" si="41"/>
        <v/>
      </c>
      <c r="P90" s="52"/>
      <c r="Q90" s="42"/>
      <c r="R90" s="42"/>
      <c r="S90" s="42"/>
      <c r="T90" s="42"/>
      <c r="U90" s="43" t="str">
        <f t="shared" si="42"/>
        <v/>
      </c>
      <c r="V90" s="347" t="str">
        <f t="shared" si="43"/>
        <v/>
      </c>
    </row>
    <row r="91" spans="1:22" ht="18" customHeight="1" x14ac:dyDescent="0.2">
      <c r="A91" s="77" t="str">
        <f>IF($C$9="Data Not Entered On Set-Up Worksheet","",IF(OR(VLOOKUP($C$9,County_Lookup,9,FALSE)="",VLOOKUP($C$9,County_Lookup,9,FALSE)=0),"",VLOOKUP($C$9,County_Lookup,9,FALSE)))</f>
        <v/>
      </c>
      <c r="B91" s="52"/>
      <c r="C91" s="42"/>
      <c r="D91" s="42"/>
      <c r="E91" s="42"/>
      <c r="F91" s="42"/>
      <c r="G91" s="43" t="str">
        <f t="shared" si="38"/>
        <v/>
      </c>
      <c r="H91" s="347" t="str">
        <f t="shared" si="39"/>
        <v/>
      </c>
      <c r="I91" s="52"/>
      <c r="J91" s="42"/>
      <c r="K91" s="42"/>
      <c r="L91" s="42"/>
      <c r="M91" s="42"/>
      <c r="N91" s="43" t="str">
        <f t="shared" si="40"/>
        <v/>
      </c>
      <c r="O91" s="347" t="str">
        <f t="shared" si="41"/>
        <v/>
      </c>
      <c r="P91" s="52"/>
      <c r="Q91" s="42"/>
      <c r="R91" s="42"/>
      <c r="S91" s="42"/>
      <c r="T91" s="42"/>
      <c r="U91" s="43" t="str">
        <f t="shared" si="42"/>
        <v/>
      </c>
      <c r="V91" s="347" t="str">
        <f t="shared" si="43"/>
        <v/>
      </c>
    </row>
    <row r="92" spans="1:22" ht="18" customHeight="1" x14ac:dyDescent="0.2">
      <c r="A92" s="77" t="str">
        <f>IF($C$9="Data Not Entered On Set-Up Worksheet","",IF(OR(VLOOKUP($C$9,County_Lookup,10,FALSE)="",VLOOKUP($C$9,County_Lookup,10,FALSE)=0),"",VLOOKUP($C$9,County_Lookup,10,FALSE)))</f>
        <v/>
      </c>
      <c r="B92" s="52"/>
      <c r="C92" s="42"/>
      <c r="D92" s="42"/>
      <c r="E92" s="42"/>
      <c r="F92" s="42"/>
      <c r="G92" s="43" t="str">
        <f t="shared" si="38"/>
        <v/>
      </c>
      <c r="H92" s="347" t="str">
        <f t="shared" si="39"/>
        <v/>
      </c>
      <c r="I92" s="52"/>
      <c r="J92" s="42"/>
      <c r="K92" s="42"/>
      <c r="L92" s="42"/>
      <c r="M92" s="42"/>
      <c r="N92" s="43" t="str">
        <f t="shared" si="40"/>
        <v/>
      </c>
      <c r="O92" s="347" t="str">
        <f t="shared" si="41"/>
        <v/>
      </c>
      <c r="P92" s="52"/>
      <c r="Q92" s="42"/>
      <c r="R92" s="42"/>
      <c r="S92" s="42"/>
      <c r="T92" s="42"/>
      <c r="U92" s="43" t="str">
        <f t="shared" si="42"/>
        <v/>
      </c>
      <c r="V92" s="347" t="str">
        <f t="shared" si="43"/>
        <v/>
      </c>
    </row>
    <row r="93" spans="1:22" ht="18" customHeight="1" x14ac:dyDescent="0.2">
      <c r="A93" s="77" t="str">
        <f>IF($C$9="Data Not Entered On Set-Up Worksheet","",IF(OR(VLOOKUP($C$9,County_Lookup,11,FALSE)="",VLOOKUP($C$9,County_Lookup,11,FALSE)=0),"",VLOOKUP($C$9,County_Lookup,11,FALSE)))</f>
        <v/>
      </c>
      <c r="B93" s="52"/>
      <c r="C93" s="42"/>
      <c r="D93" s="42"/>
      <c r="E93" s="42"/>
      <c r="F93" s="42"/>
      <c r="G93" s="43" t="str">
        <f t="shared" si="38"/>
        <v/>
      </c>
      <c r="H93" s="347" t="str">
        <f t="shared" si="39"/>
        <v/>
      </c>
      <c r="I93" s="52"/>
      <c r="J93" s="42"/>
      <c r="K93" s="42"/>
      <c r="L93" s="42"/>
      <c r="M93" s="42"/>
      <c r="N93" s="43" t="str">
        <f t="shared" si="40"/>
        <v/>
      </c>
      <c r="O93" s="347" t="str">
        <f t="shared" si="41"/>
        <v/>
      </c>
      <c r="P93" s="52"/>
      <c r="Q93" s="42"/>
      <c r="R93" s="42"/>
      <c r="S93" s="42"/>
      <c r="T93" s="42"/>
      <c r="U93" s="43" t="str">
        <f t="shared" si="42"/>
        <v/>
      </c>
      <c r="V93" s="347" t="str">
        <f t="shared" si="43"/>
        <v/>
      </c>
    </row>
    <row r="94" spans="1:22" ht="18" customHeight="1" x14ac:dyDescent="0.2">
      <c r="A94" s="77" t="str">
        <f>IF($C$9="Data Not Entered On Set-Up Worksheet","",IF(OR(VLOOKUP($C$9,County_Lookup,12,FALSE)="",VLOOKUP($C$9,County_Lookup,12,FALSE)=0),"",VLOOKUP($C$9,County_Lookup,12,FALSE)))</f>
        <v/>
      </c>
      <c r="B94" s="52"/>
      <c r="C94" s="42"/>
      <c r="D94" s="42"/>
      <c r="E94" s="42"/>
      <c r="F94" s="42"/>
      <c r="G94" s="43" t="str">
        <f t="shared" si="38"/>
        <v/>
      </c>
      <c r="H94" s="347" t="str">
        <f t="shared" si="39"/>
        <v/>
      </c>
      <c r="I94" s="52"/>
      <c r="J94" s="42"/>
      <c r="K94" s="42"/>
      <c r="L94" s="42"/>
      <c r="M94" s="42"/>
      <c r="N94" s="43" t="str">
        <f t="shared" si="40"/>
        <v/>
      </c>
      <c r="O94" s="347" t="str">
        <f t="shared" si="41"/>
        <v/>
      </c>
      <c r="P94" s="52"/>
      <c r="Q94" s="42"/>
      <c r="R94" s="42"/>
      <c r="S94" s="42"/>
      <c r="T94" s="42"/>
      <c r="U94" s="43" t="str">
        <f t="shared" si="42"/>
        <v/>
      </c>
      <c r="V94" s="347" t="str">
        <f t="shared" si="43"/>
        <v/>
      </c>
    </row>
    <row r="95" spans="1:22" ht="18" customHeight="1" x14ac:dyDescent="0.2">
      <c r="A95" s="77" t="str">
        <f>IF($C$9="Data Not Entered On Set-Up Worksheet","",IF(OR(VLOOKUP($C$9,County_Lookup,13,FALSE)="",VLOOKUP($C$9,County_Lookup,13,FALSE)=0),"",VLOOKUP($C$9,County_Lookup,13,FALSE)))</f>
        <v/>
      </c>
      <c r="B95" s="52"/>
      <c r="C95" s="42"/>
      <c r="D95" s="42"/>
      <c r="E95" s="42"/>
      <c r="F95" s="42"/>
      <c r="G95" s="43" t="str">
        <f t="shared" si="38"/>
        <v/>
      </c>
      <c r="H95" s="347" t="str">
        <f t="shared" si="39"/>
        <v/>
      </c>
      <c r="I95" s="52"/>
      <c r="J95" s="42"/>
      <c r="K95" s="42"/>
      <c r="L95" s="42"/>
      <c r="M95" s="42"/>
      <c r="N95" s="43" t="str">
        <f t="shared" si="40"/>
        <v/>
      </c>
      <c r="O95" s="347" t="str">
        <f t="shared" si="41"/>
        <v/>
      </c>
      <c r="P95" s="52"/>
      <c r="Q95" s="42"/>
      <c r="R95" s="42"/>
      <c r="S95" s="42"/>
      <c r="T95" s="42"/>
      <c r="U95" s="43" t="str">
        <f t="shared" si="42"/>
        <v/>
      </c>
      <c r="V95" s="347" t="str">
        <f t="shared" si="43"/>
        <v/>
      </c>
    </row>
    <row r="96" spans="1:22" ht="18" customHeight="1" x14ac:dyDescent="0.2">
      <c r="A96" s="77" t="str">
        <f>IF($C$9="Data Not Entered On Set-Up Worksheet","",IF(OR(VLOOKUP($C$9,County_Lookup,14,FALSE)="",VLOOKUP($C$9,County_Lookup,14,FALSE)=0),"",VLOOKUP($C$9,County_Lookup,14,FALSE)))</f>
        <v/>
      </c>
      <c r="B96" s="52"/>
      <c r="C96" s="42"/>
      <c r="D96" s="42"/>
      <c r="E96" s="42"/>
      <c r="F96" s="42"/>
      <c r="G96" s="43" t="str">
        <f t="shared" si="38"/>
        <v/>
      </c>
      <c r="H96" s="347" t="str">
        <f t="shared" si="39"/>
        <v/>
      </c>
      <c r="I96" s="52"/>
      <c r="J96" s="42"/>
      <c r="K96" s="42"/>
      <c r="L96" s="42"/>
      <c r="M96" s="42"/>
      <c r="N96" s="43" t="str">
        <f t="shared" si="40"/>
        <v/>
      </c>
      <c r="O96" s="347" t="str">
        <f t="shared" si="41"/>
        <v/>
      </c>
      <c r="P96" s="52"/>
      <c r="Q96" s="42"/>
      <c r="R96" s="42"/>
      <c r="S96" s="42"/>
      <c r="T96" s="42"/>
      <c r="U96" s="43" t="str">
        <f t="shared" si="42"/>
        <v/>
      </c>
      <c r="V96" s="347" t="str">
        <f t="shared" si="43"/>
        <v/>
      </c>
    </row>
    <row r="97" spans="1:22" ht="18" customHeight="1" x14ac:dyDescent="0.2">
      <c r="A97" s="76" t="str">
        <f>IF($C$9="Data Not Entered On Set-Up Worksheet","",IF(OR(VLOOKUP($C$9,County_Lookup,15,FALSE)="",VLOOKUP($C$9,County_Lookup,15,FALSE)=0),"",VLOOKUP($C$9,County_Lookup,15,FALSE)))</f>
        <v/>
      </c>
      <c r="B97" s="52"/>
      <c r="C97" s="42"/>
      <c r="D97" s="42"/>
      <c r="E97" s="42"/>
      <c r="F97" s="42"/>
      <c r="G97" s="43" t="str">
        <f t="shared" si="38"/>
        <v/>
      </c>
      <c r="H97" s="347" t="str">
        <f t="shared" si="39"/>
        <v/>
      </c>
      <c r="I97" s="52"/>
      <c r="J97" s="42"/>
      <c r="K97" s="42"/>
      <c r="L97" s="42"/>
      <c r="M97" s="42"/>
      <c r="N97" s="43" t="str">
        <f t="shared" si="40"/>
        <v/>
      </c>
      <c r="O97" s="347" t="str">
        <f t="shared" si="41"/>
        <v/>
      </c>
      <c r="P97" s="52"/>
      <c r="Q97" s="42"/>
      <c r="R97" s="42"/>
      <c r="S97" s="42"/>
      <c r="T97" s="42"/>
      <c r="U97" s="43" t="str">
        <f t="shared" si="42"/>
        <v/>
      </c>
      <c r="V97" s="347" t="str">
        <f t="shared" si="43"/>
        <v/>
      </c>
    </row>
    <row r="98" spans="1:22" ht="18" customHeight="1" x14ac:dyDescent="0.2">
      <c r="A98" s="77" t="str">
        <f>IF($C$9="Data Not Entered On Set-Up Worksheet","",IF(OR(VLOOKUP($C$9,County_Lookup,16,FALSE)="",VLOOKUP($C$9,County_Lookup,16,FALSE)=0),"",VLOOKUP($C$9,County_Lookup,16,FALSE)))</f>
        <v/>
      </c>
      <c r="B98" s="52"/>
      <c r="C98" s="42"/>
      <c r="D98" s="42"/>
      <c r="E98" s="42"/>
      <c r="F98" s="42"/>
      <c r="G98" s="43" t="str">
        <f t="shared" si="38"/>
        <v/>
      </c>
      <c r="H98" s="347" t="str">
        <f t="shared" si="39"/>
        <v/>
      </c>
      <c r="I98" s="52"/>
      <c r="J98" s="42"/>
      <c r="K98" s="42"/>
      <c r="L98" s="42"/>
      <c r="M98" s="42"/>
      <c r="N98" s="43" t="str">
        <f t="shared" si="40"/>
        <v/>
      </c>
      <c r="O98" s="347" t="str">
        <f t="shared" si="41"/>
        <v/>
      </c>
      <c r="P98" s="52"/>
      <c r="Q98" s="42"/>
      <c r="R98" s="42"/>
      <c r="S98" s="42"/>
      <c r="T98" s="42"/>
      <c r="U98" s="43" t="str">
        <f t="shared" si="42"/>
        <v/>
      </c>
      <c r="V98" s="347" t="str">
        <f t="shared" si="43"/>
        <v/>
      </c>
    </row>
    <row r="99" spans="1:22" ht="18" customHeight="1" x14ac:dyDescent="0.2">
      <c r="A99" s="77" t="str">
        <f>IF($C$9="Data Not Entered On Set-Up Worksheet","",IF(OR(VLOOKUP($C$9,County_Lookup,17,FALSE)="",VLOOKUP($C$9,County_Lookup,17,FALSE)=0),"",VLOOKUP($C$9,County_Lookup,17,FALSE)))</f>
        <v/>
      </c>
      <c r="B99" s="52"/>
      <c r="C99" s="42"/>
      <c r="D99" s="42"/>
      <c r="E99" s="42"/>
      <c r="F99" s="42"/>
      <c r="G99" s="43" t="str">
        <f t="shared" si="38"/>
        <v/>
      </c>
      <c r="H99" s="347" t="str">
        <f t="shared" si="39"/>
        <v/>
      </c>
      <c r="I99" s="52"/>
      <c r="J99" s="42"/>
      <c r="K99" s="42"/>
      <c r="L99" s="42"/>
      <c r="M99" s="42"/>
      <c r="N99" s="43" t="str">
        <f t="shared" si="40"/>
        <v/>
      </c>
      <c r="O99" s="347" t="str">
        <f t="shared" si="41"/>
        <v/>
      </c>
      <c r="P99" s="52"/>
      <c r="Q99" s="42"/>
      <c r="R99" s="42"/>
      <c r="S99" s="42"/>
      <c r="T99" s="42"/>
      <c r="U99" s="43" t="str">
        <f t="shared" si="42"/>
        <v/>
      </c>
      <c r="V99" s="347" t="str">
        <f t="shared" si="43"/>
        <v/>
      </c>
    </row>
    <row r="100" spans="1:22" ht="18" customHeight="1" x14ac:dyDescent="0.2">
      <c r="A100" s="77" t="str">
        <f>IF($C$9="Data Not Entered On Set-Up Worksheet","",IF(OR(VLOOKUP($C$9,County_Lookup,18,FALSE)="",VLOOKUP($C$9,County_Lookup,18,FALSE)=0),"",VLOOKUP($C$9,County_Lookup,18,FALSE)))</f>
        <v/>
      </c>
      <c r="B100" s="52"/>
      <c r="C100" s="42"/>
      <c r="D100" s="42"/>
      <c r="E100" s="42"/>
      <c r="F100" s="42"/>
      <c r="G100" s="43" t="str">
        <f t="shared" si="38"/>
        <v/>
      </c>
      <c r="H100" s="347" t="str">
        <f t="shared" si="39"/>
        <v/>
      </c>
      <c r="I100" s="52"/>
      <c r="J100" s="42"/>
      <c r="K100" s="42"/>
      <c r="L100" s="42"/>
      <c r="M100" s="42"/>
      <c r="N100" s="43" t="str">
        <f t="shared" si="40"/>
        <v/>
      </c>
      <c r="O100" s="347" t="str">
        <f t="shared" si="41"/>
        <v/>
      </c>
      <c r="P100" s="52"/>
      <c r="Q100" s="42"/>
      <c r="R100" s="42"/>
      <c r="S100" s="42"/>
      <c r="T100" s="42"/>
      <c r="U100" s="43" t="str">
        <f t="shared" si="42"/>
        <v/>
      </c>
      <c r="V100" s="347" t="str">
        <f t="shared" si="43"/>
        <v/>
      </c>
    </row>
    <row r="101" spans="1:22" ht="18" customHeight="1" x14ac:dyDescent="0.2">
      <c r="A101" s="77" t="str">
        <f>IF($C$9="Data Not Entered On Set-Up Worksheet","",IF(OR(VLOOKUP($C$9,County_Lookup,19,FALSE)="",VLOOKUP($C$9,County_Lookup,19,FALSE)=0),"",VLOOKUP($C$9,County_Lookup,19,FALSE)))</f>
        <v/>
      </c>
      <c r="B101" s="52"/>
      <c r="C101" s="42"/>
      <c r="D101" s="42"/>
      <c r="E101" s="42"/>
      <c r="F101" s="42"/>
      <c r="G101" s="43" t="str">
        <f t="shared" si="38"/>
        <v/>
      </c>
      <c r="H101" s="347" t="str">
        <f t="shared" si="39"/>
        <v/>
      </c>
      <c r="I101" s="52"/>
      <c r="J101" s="42"/>
      <c r="K101" s="42"/>
      <c r="L101" s="42"/>
      <c r="M101" s="42"/>
      <c r="N101" s="43" t="str">
        <f t="shared" si="40"/>
        <v/>
      </c>
      <c r="O101" s="347" t="str">
        <f t="shared" si="41"/>
        <v/>
      </c>
      <c r="P101" s="52"/>
      <c r="Q101" s="42"/>
      <c r="R101" s="42"/>
      <c r="S101" s="42"/>
      <c r="T101" s="42"/>
      <c r="U101" s="43" t="str">
        <f t="shared" si="42"/>
        <v/>
      </c>
      <c r="V101" s="347" t="str">
        <f t="shared" si="43"/>
        <v/>
      </c>
    </row>
    <row r="102" spans="1:22" ht="18" customHeight="1" x14ac:dyDescent="0.2">
      <c r="A102" s="77" t="str">
        <f>IF($C$9="Data Not Entered On Set-Up Worksheet","",IF(OR(VLOOKUP($C$9,County_Lookup,20,FALSE)="",VLOOKUP($C$9,County_Lookup,20,FALSE)=0),"",VLOOKUP($C$9,County_Lookup,20,FALSE)))</f>
        <v/>
      </c>
      <c r="B102" s="52"/>
      <c r="C102" s="42"/>
      <c r="D102" s="42"/>
      <c r="E102" s="42"/>
      <c r="F102" s="42"/>
      <c r="G102" s="43" t="str">
        <f t="shared" si="38"/>
        <v/>
      </c>
      <c r="H102" s="347" t="str">
        <f t="shared" si="39"/>
        <v/>
      </c>
      <c r="I102" s="52"/>
      <c r="J102" s="42"/>
      <c r="K102" s="42"/>
      <c r="L102" s="42"/>
      <c r="M102" s="42"/>
      <c r="N102" s="43" t="str">
        <f t="shared" si="40"/>
        <v/>
      </c>
      <c r="O102" s="347" t="str">
        <f t="shared" si="41"/>
        <v/>
      </c>
      <c r="P102" s="52"/>
      <c r="Q102" s="42"/>
      <c r="R102" s="42"/>
      <c r="S102" s="42"/>
      <c r="T102" s="42"/>
      <c r="U102" s="43" t="str">
        <f t="shared" si="42"/>
        <v/>
      </c>
      <c r="V102" s="347" t="str">
        <f t="shared" si="43"/>
        <v/>
      </c>
    </row>
    <row r="103" spans="1:22" ht="18" customHeight="1" x14ac:dyDescent="0.2">
      <c r="A103" s="77" t="str">
        <f>IF($C$9="Data Not Entered On Set-Up Worksheet","",IF(OR(VLOOKUP($C$9,County_Lookup,21,FALSE)="",VLOOKUP($C$9,County_Lookup,21,FALSE)=0),"",VLOOKUP($C$9,County_Lookup,21,FALSE)))</f>
        <v/>
      </c>
      <c r="B103" s="52"/>
      <c r="C103" s="42"/>
      <c r="D103" s="42"/>
      <c r="E103" s="42"/>
      <c r="F103" s="42"/>
      <c r="G103" s="43" t="str">
        <f t="shared" si="38"/>
        <v/>
      </c>
      <c r="H103" s="347" t="str">
        <f t="shared" si="39"/>
        <v/>
      </c>
      <c r="I103" s="52"/>
      <c r="J103" s="42"/>
      <c r="K103" s="42"/>
      <c r="L103" s="42"/>
      <c r="M103" s="42"/>
      <c r="N103" s="43" t="str">
        <f t="shared" si="40"/>
        <v/>
      </c>
      <c r="O103" s="347" t="str">
        <f t="shared" si="41"/>
        <v/>
      </c>
      <c r="P103" s="52"/>
      <c r="Q103" s="42"/>
      <c r="R103" s="42"/>
      <c r="S103" s="42"/>
      <c r="T103" s="42"/>
      <c r="U103" s="43" t="str">
        <f t="shared" si="42"/>
        <v/>
      </c>
      <c r="V103" s="347" t="str">
        <f t="shared" si="43"/>
        <v/>
      </c>
    </row>
    <row r="104" spans="1:22" ht="18" customHeight="1" x14ac:dyDescent="0.2">
      <c r="A104" s="76" t="str">
        <f>IF($C$9="Data Not Entered On Set-Up Worksheet","",IF(OR(VLOOKUP($C$9,County_Lookup,22,FALSE)="",VLOOKUP($C$9,County_Lookup,22,FALSE)=0),"",VLOOKUP($C$9,County_Lookup,22,FALSE)))</f>
        <v/>
      </c>
      <c r="B104" s="52"/>
      <c r="C104" s="42"/>
      <c r="D104" s="42"/>
      <c r="E104" s="42"/>
      <c r="F104" s="42"/>
      <c r="G104" s="43" t="str">
        <f t="shared" si="38"/>
        <v/>
      </c>
      <c r="H104" s="347" t="str">
        <f t="shared" si="39"/>
        <v/>
      </c>
      <c r="I104" s="52"/>
      <c r="J104" s="42"/>
      <c r="K104" s="42"/>
      <c r="L104" s="42"/>
      <c r="M104" s="42"/>
      <c r="N104" s="43" t="str">
        <f t="shared" si="40"/>
        <v/>
      </c>
      <c r="O104" s="347" t="str">
        <f t="shared" si="41"/>
        <v/>
      </c>
      <c r="P104" s="52"/>
      <c r="Q104" s="42"/>
      <c r="R104" s="42"/>
      <c r="S104" s="42"/>
      <c r="T104" s="42"/>
      <c r="U104" s="43" t="str">
        <f t="shared" si="42"/>
        <v/>
      </c>
      <c r="V104" s="347" t="str">
        <f t="shared" si="43"/>
        <v/>
      </c>
    </row>
    <row r="105" spans="1:22" ht="18" customHeight="1" x14ac:dyDescent="0.2">
      <c r="A105" s="77" t="str">
        <f>IF($C$9="Data Not Entered On Set-Up Worksheet","",IF(OR(VLOOKUP($C$9,County_Lookup,23,FALSE)="",VLOOKUP($C$9,County_Lookup,23,FALSE)=0),"",VLOOKUP($C$9,County_Lookup,23,FALSE)))</f>
        <v/>
      </c>
      <c r="B105" s="52"/>
      <c r="C105" s="42"/>
      <c r="D105" s="42"/>
      <c r="E105" s="42"/>
      <c r="F105" s="42"/>
      <c r="G105" s="43" t="str">
        <f t="shared" si="38"/>
        <v/>
      </c>
      <c r="H105" s="347" t="str">
        <f t="shared" si="39"/>
        <v/>
      </c>
      <c r="I105" s="52"/>
      <c r="J105" s="42"/>
      <c r="K105" s="42"/>
      <c r="L105" s="42"/>
      <c r="M105" s="42"/>
      <c r="N105" s="43" t="str">
        <f t="shared" si="40"/>
        <v/>
      </c>
      <c r="O105" s="347" t="str">
        <f t="shared" si="41"/>
        <v/>
      </c>
      <c r="P105" s="52"/>
      <c r="Q105" s="42"/>
      <c r="R105" s="42"/>
      <c r="S105" s="42"/>
      <c r="T105" s="42"/>
      <c r="U105" s="43" t="str">
        <f t="shared" si="42"/>
        <v/>
      </c>
      <c r="V105" s="347" t="str">
        <f t="shared" si="43"/>
        <v/>
      </c>
    </row>
    <row r="106" spans="1:22" ht="18" customHeight="1" x14ac:dyDescent="0.2">
      <c r="A106" s="77" t="str">
        <f>IF($C$9="Data Not Entered On Set-Up Worksheet","",IF(OR(VLOOKUP($C$9,County_Lookup,24,FALSE)="",VLOOKUP($C$9,County_Lookup,24,FALSE)=0),"",VLOOKUP($C$9,County_Lookup,24,FALSE)))</f>
        <v/>
      </c>
      <c r="B106" s="52"/>
      <c r="C106" s="42"/>
      <c r="D106" s="42"/>
      <c r="E106" s="42"/>
      <c r="F106" s="42"/>
      <c r="G106" s="43" t="str">
        <f t="shared" ref="G106:G108" si="44">IF($A106="","",IF($F106=0,0,B106/$F106))</f>
        <v/>
      </c>
      <c r="H106" s="347" t="str">
        <f t="shared" ref="H106:H108" si="45">IF($A106="","",IF($F106=0,0,C106/$F106))</f>
        <v/>
      </c>
      <c r="I106" s="52"/>
      <c r="J106" s="42"/>
      <c r="K106" s="42"/>
      <c r="L106" s="42"/>
      <c r="M106" s="42"/>
      <c r="N106" s="43" t="str">
        <f t="shared" ref="N106:N108" si="46">IF($A106="","",IF($M106=0,0,I106/$M106))</f>
        <v/>
      </c>
      <c r="O106" s="347" t="str">
        <f t="shared" ref="O106:O108" si="47">IF($A106="","",IF($M106=0,0,J106/$M106))</f>
        <v/>
      </c>
      <c r="P106" s="52"/>
      <c r="Q106" s="42"/>
      <c r="R106" s="42"/>
      <c r="S106" s="42"/>
      <c r="T106" s="42"/>
      <c r="U106" s="43" t="str">
        <f t="shared" ref="U106:U108" si="48">IF($A106="","",IF($T106=0,0,P106/$T106))</f>
        <v/>
      </c>
      <c r="V106" s="347" t="str">
        <f t="shared" ref="V106:V108" si="49">IF($A106="","",IF($T106=0,0,Q106/$T106))</f>
        <v/>
      </c>
    </row>
    <row r="107" spans="1:22" ht="18" customHeight="1" x14ac:dyDescent="0.2">
      <c r="A107" s="77" t="str">
        <f>IF($C$9="Data Not Entered On Set-Up Worksheet","",IF(OR(VLOOKUP($C$9,County_Lookup,25,FALSE)="",VLOOKUP($C$9,County_Lookup,25,FALSE)=0),"",VLOOKUP($C$9,County_Lookup,25,FALSE)))</f>
        <v/>
      </c>
      <c r="B107" s="52"/>
      <c r="C107" s="42"/>
      <c r="D107" s="42"/>
      <c r="E107" s="42"/>
      <c r="F107" s="42"/>
      <c r="G107" s="43" t="str">
        <f t="shared" si="44"/>
        <v/>
      </c>
      <c r="H107" s="347" t="str">
        <f t="shared" si="45"/>
        <v/>
      </c>
      <c r="I107" s="52"/>
      <c r="J107" s="42"/>
      <c r="K107" s="42"/>
      <c r="L107" s="42"/>
      <c r="M107" s="42"/>
      <c r="N107" s="43" t="str">
        <f t="shared" si="46"/>
        <v/>
      </c>
      <c r="O107" s="347" t="str">
        <f t="shared" si="47"/>
        <v/>
      </c>
      <c r="P107" s="52"/>
      <c r="Q107" s="42"/>
      <c r="R107" s="42"/>
      <c r="S107" s="42"/>
      <c r="T107" s="42"/>
      <c r="U107" s="43" t="str">
        <f t="shared" si="48"/>
        <v/>
      </c>
      <c r="V107" s="347" t="str">
        <f t="shared" si="49"/>
        <v/>
      </c>
    </row>
    <row r="108" spans="1:22" ht="18" customHeight="1" x14ac:dyDescent="0.2">
      <c r="A108" s="77" t="str">
        <f>IF($C$9="Data Not Entered On Set-Up Worksheet","",IF(OR(VLOOKUP($C$9,County_Lookup,26,FALSE)="",VLOOKUP($C$9,County_Lookup,26,FALSE)=0),"",VLOOKUP($C$9,County_Lookup,26,FALSE)))</f>
        <v/>
      </c>
      <c r="B108" s="52"/>
      <c r="C108" s="42"/>
      <c r="D108" s="42"/>
      <c r="E108" s="42"/>
      <c r="F108" s="42"/>
      <c r="G108" s="43" t="str">
        <f t="shared" si="44"/>
        <v/>
      </c>
      <c r="H108" s="347" t="str">
        <f t="shared" si="45"/>
        <v/>
      </c>
      <c r="I108" s="52"/>
      <c r="J108" s="42"/>
      <c r="K108" s="42"/>
      <c r="L108" s="42"/>
      <c r="M108" s="42"/>
      <c r="N108" s="43" t="str">
        <f t="shared" si="46"/>
        <v/>
      </c>
      <c r="O108" s="347" t="str">
        <f t="shared" si="47"/>
        <v/>
      </c>
      <c r="P108" s="52"/>
      <c r="Q108" s="42"/>
      <c r="R108" s="42"/>
      <c r="S108" s="42"/>
      <c r="T108" s="42"/>
      <c r="U108" s="43" t="str">
        <f t="shared" si="48"/>
        <v/>
      </c>
      <c r="V108" s="347" t="str">
        <f t="shared" si="49"/>
        <v/>
      </c>
    </row>
    <row r="109" spans="1:22" ht="18" customHeight="1" x14ac:dyDescent="0.2">
      <c r="A109" s="77" t="str">
        <f>IF($C$9="Data Not Entered On Set-Up Worksheet","",IF(OR(VLOOKUP($C$9,County_Lookup,27,FALSE)="",VLOOKUP($C$9,County_Lookup,27,FALSE)=0),"",VLOOKUP($C$9,County_Lookup,27,FALSE)))</f>
        <v/>
      </c>
      <c r="B109" s="52"/>
      <c r="C109" s="42"/>
      <c r="D109" s="42"/>
      <c r="E109" s="42"/>
      <c r="F109" s="42"/>
      <c r="G109" s="43" t="str">
        <f t="shared" si="38"/>
        <v/>
      </c>
      <c r="H109" s="347" t="str">
        <f t="shared" si="39"/>
        <v/>
      </c>
      <c r="I109" s="52"/>
      <c r="J109" s="42"/>
      <c r="K109" s="42"/>
      <c r="L109" s="42"/>
      <c r="M109" s="42"/>
      <c r="N109" s="43" t="str">
        <f t="shared" si="40"/>
        <v/>
      </c>
      <c r="O109" s="347" t="str">
        <f t="shared" si="41"/>
        <v/>
      </c>
      <c r="P109" s="52"/>
      <c r="Q109" s="42"/>
      <c r="R109" s="42"/>
      <c r="S109" s="42"/>
      <c r="T109" s="42"/>
      <c r="U109" s="43" t="str">
        <f t="shared" si="42"/>
        <v/>
      </c>
      <c r="V109" s="347" t="str">
        <f t="shared" si="43"/>
        <v/>
      </c>
    </row>
    <row r="110" spans="1:22" ht="18" customHeight="1" thickBot="1" x14ac:dyDescent="0.25">
      <c r="A110" s="78" t="s">
        <v>0</v>
      </c>
      <c r="B110" s="348">
        <f>SUM(B84:B109)</f>
        <v>0</v>
      </c>
      <c r="C110" s="349">
        <f t="shared" ref="C110" si="50">SUM(C84:C109)</f>
        <v>0</v>
      </c>
      <c r="D110" s="349">
        <f t="shared" ref="D110" si="51">SUM(D84:D109)</f>
        <v>0</v>
      </c>
      <c r="E110" s="349">
        <f t="shared" ref="E110" si="52">SUM(E84:E109)</f>
        <v>0</v>
      </c>
      <c r="F110" s="349">
        <f t="shared" ref="F110" si="53">SUM(F84:F109)</f>
        <v>0</v>
      </c>
      <c r="G110" s="353">
        <f t="shared" si="38"/>
        <v>0</v>
      </c>
      <c r="H110" s="354">
        <f t="shared" si="39"/>
        <v>0</v>
      </c>
      <c r="I110" s="348">
        <f>SUM(I84:I109)</f>
        <v>0</v>
      </c>
      <c r="J110" s="349">
        <f t="shared" ref="J110" si="54">SUM(J84:J109)</f>
        <v>0</v>
      </c>
      <c r="K110" s="349">
        <f t="shared" ref="K110" si="55">SUM(K84:K109)</f>
        <v>0</v>
      </c>
      <c r="L110" s="349">
        <f t="shared" ref="L110" si="56">SUM(L84:L109)</f>
        <v>0</v>
      </c>
      <c r="M110" s="349">
        <f t="shared" ref="M110" si="57">SUM(M84:M109)</f>
        <v>0</v>
      </c>
      <c r="N110" s="353">
        <f t="shared" si="40"/>
        <v>0</v>
      </c>
      <c r="O110" s="354">
        <f t="shared" si="41"/>
        <v>0</v>
      </c>
      <c r="P110" s="348">
        <f>SUM(P84:P109)</f>
        <v>0</v>
      </c>
      <c r="Q110" s="349">
        <f t="shared" ref="Q110" si="58">SUM(Q84:Q109)</f>
        <v>0</v>
      </c>
      <c r="R110" s="349">
        <f t="shared" ref="R110" si="59">SUM(R84:R109)</f>
        <v>0</v>
      </c>
      <c r="S110" s="349">
        <f t="shared" ref="S110" si="60">SUM(S84:S109)</f>
        <v>0</v>
      </c>
      <c r="T110" s="349">
        <f t="shared" ref="T110" si="61">SUM(T84:T109)</f>
        <v>0</v>
      </c>
      <c r="U110" s="353">
        <f t="shared" si="42"/>
        <v>0</v>
      </c>
      <c r="V110" s="354">
        <f t="shared" si="43"/>
        <v>0</v>
      </c>
    </row>
    <row r="111" spans="1:22" x14ac:dyDescent="0.2">
      <c r="B111" s="22" t="s">
        <v>402</v>
      </c>
      <c r="I111" s="22" t="s">
        <v>402</v>
      </c>
      <c r="P111" s="22" t="s">
        <v>402</v>
      </c>
    </row>
    <row r="113" spans="2:16" x14ac:dyDescent="0.2">
      <c r="B113" s="60" t="s">
        <v>468</v>
      </c>
      <c r="I113" s="60" t="s">
        <v>469</v>
      </c>
      <c r="P113" s="60" t="s">
        <v>470</v>
      </c>
    </row>
  </sheetData>
  <sheetProtection sheet="1" objects="1" scenarios="1"/>
  <conditionalFormatting sqref="C3:C4">
    <cfRule type="expression" dxfId="303" priority="33">
      <formula>C3="Data Not Entered On Set-Up Worksheet"</formula>
    </cfRule>
  </conditionalFormatting>
  <conditionalFormatting sqref="C9">
    <cfRule type="expression" dxfId="302" priority="32">
      <formula>C9="Data Not Entered On Set-Up Worksheet"</formula>
    </cfRule>
  </conditionalFormatting>
  <conditionalFormatting sqref="B12">
    <cfRule type="expression" dxfId="301" priority="31">
      <formula>B12="Data Not Entered On Set-Up Worksheet"</formula>
    </cfRule>
  </conditionalFormatting>
  <conditionalFormatting sqref="C11">
    <cfRule type="expression" dxfId="300" priority="30">
      <formula>C11="Data Not Entered On Set-Up Worksheet"</formula>
    </cfRule>
  </conditionalFormatting>
  <conditionalFormatting sqref="E11">
    <cfRule type="expression" dxfId="299" priority="28">
      <formula>E11="Data Not Entered On Set-Up Worksheet"</formula>
    </cfRule>
  </conditionalFormatting>
  <conditionalFormatting sqref="B18:F40 I18:M40 P18:T40 P43:T43 I43:M43 B43:F43">
    <cfRule type="expression" dxfId="298" priority="96">
      <formula>AND($A18&lt;&gt;"",B18="")</formula>
    </cfRule>
  </conditionalFormatting>
  <conditionalFormatting sqref="B51:F73 I51:M73 P51:T73 P76:T76 I76:M76 B76:F76">
    <cfRule type="expression" dxfId="297" priority="27">
      <formula>AND($A51&lt;&gt;"",B51="")</formula>
    </cfRule>
  </conditionalFormatting>
  <conditionalFormatting sqref="P84:T105 P109:T109">
    <cfRule type="expression" dxfId="296" priority="24">
      <formula>AND($A84&lt;&gt;"",B84="")</formula>
    </cfRule>
  </conditionalFormatting>
  <conditionalFormatting sqref="B84:F106 I84:M106 P84:T106 P109:T109 I109:M109 B109:F109">
    <cfRule type="expression" dxfId="295" priority="25">
      <formula>AND($A84&lt;&gt;"",B84="")</formula>
    </cfRule>
  </conditionalFormatting>
  <conditionalFormatting sqref="P40:T40">
    <cfRule type="expression" dxfId="294" priority="22">
      <formula>AND($A40&lt;&gt;"",B40="")</formula>
    </cfRule>
  </conditionalFormatting>
  <conditionalFormatting sqref="P73:T73">
    <cfRule type="expression" dxfId="293" priority="20">
      <formula>AND($A73&lt;&gt;"",B73="")</formula>
    </cfRule>
  </conditionalFormatting>
  <conditionalFormatting sqref="P106:T106">
    <cfRule type="expression" dxfId="292" priority="18">
      <formula>AND($A106&lt;&gt;"",B106="")</formula>
    </cfRule>
  </conditionalFormatting>
  <conditionalFormatting sqref="B18:F40 B43:F43">
    <cfRule type="expression" dxfId="291" priority="17">
      <formula>$A18="Other"</formula>
    </cfRule>
  </conditionalFormatting>
  <conditionalFormatting sqref="B51:F73 B76:F76">
    <cfRule type="expression" dxfId="290" priority="16">
      <formula>$A51="Other"</formula>
    </cfRule>
  </conditionalFormatting>
  <conditionalFormatting sqref="B84:F106 B109:F109">
    <cfRule type="expression" dxfId="289" priority="15">
      <formula>$A84="Other"</formula>
    </cfRule>
  </conditionalFormatting>
  <conditionalFormatting sqref="P41:T41 I41:M41 B41:F41">
    <cfRule type="expression" dxfId="288" priority="14">
      <formula>AND($A41&lt;&gt;"",B41="")</formula>
    </cfRule>
  </conditionalFormatting>
  <conditionalFormatting sqref="B41:F41">
    <cfRule type="expression" dxfId="287" priority="13">
      <formula>$A41="Other"</formula>
    </cfRule>
  </conditionalFormatting>
  <conditionalFormatting sqref="P74:T74 I74:M74 B74:F74">
    <cfRule type="expression" dxfId="286" priority="12">
      <formula>AND($A74&lt;&gt;"",B74="")</formula>
    </cfRule>
  </conditionalFormatting>
  <conditionalFormatting sqref="B74:F74">
    <cfRule type="expression" dxfId="285" priority="11">
      <formula>$A74="Other"</formula>
    </cfRule>
  </conditionalFormatting>
  <conditionalFormatting sqref="P107:T107">
    <cfRule type="expression" dxfId="284" priority="9">
      <formula>AND($A107&lt;&gt;"",B107="")</formula>
    </cfRule>
  </conditionalFormatting>
  <conditionalFormatting sqref="P107:T107 I107:M107 B107:F107">
    <cfRule type="expression" dxfId="283" priority="10">
      <formula>AND($A107&lt;&gt;"",B107="")</formula>
    </cfRule>
  </conditionalFormatting>
  <conditionalFormatting sqref="B107:F107">
    <cfRule type="expression" dxfId="282" priority="8">
      <formula>$A107="Other"</formula>
    </cfRule>
  </conditionalFormatting>
  <conditionalFormatting sqref="P42:T42 I42:M42 B42:F42">
    <cfRule type="expression" dxfId="281" priority="7">
      <formula>AND($A42&lt;&gt;"",B42="")</formula>
    </cfRule>
  </conditionalFormatting>
  <conditionalFormatting sqref="B42:F42">
    <cfRule type="expression" dxfId="280" priority="6">
      <formula>$A42="Other"</formula>
    </cfRule>
  </conditionalFormatting>
  <conditionalFormatting sqref="P75:T75 I75:M75 B75:F75">
    <cfRule type="expression" dxfId="279" priority="5">
      <formula>AND($A75&lt;&gt;"",B75="")</formula>
    </cfRule>
  </conditionalFormatting>
  <conditionalFormatting sqref="B75:F75">
    <cfRule type="expression" dxfId="278" priority="4">
      <formula>$A75="Other"</formula>
    </cfRule>
  </conditionalFormatting>
  <conditionalFormatting sqref="P108:T108">
    <cfRule type="expression" dxfId="277" priority="2">
      <formula>AND($A108&lt;&gt;"",B108="")</formula>
    </cfRule>
  </conditionalFormatting>
  <conditionalFormatting sqref="P108:T108 I108:M108 B108:F108">
    <cfRule type="expression" dxfId="276" priority="3">
      <formula>AND($A108&lt;&gt;"",B108="")</formula>
    </cfRule>
  </conditionalFormatting>
  <conditionalFormatting sqref="B108:F108">
    <cfRule type="expression" dxfId="275" priority="1">
      <formula>$A108="Other"</formula>
    </cfRule>
  </conditionalFormatting>
  <pageMargins left="0.5" right="0.5" top="0.5" bottom="0.5" header="0.3" footer="0.3"/>
  <pageSetup scale="26"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3"/>
  <sheetViews>
    <sheetView showGridLines="0" workbookViewId="0">
      <selection activeCell="B16" sqref="B16"/>
    </sheetView>
  </sheetViews>
  <sheetFormatPr defaultRowHeight="12.75" x14ac:dyDescent="0.2"/>
  <cols>
    <col min="1" max="1" width="22.42578125" style="22" customWidth="1"/>
    <col min="2" max="5" width="19.28515625" style="22" customWidth="1"/>
    <col min="6" max="7" width="16.7109375" style="22" customWidth="1"/>
    <col min="8" max="12" width="19.28515625" style="22" customWidth="1"/>
    <col min="13" max="14" width="16.7109375" style="22" customWidth="1"/>
    <col min="15" max="19" width="19.28515625" style="22" customWidth="1"/>
    <col min="20" max="21" width="16.7109375" style="22" customWidth="1"/>
    <col min="22" max="22" width="19.28515625" style="22" customWidth="1"/>
    <col min="23" max="16384" width="9.140625" style="22"/>
  </cols>
  <sheetData>
    <row r="1" spans="1:22" ht="15" customHeight="1" x14ac:dyDescent="0.2">
      <c r="A1" s="36" t="s">
        <v>28</v>
      </c>
      <c r="I1" s="36" t="s">
        <v>329</v>
      </c>
      <c r="P1" s="36" t="s">
        <v>329</v>
      </c>
    </row>
    <row r="2" spans="1:22" ht="15" customHeight="1" x14ac:dyDescent="0.2">
      <c r="A2" s="36" t="s">
        <v>196</v>
      </c>
      <c r="I2" s="358" t="s">
        <v>330</v>
      </c>
      <c r="P2" s="358" t="s">
        <v>330</v>
      </c>
    </row>
    <row r="3" spans="1:22" ht="15" customHeight="1" x14ac:dyDescent="0.2">
      <c r="A3" s="30" t="s">
        <v>194</v>
      </c>
      <c r="C3" s="147">
        <f>IF('Set-Up Worksheet'!F3="","Data Not Entered On Set-Up Worksheet",'Set-Up Worksheet'!F3)</f>
        <v>2018</v>
      </c>
      <c r="J3" s="357">
        <f>C3</f>
        <v>2018</v>
      </c>
      <c r="K3" s="355"/>
      <c r="L3" s="355"/>
      <c r="M3" s="355"/>
      <c r="Q3" s="357">
        <f>C3</f>
        <v>2018</v>
      </c>
    </row>
    <row r="4" spans="1:22" ht="15" customHeight="1" x14ac:dyDescent="0.2">
      <c r="A4" s="30" t="s">
        <v>195</v>
      </c>
      <c r="C4" s="147" t="str">
        <f>IF('Set-Up Worksheet'!F4="","Data Not Entered On Set-Up Worksheet",'Set-Up Worksheet'!F4)</f>
        <v>1st Quarter</v>
      </c>
      <c r="D4" s="32"/>
      <c r="E4" s="32"/>
      <c r="F4" s="32"/>
      <c r="J4" s="355" t="str">
        <f>C4</f>
        <v>1st Quarter</v>
      </c>
      <c r="K4" s="355"/>
      <c r="L4" s="355"/>
      <c r="M4" s="355"/>
      <c r="Q4" s="355" t="str">
        <f>C4</f>
        <v>1st Quarter</v>
      </c>
    </row>
    <row r="5" spans="1:22" ht="15" customHeight="1" x14ac:dyDescent="0.2">
      <c r="A5" s="30"/>
      <c r="C5" s="32"/>
      <c r="D5" s="32"/>
      <c r="E5" s="32"/>
      <c r="F5" s="32"/>
      <c r="J5" s="355"/>
      <c r="K5" s="355"/>
      <c r="L5" s="355"/>
      <c r="M5" s="355"/>
      <c r="Q5" s="355"/>
    </row>
    <row r="6" spans="1:22" ht="15" customHeight="1" x14ac:dyDescent="0.2">
      <c r="A6" s="30" t="s">
        <v>336</v>
      </c>
      <c r="C6" s="32"/>
      <c r="D6" s="32"/>
      <c r="E6" s="32"/>
      <c r="F6" s="32"/>
      <c r="J6" s="355"/>
      <c r="K6" s="355"/>
      <c r="L6" s="355"/>
      <c r="M6" s="355"/>
      <c r="Q6" s="355"/>
    </row>
    <row r="7" spans="1:22" ht="15" customHeight="1" x14ac:dyDescent="0.2">
      <c r="A7" s="30" t="s">
        <v>414</v>
      </c>
      <c r="C7" s="32"/>
      <c r="D7" s="32"/>
      <c r="E7" s="32"/>
      <c r="F7" s="32"/>
      <c r="I7" s="30" t="s">
        <v>415</v>
      </c>
      <c r="J7" s="355"/>
      <c r="K7" s="355"/>
      <c r="L7" s="355"/>
      <c r="M7" s="355"/>
      <c r="P7" s="30" t="s">
        <v>415</v>
      </c>
      <c r="Q7" s="355"/>
    </row>
    <row r="8" spans="1:22" ht="15" customHeight="1" x14ac:dyDescent="0.2">
      <c r="A8" s="30"/>
      <c r="C8" s="32"/>
      <c r="D8" s="32"/>
      <c r="E8" s="32"/>
      <c r="F8" s="32"/>
      <c r="J8" s="355"/>
      <c r="K8" s="355"/>
      <c r="L8" s="355"/>
      <c r="M8" s="355"/>
      <c r="Q8" s="355"/>
    </row>
    <row r="9" spans="1:22" ht="15" customHeight="1" x14ac:dyDescent="0.2">
      <c r="A9" s="30" t="s">
        <v>29</v>
      </c>
      <c r="C9" s="39" t="str">
        <f>IF('Set-Up Worksheet'!E7="","Data Not Entered On Set-Up Worksheet",'Set-Up Worksheet'!E7)</f>
        <v>Data Not Entered On Set-Up Worksheet</v>
      </c>
      <c r="J9" s="355" t="str">
        <f>C9</f>
        <v>Data Not Entered On Set-Up Worksheet</v>
      </c>
      <c r="K9" s="355"/>
      <c r="L9" s="355"/>
      <c r="M9" s="355"/>
      <c r="Q9" s="355" t="str">
        <f>C9</f>
        <v>Data Not Entered On Set-Up Worksheet</v>
      </c>
    </row>
    <row r="10" spans="1:22" ht="15" customHeight="1" x14ac:dyDescent="0.2">
      <c r="A10" s="30" t="s">
        <v>9</v>
      </c>
      <c r="C10" s="32" t="s">
        <v>10</v>
      </c>
      <c r="J10" s="355" t="str">
        <f>C10</f>
        <v>Behavioral Health</v>
      </c>
      <c r="K10" s="355"/>
      <c r="L10" s="355"/>
      <c r="M10" s="355"/>
      <c r="Q10" s="355" t="str">
        <f>C10</f>
        <v>Behavioral Health</v>
      </c>
    </row>
    <row r="11" spans="1:22" ht="15" customHeight="1" x14ac:dyDescent="0.2">
      <c r="A11" s="30" t="s">
        <v>197</v>
      </c>
      <c r="C11" s="40" t="str">
        <f>IF(C4="Data Not Entered On Set-Up Worksheet","Data Not Entered On Set-Up Worksheet",IF(C4="1st Quarter",'Report Schedule'!D52,IF(C4="2nd Quarter",'Report Schedule'!E52,IF(C4="3rd Quarter",'Report Schedule'!F52,IF(C4="4th Quarter",'Report Schedule'!G52,"")))))</f>
        <v>Apr - Jun 2017</v>
      </c>
      <c r="F11" s="79" t="s">
        <v>40</v>
      </c>
      <c r="J11" s="355" t="str">
        <f>C11</f>
        <v>Apr - Jun 2017</v>
      </c>
      <c r="K11" s="355"/>
      <c r="L11" s="355"/>
      <c r="M11" s="356" t="s">
        <v>40</v>
      </c>
      <c r="Q11" s="355" t="str">
        <f>C11</f>
        <v>Apr - Jun 2017</v>
      </c>
      <c r="T11" s="356" t="s">
        <v>40</v>
      </c>
    </row>
    <row r="12" spans="1:22" ht="15" customHeight="1" thickBot="1" x14ac:dyDescent="0.25">
      <c r="A12" s="30"/>
      <c r="B12" s="40"/>
    </row>
    <row r="13" spans="1:22" ht="18" customHeight="1" thickBot="1" x14ac:dyDescent="0.25">
      <c r="A13" s="226" t="s">
        <v>327</v>
      </c>
      <c r="B13" s="384" t="s">
        <v>39</v>
      </c>
      <c r="C13" s="235"/>
      <c r="D13" s="235"/>
      <c r="E13" s="235"/>
      <c r="F13" s="235"/>
      <c r="G13" s="235"/>
      <c r="H13" s="236"/>
      <c r="I13" s="383" t="s">
        <v>241</v>
      </c>
      <c r="J13" s="231"/>
      <c r="K13" s="231"/>
      <c r="L13" s="231"/>
      <c r="M13" s="231"/>
      <c r="N13" s="231"/>
      <c r="O13" s="232"/>
      <c r="P13" s="384" t="s">
        <v>243</v>
      </c>
      <c r="Q13" s="235"/>
      <c r="R13" s="235"/>
      <c r="S13" s="235"/>
      <c r="T13" s="235"/>
      <c r="U13" s="235"/>
      <c r="V13" s="236"/>
    </row>
    <row r="14" spans="1:22" ht="13.5" thickBot="1" x14ac:dyDescent="0.25">
      <c r="A14" s="30"/>
      <c r="B14" s="37" t="s">
        <v>3</v>
      </c>
      <c r="C14" s="37"/>
      <c r="D14" s="37"/>
      <c r="E14" s="37"/>
      <c r="F14" s="37"/>
      <c r="G14" s="37" t="s">
        <v>4</v>
      </c>
      <c r="H14" s="37" t="s">
        <v>8</v>
      </c>
      <c r="I14" s="37" t="s">
        <v>3</v>
      </c>
      <c r="J14" s="37"/>
      <c r="K14" s="37"/>
      <c r="L14" s="37"/>
      <c r="M14" s="37"/>
      <c r="N14" s="37" t="s">
        <v>4</v>
      </c>
      <c r="O14" s="37" t="s">
        <v>8</v>
      </c>
      <c r="P14" s="37" t="s">
        <v>3</v>
      </c>
      <c r="Q14" s="37"/>
      <c r="R14" s="37"/>
      <c r="S14" s="37"/>
      <c r="T14" s="37"/>
      <c r="U14" s="37" t="s">
        <v>4</v>
      </c>
      <c r="V14" s="37" t="s">
        <v>8</v>
      </c>
    </row>
    <row r="15" spans="1:22" ht="38.25" x14ac:dyDescent="0.2">
      <c r="A15" s="75" t="s">
        <v>43</v>
      </c>
      <c r="B15" s="409" t="s">
        <v>440</v>
      </c>
      <c r="C15" s="410" t="s">
        <v>441</v>
      </c>
      <c r="D15" s="410" t="s">
        <v>442</v>
      </c>
      <c r="E15" s="410" t="s">
        <v>438</v>
      </c>
      <c r="F15" s="410" t="s">
        <v>439</v>
      </c>
      <c r="G15" s="410" t="s">
        <v>30</v>
      </c>
      <c r="H15" s="410" t="s">
        <v>443</v>
      </c>
      <c r="I15" s="411" t="s">
        <v>440</v>
      </c>
      <c r="J15" s="412" t="s">
        <v>441</v>
      </c>
      <c r="K15" s="412" t="s">
        <v>442</v>
      </c>
      <c r="L15" s="412" t="s">
        <v>438</v>
      </c>
      <c r="M15" s="412" t="s">
        <v>439</v>
      </c>
      <c r="N15" s="412" t="s">
        <v>30</v>
      </c>
      <c r="O15" s="412" t="s">
        <v>443</v>
      </c>
      <c r="P15" s="409" t="s">
        <v>440</v>
      </c>
      <c r="Q15" s="410" t="s">
        <v>441</v>
      </c>
      <c r="R15" s="410" t="s">
        <v>442</v>
      </c>
      <c r="S15" s="410" t="s">
        <v>438</v>
      </c>
      <c r="T15" s="410" t="s">
        <v>439</v>
      </c>
      <c r="U15" s="410" t="s">
        <v>30</v>
      </c>
      <c r="V15" s="413" t="s">
        <v>443</v>
      </c>
    </row>
    <row r="16" spans="1:22" ht="18" customHeight="1" x14ac:dyDescent="0.2">
      <c r="A16" s="76" t="str">
        <f>IF($C$9="Data Not Entered On Set-Up Worksheet","",IF(OR(VLOOKUP($C$9,County_Lookup,2,FALSE)="",VLOOKUP($C$9,County_Lookup,2,FALSE)=0),"",VLOOKUP($C$9,County_Lookup,2,FALSE)))</f>
        <v/>
      </c>
      <c r="B16" s="52"/>
      <c r="C16" s="42"/>
      <c r="D16" s="42"/>
      <c r="E16" s="42"/>
      <c r="F16" s="42"/>
      <c r="G16" s="42"/>
      <c r="H16" s="43" t="str">
        <f t="shared" ref="H16:H42" si="0">IF($A16="","",IF($G16=0,0,B16/$G16))</f>
        <v/>
      </c>
      <c r="I16" s="52"/>
      <c r="J16" s="42"/>
      <c r="K16" s="42"/>
      <c r="L16" s="42"/>
      <c r="M16" s="42"/>
      <c r="N16" s="42"/>
      <c r="O16" s="43" t="str">
        <f t="shared" ref="O16:O42" si="1">IF($A16="","",IF($N16=0,0,I16/$N16))</f>
        <v/>
      </c>
      <c r="P16" s="52"/>
      <c r="Q16" s="42"/>
      <c r="R16" s="42"/>
      <c r="S16" s="42"/>
      <c r="T16" s="42"/>
      <c r="U16" s="42"/>
      <c r="V16" s="347" t="str">
        <f t="shared" ref="V16:V42" si="2">IF($A16="","",IF($U16=0,0,P16/$U16))</f>
        <v/>
      </c>
    </row>
    <row r="17" spans="1:22" ht="18" customHeight="1" x14ac:dyDescent="0.2">
      <c r="A17" s="77" t="str">
        <f>IF($C$9="Data Not Entered On Set-Up Worksheet","",IF(OR(VLOOKUP($C$9,County_Lookup,3,FALSE)="",VLOOKUP($C$9,County_Lookup,3,FALSE)=0),"",VLOOKUP($C$9,County_Lookup,3,FALSE)))</f>
        <v/>
      </c>
      <c r="B17" s="52"/>
      <c r="C17" s="42"/>
      <c r="D17" s="42"/>
      <c r="E17" s="42"/>
      <c r="F17" s="42"/>
      <c r="G17" s="42"/>
      <c r="H17" s="43" t="str">
        <f t="shared" si="0"/>
        <v/>
      </c>
      <c r="I17" s="52"/>
      <c r="J17" s="42"/>
      <c r="K17" s="42"/>
      <c r="L17" s="42"/>
      <c r="M17" s="42"/>
      <c r="N17" s="42"/>
      <c r="O17" s="43" t="str">
        <f t="shared" si="1"/>
        <v/>
      </c>
      <c r="P17" s="52"/>
      <c r="Q17" s="42"/>
      <c r="R17" s="42"/>
      <c r="S17" s="42"/>
      <c r="T17" s="42"/>
      <c r="U17" s="42"/>
      <c r="V17" s="347" t="str">
        <f t="shared" si="2"/>
        <v/>
      </c>
    </row>
    <row r="18" spans="1:22" ht="18" customHeight="1" x14ac:dyDescent="0.2">
      <c r="A18" s="77" t="str">
        <f>IF($C$9="Data Not Entered On Set-Up Worksheet","",IF(OR(VLOOKUP($C$9,County_Lookup,4,FALSE)="",VLOOKUP($C$9,County_Lookup,4,FALSE)=0),"",VLOOKUP($C$9,County_Lookup,4,FALSE)))</f>
        <v/>
      </c>
      <c r="B18" s="52"/>
      <c r="C18" s="42"/>
      <c r="D18" s="42"/>
      <c r="E18" s="42"/>
      <c r="F18" s="42"/>
      <c r="G18" s="42"/>
      <c r="H18" s="43" t="str">
        <f t="shared" si="0"/>
        <v/>
      </c>
      <c r="I18" s="52"/>
      <c r="J18" s="42"/>
      <c r="K18" s="42"/>
      <c r="L18" s="42"/>
      <c r="M18" s="42"/>
      <c r="N18" s="42"/>
      <c r="O18" s="43" t="str">
        <f t="shared" si="1"/>
        <v/>
      </c>
      <c r="P18" s="52"/>
      <c r="Q18" s="42"/>
      <c r="R18" s="42"/>
      <c r="S18" s="42"/>
      <c r="T18" s="42"/>
      <c r="U18" s="42"/>
      <c r="V18" s="347" t="str">
        <f t="shared" si="2"/>
        <v/>
      </c>
    </row>
    <row r="19" spans="1:22" ht="18" customHeight="1" x14ac:dyDescent="0.2">
      <c r="A19" s="77" t="str">
        <f>IF($C$9="Data Not Entered On Set-Up Worksheet","",IF(OR(VLOOKUP($C$9,County_Lookup,5,FALSE)="",VLOOKUP($C$9,County_Lookup,5,FALSE)=0),"",VLOOKUP($C$9,County_Lookup,5,FALSE)))</f>
        <v/>
      </c>
      <c r="B19" s="52"/>
      <c r="C19" s="42"/>
      <c r="D19" s="42"/>
      <c r="E19" s="42"/>
      <c r="F19" s="42"/>
      <c r="G19" s="42"/>
      <c r="H19" s="43" t="str">
        <f t="shared" si="0"/>
        <v/>
      </c>
      <c r="I19" s="52"/>
      <c r="J19" s="42"/>
      <c r="K19" s="42"/>
      <c r="L19" s="42"/>
      <c r="M19" s="42"/>
      <c r="N19" s="42"/>
      <c r="O19" s="43" t="str">
        <f t="shared" si="1"/>
        <v/>
      </c>
      <c r="P19" s="52"/>
      <c r="Q19" s="42"/>
      <c r="R19" s="42"/>
      <c r="S19" s="42"/>
      <c r="T19" s="42"/>
      <c r="U19" s="42"/>
      <c r="V19" s="347" t="str">
        <f t="shared" si="2"/>
        <v/>
      </c>
    </row>
    <row r="20" spans="1:22" ht="18" customHeight="1" x14ac:dyDescent="0.2">
      <c r="A20" s="77" t="str">
        <f>IF($C$9="Data Not Entered On Set-Up Worksheet","",IF(OR(VLOOKUP($C$9,County_Lookup,6,FALSE)="",VLOOKUP($C$9,County_Lookup,6,FALSE)=0),"",VLOOKUP($C$9,County_Lookup,6,FALSE)))</f>
        <v/>
      </c>
      <c r="B20" s="52"/>
      <c r="C20" s="42"/>
      <c r="D20" s="42"/>
      <c r="E20" s="42"/>
      <c r="F20" s="42"/>
      <c r="G20" s="42"/>
      <c r="H20" s="43" t="str">
        <f t="shared" si="0"/>
        <v/>
      </c>
      <c r="I20" s="52"/>
      <c r="J20" s="42"/>
      <c r="K20" s="42"/>
      <c r="L20" s="42"/>
      <c r="M20" s="42"/>
      <c r="N20" s="42"/>
      <c r="O20" s="43" t="str">
        <f t="shared" si="1"/>
        <v/>
      </c>
      <c r="P20" s="52"/>
      <c r="Q20" s="42"/>
      <c r="R20" s="42"/>
      <c r="S20" s="42"/>
      <c r="T20" s="42"/>
      <c r="U20" s="42"/>
      <c r="V20" s="347" t="str">
        <f t="shared" si="2"/>
        <v/>
      </c>
    </row>
    <row r="21" spans="1:22" ht="18" customHeight="1" x14ac:dyDescent="0.2">
      <c r="A21" s="77" t="str">
        <f>IF($C$9="Data Not Entered On Set-Up Worksheet","",IF(OR(VLOOKUP($C$9,County_Lookup,7,FALSE)="",VLOOKUP($C$9,County_Lookup,7,FALSE)=0),"",VLOOKUP($C$9,County_Lookup,7,FALSE)))</f>
        <v/>
      </c>
      <c r="B21" s="52"/>
      <c r="C21" s="42"/>
      <c r="D21" s="42"/>
      <c r="E21" s="42"/>
      <c r="F21" s="42"/>
      <c r="G21" s="42"/>
      <c r="H21" s="43" t="str">
        <f t="shared" si="0"/>
        <v/>
      </c>
      <c r="I21" s="52"/>
      <c r="J21" s="42"/>
      <c r="K21" s="42"/>
      <c r="L21" s="42"/>
      <c r="M21" s="42"/>
      <c r="N21" s="42"/>
      <c r="O21" s="43" t="str">
        <f t="shared" si="1"/>
        <v/>
      </c>
      <c r="P21" s="52"/>
      <c r="Q21" s="42"/>
      <c r="R21" s="42"/>
      <c r="S21" s="42"/>
      <c r="T21" s="42"/>
      <c r="U21" s="42"/>
      <c r="V21" s="347" t="str">
        <f t="shared" si="2"/>
        <v/>
      </c>
    </row>
    <row r="22" spans="1:22" ht="18" customHeight="1" x14ac:dyDescent="0.2">
      <c r="A22" s="76" t="str">
        <f>IF($C$9="Data Not Entered On Set-Up Worksheet","",IF(OR(VLOOKUP($C$9,County_Lookup,8,FALSE)="",VLOOKUP($C$9,County_Lookup,8,FALSE)=0),"",VLOOKUP($C$9,County_Lookup,8,FALSE)))</f>
        <v/>
      </c>
      <c r="B22" s="52"/>
      <c r="C22" s="42"/>
      <c r="D22" s="42"/>
      <c r="E22" s="42"/>
      <c r="F22" s="42"/>
      <c r="G22" s="42"/>
      <c r="H22" s="43" t="str">
        <f t="shared" si="0"/>
        <v/>
      </c>
      <c r="I22" s="52"/>
      <c r="J22" s="42"/>
      <c r="K22" s="42"/>
      <c r="L22" s="42"/>
      <c r="M22" s="42"/>
      <c r="N22" s="42"/>
      <c r="O22" s="43" t="str">
        <f t="shared" si="1"/>
        <v/>
      </c>
      <c r="P22" s="52"/>
      <c r="Q22" s="42"/>
      <c r="R22" s="42"/>
      <c r="S22" s="42"/>
      <c r="T22" s="42"/>
      <c r="U22" s="42"/>
      <c r="V22" s="347" t="str">
        <f t="shared" si="2"/>
        <v/>
      </c>
    </row>
    <row r="23" spans="1:22" ht="18" customHeight="1" x14ac:dyDescent="0.2">
      <c r="A23" s="77" t="str">
        <f>IF($C$9="Data Not Entered On Set-Up Worksheet","",IF(OR(VLOOKUP($C$9,County_Lookup,9,FALSE)="",VLOOKUP($C$9,County_Lookup,9,FALSE)=0),"",VLOOKUP($C$9,County_Lookup,9,FALSE)))</f>
        <v/>
      </c>
      <c r="B23" s="52"/>
      <c r="C23" s="42"/>
      <c r="D23" s="42"/>
      <c r="E23" s="42"/>
      <c r="F23" s="42"/>
      <c r="G23" s="42"/>
      <c r="H23" s="43" t="str">
        <f t="shared" si="0"/>
        <v/>
      </c>
      <c r="I23" s="52"/>
      <c r="J23" s="42"/>
      <c r="K23" s="42"/>
      <c r="L23" s="42"/>
      <c r="M23" s="42"/>
      <c r="N23" s="42"/>
      <c r="O23" s="43" t="str">
        <f t="shared" si="1"/>
        <v/>
      </c>
      <c r="P23" s="52"/>
      <c r="Q23" s="42"/>
      <c r="R23" s="42"/>
      <c r="S23" s="42"/>
      <c r="T23" s="42"/>
      <c r="U23" s="42"/>
      <c r="V23" s="347" t="str">
        <f t="shared" si="2"/>
        <v/>
      </c>
    </row>
    <row r="24" spans="1:22" ht="18" customHeight="1" x14ac:dyDescent="0.2">
      <c r="A24" s="77" t="str">
        <f>IF($C$9="Data Not Entered On Set-Up Worksheet","",IF(OR(VLOOKUP($C$9,County_Lookup,10,FALSE)="",VLOOKUP($C$9,County_Lookup,10,FALSE)=0),"",VLOOKUP($C$9,County_Lookup,10,FALSE)))</f>
        <v/>
      </c>
      <c r="B24" s="52"/>
      <c r="C24" s="42"/>
      <c r="D24" s="42"/>
      <c r="E24" s="42"/>
      <c r="F24" s="42"/>
      <c r="G24" s="42"/>
      <c r="H24" s="43" t="str">
        <f t="shared" si="0"/>
        <v/>
      </c>
      <c r="I24" s="52"/>
      <c r="J24" s="42"/>
      <c r="K24" s="42"/>
      <c r="L24" s="42"/>
      <c r="M24" s="42"/>
      <c r="N24" s="42"/>
      <c r="O24" s="43" t="str">
        <f t="shared" si="1"/>
        <v/>
      </c>
      <c r="P24" s="52"/>
      <c r="Q24" s="42"/>
      <c r="R24" s="42"/>
      <c r="S24" s="42"/>
      <c r="T24" s="42"/>
      <c r="U24" s="42"/>
      <c r="V24" s="347" t="str">
        <f t="shared" si="2"/>
        <v/>
      </c>
    </row>
    <row r="25" spans="1:22" ht="18" customHeight="1" x14ac:dyDescent="0.2">
      <c r="A25" s="77" t="str">
        <f>IF($C$9="Data Not Entered On Set-Up Worksheet","",IF(OR(VLOOKUP($C$9,County_Lookup,11,FALSE)="",VLOOKUP($C$9,County_Lookup,11,FALSE)=0),"",VLOOKUP($C$9,County_Lookup,11,FALSE)))</f>
        <v/>
      </c>
      <c r="B25" s="52"/>
      <c r="C25" s="42"/>
      <c r="D25" s="42"/>
      <c r="E25" s="42"/>
      <c r="F25" s="42"/>
      <c r="G25" s="42"/>
      <c r="H25" s="43" t="str">
        <f t="shared" si="0"/>
        <v/>
      </c>
      <c r="I25" s="52"/>
      <c r="J25" s="42"/>
      <c r="K25" s="42"/>
      <c r="L25" s="42"/>
      <c r="M25" s="42"/>
      <c r="N25" s="42"/>
      <c r="O25" s="43" t="str">
        <f t="shared" si="1"/>
        <v/>
      </c>
      <c r="P25" s="52"/>
      <c r="Q25" s="42"/>
      <c r="R25" s="42"/>
      <c r="S25" s="42"/>
      <c r="T25" s="42"/>
      <c r="U25" s="42"/>
      <c r="V25" s="347" t="str">
        <f t="shared" si="2"/>
        <v/>
      </c>
    </row>
    <row r="26" spans="1:22" ht="18" customHeight="1" x14ac:dyDescent="0.2">
      <c r="A26" s="77" t="str">
        <f>IF($C$9="Data Not Entered On Set-Up Worksheet","",IF(OR(VLOOKUP($C$9,County_Lookup,12,FALSE)="",VLOOKUP($C$9,County_Lookup,12,FALSE)=0),"",VLOOKUP($C$9,County_Lookup,12,FALSE)))</f>
        <v/>
      </c>
      <c r="B26" s="52"/>
      <c r="C26" s="42"/>
      <c r="D26" s="42"/>
      <c r="E26" s="42"/>
      <c r="F26" s="42"/>
      <c r="G26" s="42"/>
      <c r="H26" s="43" t="str">
        <f t="shared" si="0"/>
        <v/>
      </c>
      <c r="I26" s="52"/>
      <c r="J26" s="42"/>
      <c r="K26" s="42"/>
      <c r="L26" s="42"/>
      <c r="M26" s="42"/>
      <c r="N26" s="42"/>
      <c r="O26" s="43" t="str">
        <f t="shared" si="1"/>
        <v/>
      </c>
      <c r="P26" s="52"/>
      <c r="Q26" s="42"/>
      <c r="R26" s="42"/>
      <c r="S26" s="42"/>
      <c r="T26" s="42"/>
      <c r="U26" s="42"/>
      <c r="V26" s="347" t="str">
        <f t="shared" si="2"/>
        <v/>
      </c>
    </row>
    <row r="27" spans="1:22" ht="18" customHeight="1" x14ac:dyDescent="0.2">
      <c r="A27" s="77" t="str">
        <f>IF($C$9="Data Not Entered On Set-Up Worksheet","",IF(OR(VLOOKUP($C$9,County_Lookup,13,FALSE)="",VLOOKUP($C$9,County_Lookup,13,FALSE)=0),"",VLOOKUP($C$9,County_Lookup,13,FALSE)))</f>
        <v/>
      </c>
      <c r="B27" s="52"/>
      <c r="C27" s="42"/>
      <c r="D27" s="42"/>
      <c r="E27" s="42"/>
      <c r="F27" s="42"/>
      <c r="G27" s="42"/>
      <c r="H27" s="43" t="str">
        <f t="shared" si="0"/>
        <v/>
      </c>
      <c r="I27" s="52"/>
      <c r="J27" s="42"/>
      <c r="K27" s="42"/>
      <c r="L27" s="42"/>
      <c r="M27" s="42"/>
      <c r="N27" s="42"/>
      <c r="O27" s="43" t="str">
        <f t="shared" si="1"/>
        <v/>
      </c>
      <c r="P27" s="52"/>
      <c r="Q27" s="42"/>
      <c r="R27" s="42"/>
      <c r="S27" s="42"/>
      <c r="T27" s="42"/>
      <c r="U27" s="42"/>
      <c r="V27" s="347" t="str">
        <f t="shared" si="2"/>
        <v/>
      </c>
    </row>
    <row r="28" spans="1:22" ht="18" customHeight="1" x14ac:dyDescent="0.2">
      <c r="A28" s="77" t="str">
        <f>IF($C$9="Data Not Entered On Set-Up Worksheet","",IF(OR(VLOOKUP($C$9,County_Lookup,14,FALSE)="",VLOOKUP($C$9,County_Lookup,14,FALSE)=0),"",VLOOKUP($C$9,County_Lookup,14,FALSE)))</f>
        <v/>
      </c>
      <c r="B28" s="52"/>
      <c r="C28" s="42"/>
      <c r="D28" s="42"/>
      <c r="E28" s="42"/>
      <c r="F28" s="42"/>
      <c r="G28" s="42"/>
      <c r="H28" s="43" t="str">
        <f t="shared" si="0"/>
        <v/>
      </c>
      <c r="I28" s="52"/>
      <c r="J28" s="42"/>
      <c r="K28" s="42"/>
      <c r="L28" s="42"/>
      <c r="M28" s="42"/>
      <c r="N28" s="42"/>
      <c r="O28" s="43" t="str">
        <f t="shared" si="1"/>
        <v/>
      </c>
      <c r="P28" s="52"/>
      <c r="Q28" s="42"/>
      <c r="R28" s="42"/>
      <c r="S28" s="42"/>
      <c r="T28" s="42"/>
      <c r="U28" s="42"/>
      <c r="V28" s="347" t="str">
        <f t="shared" si="2"/>
        <v/>
      </c>
    </row>
    <row r="29" spans="1:22" ht="18" customHeight="1" x14ac:dyDescent="0.2">
      <c r="A29" s="76" t="str">
        <f>IF($C$9="Data Not Entered On Set-Up Worksheet","",IF(OR(VLOOKUP($C$9,County_Lookup,15,FALSE)="",VLOOKUP($C$9,County_Lookup,15,FALSE)=0),"",VLOOKUP($C$9,County_Lookup,15,FALSE)))</f>
        <v/>
      </c>
      <c r="B29" s="52"/>
      <c r="C29" s="42"/>
      <c r="D29" s="42"/>
      <c r="E29" s="42"/>
      <c r="F29" s="42"/>
      <c r="G29" s="42"/>
      <c r="H29" s="43" t="str">
        <f t="shared" si="0"/>
        <v/>
      </c>
      <c r="I29" s="52"/>
      <c r="J29" s="42"/>
      <c r="K29" s="42"/>
      <c r="L29" s="42"/>
      <c r="M29" s="42"/>
      <c r="N29" s="42"/>
      <c r="O29" s="43" t="str">
        <f t="shared" si="1"/>
        <v/>
      </c>
      <c r="P29" s="52"/>
      <c r="Q29" s="42"/>
      <c r="R29" s="42"/>
      <c r="S29" s="42"/>
      <c r="T29" s="42"/>
      <c r="U29" s="42"/>
      <c r="V29" s="347" t="str">
        <f t="shared" si="2"/>
        <v/>
      </c>
    </row>
    <row r="30" spans="1:22" ht="18" customHeight="1" x14ac:dyDescent="0.2">
      <c r="A30" s="77" t="str">
        <f>IF($C$9="Data Not Entered On Set-Up Worksheet","",IF(OR(VLOOKUP($C$9,County_Lookup,16,FALSE)="",VLOOKUP($C$9,County_Lookup,16,FALSE)=0),"",VLOOKUP($C$9,County_Lookup,16,FALSE)))</f>
        <v/>
      </c>
      <c r="B30" s="52"/>
      <c r="C30" s="42"/>
      <c r="D30" s="42"/>
      <c r="E30" s="42"/>
      <c r="F30" s="42"/>
      <c r="G30" s="42"/>
      <c r="H30" s="43" t="str">
        <f t="shared" si="0"/>
        <v/>
      </c>
      <c r="I30" s="52"/>
      <c r="J30" s="42"/>
      <c r="K30" s="42"/>
      <c r="L30" s="42"/>
      <c r="M30" s="42"/>
      <c r="N30" s="42"/>
      <c r="O30" s="43" t="str">
        <f t="shared" si="1"/>
        <v/>
      </c>
      <c r="P30" s="52"/>
      <c r="Q30" s="42"/>
      <c r="R30" s="42"/>
      <c r="S30" s="42"/>
      <c r="T30" s="42"/>
      <c r="U30" s="42"/>
      <c r="V30" s="347" t="str">
        <f t="shared" si="2"/>
        <v/>
      </c>
    </row>
    <row r="31" spans="1:22" ht="18" customHeight="1" x14ac:dyDescent="0.2">
      <c r="A31" s="77" t="str">
        <f>IF($C$9="Data Not Entered On Set-Up Worksheet","",IF(OR(VLOOKUP($C$9,County_Lookup,17,FALSE)="",VLOOKUP($C$9,County_Lookup,17,FALSE)=0),"",VLOOKUP($C$9,County_Lookup,17,FALSE)))</f>
        <v/>
      </c>
      <c r="B31" s="52"/>
      <c r="C31" s="42"/>
      <c r="D31" s="42"/>
      <c r="E31" s="42"/>
      <c r="F31" s="42"/>
      <c r="G31" s="42"/>
      <c r="H31" s="43" t="str">
        <f t="shared" si="0"/>
        <v/>
      </c>
      <c r="I31" s="52"/>
      <c r="J31" s="42"/>
      <c r="K31" s="42"/>
      <c r="L31" s="42"/>
      <c r="M31" s="42"/>
      <c r="N31" s="42"/>
      <c r="O31" s="43" t="str">
        <f t="shared" si="1"/>
        <v/>
      </c>
      <c r="P31" s="52"/>
      <c r="Q31" s="42"/>
      <c r="R31" s="42"/>
      <c r="S31" s="42"/>
      <c r="T31" s="42"/>
      <c r="U31" s="42"/>
      <c r="V31" s="347" t="str">
        <f t="shared" si="2"/>
        <v/>
      </c>
    </row>
    <row r="32" spans="1:22" ht="18" customHeight="1" x14ac:dyDescent="0.2">
      <c r="A32" s="77" t="str">
        <f>IF($C$9="Data Not Entered On Set-Up Worksheet","",IF(OR(VLOOKUP($C$9,County_Lookup,18,FALSE)="",VLOOKUP($C$9,County_Lookup,18,FALSE)=0),"",VLOOKUP($C$9,County_Lookup,18,FALSE)))</f>
        <v/>
      </c>
      <c r="B32" s="52"/>
      <c r="C32" s="42"/>
      <c r="D32" s="42"/>
      <c r="E32" s="42"/>
      <c r="F32" s="42"/>
      <c r="G32" s="42"/>
      <c r="H32" s="43" t="str">
        <f t="shared" si="0"/>
        <v/>
      </c>
      <c r="I32" s="52"/>
      <c r="J32" s="42"/>
      <c r="K32" s="42"/>
      <c r="L32" s="42"/>
      <c r="M32" s="42"/>
      <c r="N32" s="42"/>
      <c r="O32" s="43" t="str">
        <f t="shared" si="1"/>
        <v/>
      </c>
      <c r="P32" s="52"/>
      <c r="Q32" s="42"/>
      <c r="R32" s="42"/>
      <c r="S32" s="42"/>
      <c r="T32" s="42"/>
      <c r="U32" s="42"/>
      <c r="V32" s="347" t="str">
        <f t="shared" si="2"/>
        <v/>
      </c>
    </row>
    <row r="33" spans="1:22" ht="18" customHeight="1" x14ac:dyDescent="0.2">
      <c r="A33" s="77" t="str">
        <f>IF($C$9="Data Not Entered On Set-Up Worksheet","",IF(OR(VLOOKUP($C$9,County_Lookup,19,FALSE)="",VLOOKUP($C$9,County_Lookup,19,FALSE)=0),"",VLOOKUP($C$9,County_Lookup,19,FALSE)))</f>
        <v/>
      </c>
      <c r="B33" s="52"/>
      <c r="C33" s="42"/>
      <c r="D33" s="42"/>
      <c r="E33" s="42"/>
      <c r="F33" s="42"/>
      <c r="G33" s="42"/>
      <c r="H33" s="43" t="str">
        <f t="shared" si="0"/>
        <v/>
      </c>
      <c r="I33" s="52"/>
      <c r="J33" s="42"/>
      <c r="K33" s="42"/>
      <c r="L33" s="42"/>
      <c r="M33" s="42"/>
      <c r="N33" s="42"/>
      <c r="O33" s="43" t="str">
        <f t="shared" si="1"/>
        <v/>
      </c>
      <c r="P33" s="52"/>
      <c r="Q33" s="42"/>
      <c r="R33" s="42"/>
      <c r="S33" s="42"/>
      <c r="T33" s="42"/>
      <c r="U33" s="42"/>
      <c r="V33" s="347" t="str">
        <f t="shared" si="2"/>
        <v/>
      </c>
    </row>
    <row r="34" spans="1:22" ht="18" customHeight="1" x14ac:dyDescent="0.2">
      <c r="A34" s="77" t="str">
        <f>IF($C$9="Data Not Entered On Set-Up Worksheet","",IF(OR(VLOOKUP($C$9,County_Lookup,20,FALSE)="",VLOOKUP($C$9,County_Lookup,20,FALSE)=0),"",VLOOKUP($C$9,County_Lookup,20,FALSE)))</f>
        <v/>
      </c>
      <c r="B34" s="52"/>
      <c r="C34" s="42"/>
      <c r="D34" s="42"/>
      <c r="E34" s="42"/>
      <c r="F34" s="42"/>
      <c r="G34" s="42"/>
      <c r="H34" s="43" t="str">
        <f t="shared" si="0"/>
        <v/>
      </c>
      <c r="I34" s="52"/>
      <c r="J34" s="42"/>
      <c r="K34" s="42"/>
      <c r="L34" s="42"/>
      <c r="M34" s="42"/>
      <c r="N34" s="42"/>
      <c r="O34" s="43" t="str">
        <f t="shared" si="1"/>
        <v/>
      </c>
      <c r="P34" s="52"/>
      <c r="Q34" s="42"/>
      <c r="R34" s="42"/>
      <c r="S34" s="42"/>
      <c r="T34" s="42"/>
      <c r="U34" s="42"/>
      <c r="V34" s="347" t="str">
        <f t="shared" si="2"/>
        <v/>
      </c>
    </row>
    <row r="35" spans="1:22" ht="18" customHeight="1" x14ac:dyDescent="0.2">
      <c r="A35" s="77" t="str">
        <f>IF($C$9="Data Not Entered On Set-Up Worksheet","",IF(OR(VLOOKUP($C$9,County_Lookup,21,FALSE)="",VLOOKUP($C$9,County_Lookup,21,FALSE)=0),"",VLOOKUP($C$9,County_Lookup,21,FALSE)))</f>
        <v/>
      </c>
      <c r="B35" s="52"/>
      <c r="C35" s="42"/>
      <c r="D35" s="42"/>
      <c r="E35" s="42"/>
      <c r="F35" s="42"/>
      <c r="G35" s="42"/>
      <c r="H35" s="43" t="str">
        <f t="shared" si="0"/>
        <v/>
      </c>
      <c r="I35" s="52"/>
      <c r="J35" s="42"/>
      <c r="K35" s="42"/>
      <c r="L35" s="42"/>
      <c r="M35" s="42"/>
      <c r="N35" s="42"/>
      <c r="O35" s="43" t="str">
        <f t="shared" si="1"/>
        <v/>
      </c>
      <c r="P35" s="52"/>
      <c r="Q35" s="42"/>
      <c r="R35" s="42"/>
      <c r="S35" s="42"/>
      <c r="T35" s="42"/>
      <c r="U35" s="42"/>
      <c r="V35" s="347" t="str">
        <f t="shared" si="2"/>
        <v/>
      </c>
    </row>
    <row r="36" spans="1:22" ht="18" customHeight="1" x14ac:dyDescent="0.2">
      <c r="A36" s="76" t="str">
        <f>IF($C$9="Data Not Entered On Set-Up Worksheet","",IF(OR(VLOOKUP($C$9,County_Lookup,22,FALSE)="",VLOOKUP($C$9,County_Lookup,22,FALSE)=0),"",VLOOKUP($C$9,County_Lookup,22,FALSE)))</f>
        <v/>
      </c>
      <c r="B36" s="52"/>
      <c r="C36" s="42"/>
      <c r="D36" s="42"/>
      <c r="E36" s="42"/>
      <c r="F36" s="42"/>
      <c r="G36" s="42"/>
      <c r="H36" s="43" t="str">
        <f t="shared" si="0"/>
        <v/>
      </c>
      <c r="I36" s="52"/>
      <c r="J36" s="42"/>
      <c r="K36" s="42"/>
      <c r="L36" s="42"/>
      <c r="M36" s="42"/>
      <c r="N36" s="42"/>
      <c r="O36" s="43" t="str">
        <f t="shared" si="1"/>
        <v/>
      </c>
      <c r="P36" s="52"/>
      <c r="Q36" s="42"/>
      <c r="R36" s="42"/>
      <c r="S36" s="42"/>
      <c r="T36" s="42"/>
      <c r="U36" s="42"/>
      <c r="V36" s="347" t="str">
        <f t="shared" si="2"/>
        <v/>
      </c>
    </row>
    <row r="37" spans="1:22" ht="18" customHeight="1" x14ac:dyDescent="0.2">
      <c r="A37" s="77" t="str">
        <f>IF($C$9="Data Not Entered On Set-Up Worksheet","",IF(OR(VLOOKUP($C$9,County_Lookup,23,FALSE)="",VLOOKUP($C$9,County_Lookup,23,FALSE)=0),"",VLOOKUP($C$9,County_Lookup,23,FALSE)))</f>
        <v/>
      </c>
      <c r="B37" s="52"/>
      <c r="C37" s="42"/>
      <c r="D37" s="42"/>
      <c r="E37" s="42"/>
      <c r="F37" s="42"/>
      <c r="G37" s="42"/>
      <c r="H37" s="43" t="str">
        <f t="shared" si="0"/>
        <v/>
      </c>
      <c r="I37" s="52"/>
      <c r="J37" s="42"/>
      <c r="K37" s="42"/>
      <c r="L37" s="42"/>
      <c r="M37" s="42"/>
      <c r="N37" s="42"/>
      <c r="O37" s="43" t="str">
        <f t="shared" si="1"/>
        <v/>
      </c>
      <c r="P37" s="52"/>
      <c r="Q37" s="42"/>
      <c r="R37" s="42"/>
      <c r="S37" s="42"/>
      <c r="T37" s="42"/>
      <c r="U37" s="42"/>
      <c r="V37" s="347" t="str">
        <f t="shared" si="2"/>
        <v/>
      </c>
    </row>
    <row r="38" spans="1:22" ht="18" customHeight="1" x14ac:dyDescent="0.2">
      <c r="A38" s="77" t="str">
        <f>IF($C$9="Data Not Entered On Set-Up Worksheet","",IF(OR(VLOOKUP($C$9,County_Lookup,24,FALSE)="",VLOOKUP($C$9,County_Lookup,24,FALSE)=0),"",VLOOKUP($C$9,County_Lookup,24,FALSE)))</f>
        <v/>
      </c>
      <c r="B38" s="52"/>
      <c r="C38" s="42"/>
      <c r="D38" s="42"/>
      <c r="E38" s="42"/>
      <c r="F38" s="42"/>
      <c r="G38" s="42"/>
      <c r="H38" s="43" t="str">
        <f t="shared" ref="H38:H40" si="3">IF($A38="","",IF($G38=0,0,B38/$G38))</f>
        <v/>
      </c>
      <c r="I38" s="52"/>
      <c r="J38" s="42"/>
      <c r="K38" s="42"/>
      <c r="L38" s="42"/>
      <c r="M38" s="42"/>
      <c r="N38" s="42"/>
      <c r="O38" s="43" t="str">
        <f t="shared" ref="O38:O40" si="4">IF($A38="","",IF($N38=0,0,I38/$N38))</f>
        <v/>
      </c>
      <c r="P38" s="52"/>
      <c r="Q38" s="42"/>
      <c r="R38" s="42"/>
      <c r="S38" s="42"/>
      <c r="T38" s="42"/>
      <c r="U38" s="42"/>
      <c r="V38" s="347" t="str">
        <f t="shared" ref="V38:V40" si="5">IF($A38="","",IF($U38=0,0,P38/$U38))</f>
        <v/>
      </c>
    </row>
    <row r="39" spans="1:22" ht="18" customHeight="1" x14ac:dyDescent="0.2">
      <c r="A39" s="77" t="str">
        <f>IF($C$9="Data Not Entered On Set-Up Worksheet","",IF(OR(VLOOKUP($C$9,County_Lookup,25,FALSE)="",VLOOKUP($C$9,County_Lookup,25,FALSE)=0),"",VLOOKUP($C$9,County_Lookup,25,FALSE)))</f>
        <v/>
      </c>
      <c r="B39" s="52"/>
      <c r="C39" s="42"/>
      <c r="D39" s="42"/>
      <c r="E39" s="42"/>
      <c r="F39" s="42"/>
      <c r="G39" s="42"/>
      <c r="H39" s="43" t="str">
        <f t="shared" si="3"/>
        <v/>
      </c>
      <c r="I39" s="52"/>
      <c r="J39" s="42"/>
      <c r="K39" s="42"/>
      <c r="L39" s="42"/>
      <c r="M39" s="42"/>
      <c r="N39" s="42"/>
      <c r="O39" s="43" t="str">
        <f t="shared" si="4"/>
        <v/>
      </c>
      <c r="P39" s="52"/>
      <c r="Q39" s="42"/>
      <c r="R39" s="42"/>
      <c r="S39" s="42"/>
      <c r="T39" s="42"/>
      <c r="U39" s="42"/>
      <c r="V39" s="347" t="str">
        <f t="shared" si="5"/>
        <v/>
      </c>
    </row>
    <row r="40" spans="1:22" ht="18" customHeight="1" x14ac:dyDescent="0.2">
      <c r="A40" s="77" t="str">
        <f>IF($C$9="Data Not Entered On Set-Up Worksheet","",IF(OR(VLOOKUP($C$9,County_Lookup,26,FALSE)="",VLOOKUP($C$9,County_Lookup,26,FALSE)=0),"",VLOOKUP($C$9,County_Lookup,26,FALSE)))</f>
        <v/>
      </c>
      <c r="B40" s="52"/>
      <c r="C40" s="42"/>
      <c r="D40" s="42"/>
      <c r="E40" s="42"/>
      <c r="F40" s="42"/>
      <c r="G40" s="42"/>
      <c r="H40" s="43" t="str">
        <f t="shared" si="3"/>
        <v/>
      </c>
      <c r="I40" s="52"/>
      <c r="J40" s="42"/>
      <c r="K40" s="42"/>
      <c r="L40" s="42"/>
      <c r="M40" s="42"/>
      <c r="N40" s="42"/>
      <c r="O40" s="43" t="str">
        <f t="shared" si="4"/>
        <v/>
      </c>
      <c r="P40" s="52"/>
      <c r="Q40" s="42"/>
      <c r="R40" s="42"/>
      <c r="S40" s="42"/>
      <c r="T40" s="42"/>
      <c r="U40" s="42"/>
      <c r="V40" s="347" t="str">
        <f t="shared" si="5"/>
        <v/>
      </c>
    </row>
    <row r="41" spans="1:22" ht="18" customHeight="1" x14ac:dyDescent="0.2">
      <c r="A41" s="77" t="str">
        <f>IF($C$9="Data Not Entered On Set-Up Worksheet","",IF(OR(VLOOKUP($C$9,County_Lookup,27,FALSE)="",VLOOKUP($C$9,County_Lookup,27,FALSE)=0),"",VLOOKUP($C$9,County_Lookup,27,FALSE)))</f>
        <v/>
      </c>
      <c r="B41" s="52"/>
      <c r="C41" s="42"/>
      <c r="D41" s="42"/>
      <c r="E41" s="42"/>
      <c r="F41" s="42"/>
      <c r="G41" s="42"/>
      <c r="H41" s="43" t="str">
        <f t="shared" si="0"/>
        <v/>
      </c>
      <c r="I41" s="52"/>
      <c r="J41" s="42"/>
      <c r="K41" s="42"/>
      <c r="L41" s="42"/>
      <c r="M41" s="42"/>
      <c r="N41" s="42"/>
      <c r="O41" s="43" t="str">
        <f t="shared" si="1"/>
        <v/>
      </c>
      <c r="P41" s="52"/>
      <c r="Q41" s="42"/>
      <c r="R41" s="42"/>
      <c r="S41" s="42"/>
      <c r="T41" s="42"/>
      <c r="U41" s="42"/>
      <c r="V41" s="347" t="str">
        <f t="shared" si="2"/>
        <v/>
      </c>
    </row>
    <row r="42" spans="1:22" ht="18" customHeight="1" thickBot="1" x14ac:dyDescent="0.25">
      <c r="A42" s="78" t="s">
        <v>0</v>
      </c>
      <c r="B42" s="348">
        <f>SUM(B16:B41)</f>
        <v>0</v>
      </c>
      <c r="C42" s="349">
        <f t="shared" ref="C42:G42" si="6">SUM(C16:C41)</f>
        <v>0</v>
      </c>
      <c r="D42" s="349">
        <f t="shared" si="6"/>
        <v>0</v>
      </c>
      <c r="E42" s="349">
        <f t="shared" ref="E42" si="7">SUM(E16:E41)</f>
        <v>0</v>
      </c>
      <c r="F42" s="349">
        <f t="shared" si="6"/>
        <v>0</v>
      </c>
      <c r="G42" s="349">
        <f t="shared" si="6"/>
        <v>0</v>
      </c>
      <c r="H42" s="353">
        <f t="shared" si="0"/>
        <v>0</v>
      </c>
      <c r="I42" s="348">
        <f>SUM(I16:I41)</f>
        <v>0</v>
      </c>
      <c r="J42" s="349">
        <f t="shared" ref="J42:N42" si="8">SUM(J16:J41)</f>
        <v>0</v>
      </c>
      <c r="K42" s="349">
        <f t="shared" si="8"/>
        <v>0</v>
      </c>
      <c r="L42" s="349">
        <f t="shared" ref="L42" si="9">SUM(L16:L41)</f>
        <v>0</v>
      </c>
      <c r="M42" s="349">
        <f t="shared" si="8"/>
        <v>0</v>
      </c>
      <c r="N42" s="349">
        <f t="shared" si="8"/>
        <v>0</v>
      </c>
      <c r="O42" s="353">
        <f t="shared" si="1"/>
        <v>0</v>
      </c>
      <c r="P42" s="348">
        <f>SUM(P16:P41)</f>
        <v>0</v>
      </c>
      <c r="Q42" s="349">
        <f t="shared" ref="Q42:U42" si="10">SUM(Q16:Q41)</f>
        <v>0</v>
      </c>
      <c r="R42" s="349">
        <f t="shared" si="10"/>
        <v>0</v>
      </c>
      <c r="S42" s="349">
        <f t="shared" ref="S42" si="11">SUM(S16:S41)</f>
        <v>0</v>
      </c>
      <c r="T42" s="349">
        <f t="shared" si="10"/>
        <v>0</v>
      </c>
      <c r="U42" s="349">
        <f t="shared" si="10"/>
        <v>0</v>
      </c>
      <c r="V42" s="354">
        <f t="shared" si="2"/>
        <v>0</v>
      </c>
    </row>
    <row r="43" spans="1:22" x14ac:dyDescent="0.2">
      <c r="B43" s="22" t="s">
        <v>402</v>
      </c>
      <c r="I43" s="22" t="s">
        <v>402</v>
      </c>
      <c r="P43" s="22" t="s">
        <v>402</v>
      </c>
    </row>
  </sheetData>
  <sheetProtection sheet="1" objects="1" scenarios="1"/>
  <conditionalFormatting sqref="C3:C4">
    <cfRule type="expression" dxfId="274" priority="16">
      <formula>C3="Data Not Entered On Set-Up Worksheet"</formula>
    </cfRule>
  </conditionalFormatting>
  <conditionalFormatting sqref="C9">
    <cfRule type="expression" dxfId="273" priority="15">
      <formula>C9="Data Not Entered On Set-Up Worksheet"</formula>
    </cfRule>
  </conditionalFormatting>
  <conditionalFormatting sqref="B12">
    <cfRule type="expression" dxfId="272" priority="14">
      <formula>B12="Data Not Entered On Set-Up Worksheet"</formula>
    </cfRule>
  </conditionalFormatting>
  <conditionalFormatting sqref="C11">
    <cfRule type="expression" dxfId="271" priority="13">
      <formula>C11="Data Not Entered On Set-Up Worksheet"</formula>
    </cfRule>
  </conditionalFormatting>
  <conditionalFormatting sqref="F11">
    <cfRule type="expression" dxfId="270" priority="11">
      <formula>F11="Data Not Entered On Set-Up Worksheet"</formula>
    </cfRule>
  </conditionalFormatting>
  <conditionalFormatting sqref="B16:G38 I16:N38 P16:U38 P41:U41 I41:N41 B41:G41">
    <cfRule type="expression" dxfId="269" priority="91">
      <formula>AND($A16&lt;&gt;"",B16="")</formula>
    </cfRule>
  </conditionalFormatting>
  <conditionalFormatting sqref="B16:G38 B41:G41">
    <cfRule type="expression" dxfId="268" priority="5">
      <formula>$A16="Other"</formula>
    </cfRule>
  </conditionalFormatting>
  <conditionalFormatting sqref="P39:U39 I39:N39 B39:G39">
    <cfRule type="expression" dxfId="267" priority="4">
      <formula>AND($A39&lt;&gt;"",B39="")</formula>
    </cfRule>
  </conditionalFormatting>
  <conditionalFormatting sqref="B39:G39">
    <cfRule type="expression" dxfId="266" priority="3">
      <formula>$A39="Other"</formula>
    </cfRule>
  </conditionalFormatting>
  <conditionalFormatting sqref="P40:U40 I40:N40 B40:G40">
    <cfRule type="expression" dxfId="265" priority="2">
      <formula>AND($A40&lt;&gt;"",B40="")</formula>
    </cfRule>
  </conditionalFormatting>
  <conditionalFormatting sqref="B40:G40">
    <cfRule type="expression" dxfId="264" priority="1">
      <formula>$A40="Other"</formula>
    </cfRule>
  </conditionalFormatting>
  <pageMargins left="0.5" right="0.5" top="0.5" bottom="0.5" header="0.3" footer="0.3"/>
  <pageSetup scale="29" orientation="landscape" r:id="rId1"/>
  <headerFooter>
    <oddFooter>&amp;LNC DHHS LME-MCO Performance Measures Report Part II DMH/DD/SAS Measures&amp;C&amp;P&amp;R&amp;F</oddFooter>
  </headerFooter>
  <colBreaks count="2" manualBreakCount="2">
    <brk id="8" max="1048575" man="1"/>
    <brk id="15" max="1048575" man="1"/>
  </colBreaks>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BF42"/>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x14ac:dyDescent="0.2"/>
  <cols>
    <col min="1" max="1" width="22.42578125" style="22" customWidth="1"/>
    <col min="2" max="46" width="20.7109375" style="22" customWidth="1"/>
    <col min="47" max="47" width="8.85546875" style="22" bestFit="1" customWidth="1"/>
    <col min="48" max="16384" width="9.140625" style="22"/>
  </cols>
  <sheetData>
    <row r="1" spans="1:58" ht="15" customHeight="1" x14ac:dyDescent="0.2">
      <c r="A1" s="36" t="s">
        <v>28</v>
      </c>
      <c r="Q1" s="36" t="s">
        <v>329</v>
      </c>
      <c r="AF1" s="36" t="s">
        <v>329</v>
      </c>
    </row>
    <row r="2" spans="1:58" ht="15" customHeight="1" x14ac:dyDescent="0.2">
      <c r="A2" s="36" t="s">
        <v>196</v>
      </c>
      <c r="Q2" s="36" t="s">
        <v>330</v>
      </c>
      <c r="AF2" s="36" t="s">
        <v>330</v>
      </c>
    </row>
    <row r="3" spans="1:58" ht="15" customHeight="1" x14ac:dyDescent="0.2">
      <c r="A3" s="30" t="s">
        <v>194</v>
      </c>
      <c r="C3" s="147">
        <f>IF('Set-Up Worksheet'!$F$3="","Data Not Entered On Set-Up Worksheet",'Set-Up Worksheet'!$F$3)</f>
        <v>2018</v>
      </c>
      <c r="F3" s="38"/>
      <c r="I3" s="38"/>
      <c r="L3" s="38"/>
      <c r="O3" s="38"/>
      <c r="R3" s="147">
        <f>IF('Set-Up Worksheet'!$F$3="","Data Not Entered On Set-Up Worksheet",'Set-Up Worksheet'!$F$3)</f>
        <v>2018</v>
      </c>
      <c r="U3" s="38"/>
      <c r="X3" s="38"/>
      <c r="AA3" s="38"/>
      <c r="AD3" s="38"/>
      <c r="AG3" s="147">
        <f>IF('Set-Up Worksheet'!$F$3="","Data Not Entered On Set-Up Worksheet",'Set-Up Worksheet'!$F$3)</f>
        <v>2018</v>
      </c>
      <c r="AJ3" s="38"/>
      <c r="AM3" s="38"/>
      <c r="AP3" s="38"/>
      <c r="AS3" s="38"/>
    </row>
    <row r="4" spans="1:58" ht="15" customHeight="1" x14ac:dyDescent="0.2">
      <c r="A4" s="30" t="s">
        <v>195</v>
      </c>
      <c r="C4" s="147" t="str">
        <f>IF('Set-Up Worksheet'!$F$4="","Data Not Entered On Set-Up Worksheet",'Set-Up Worksheet'!$F$4)</f>
        <v>1st Quarter</v>
      </c>
      <c r="F4" s="32"/>
      <c r="I4" s="32"/>
      <c r="L4" s="32"/>
      <c r="O4" s="32"/>
      <c r="R4" s="147" t="str">
        <f>IF('Set-Up Worksheet'!$F$4="","Data Not Entered On Set-Up Worksheet",'Set-Up Worksheet'!$F$4)</f>
        <v>1st Quarter</v>
      </c>
      <c r="U4" s="32"/>
      <c r="X4" s="32"/>
      <c r="AA4" s="32"/>
      <c r="AD4" s="32"/>
      <c r="AG4" s="147" t="str">
        <f>IF('Set-Up Worksheet'!$F$4="","Data Not Entered On Set-Up Worksheet",'Set-Up Worksheet'!$F$4)</f>
        <v>1st Quarter</v>
      </c>
      <c r="AJ4" s="32"/>
      <c r="AM4" s="32"/>
      <c r="AP4" s="32"/>
      <c r="AS4" s="32"/>
    </row>
    <row r="5" spans="1:58" ht="15" customHeight="1" x14ac:dyDescent="0.2">
      <c r="A5" s="30"/>
      <c r="C5" s="32"/>
      <c r="F5" s="32"/>
      <c r="I5" s="32"/>
      <c r="L5" s="32"/>
      <c r="O5" s="32"/>
      <c r="R5" s="32"/>
      <c r="U5" s="32"/>
      <c r="X5" s="32"/>
      <c r="AA5" s="32"/>
      <c r="AD5" s="32"/>
      <c r="AG5" s="32"/>
      <c r="AJ5" s="32"/>
      <c r="AM5" s="32"/>
      <c r="AP5" s="32"/>
      <c r="AS5" s="32"/>
    </row>
    <row r="6" spans="1:58" ht="15" customHeight="1" x14ac:dyDescent="0.2">
      <c r="A6" s="30" t="s">
        <v>336</v>
      </c>
      <c r="C6" s="32"/>
      <c r="F6" s="32"/>
      <c r="I6" s="32"/>
      <c r="L6" s="32"/>
      <c r="O6" s="32"/>
      <c r="R6" s="32"/>
      <c r="U6" s="32"/>
      <c r="X6" s="32"/>
      <c r="AA6" s="32"/>
      <c r="AD6" s="32"/>
      <c r="AG6" s="32"/>
      <c r="AJ6" s="32"/>
      <c r="AM6" s="32"/>
      <c r="AP6" s="32"/>
      <c r="AS6" s="32"/>
    </row>
    <row r="7" spans="1:58" ht="15" customHeight="1" x14ac:dyDescent="0.2">
      <c r="A7" s="30" t="s">
        <v>420</v>
      </c>
      <c r="C7" s="32"/>
      <c r="F7" s="32"/>
      <c r="I7" s="32"/>
      <c r="L7" s="32"/>
      <c r="O7" s="32"/>
      <c r="Q7" s="30" t="s">
        <v>523</v>
      </c>
      <c r="R7" s="32"/>
      <c r="U7" s="32"/>
      <c r="X7" s="32"/>
      <c r="AA7" s="32"/>
      <c r="AD7" s="32"/>
      <c r="AF7" s="30" t="s">
        <v>523</v>
      </c>
      <c r="AG7" s="32"/>
      <c r="AJ7" s="32"/>
      <c r="AM7" s="32"/>
      <c r="AP7" s="32"/>
      <c r="AS7" s="32"/>
    </row>
    <row r="8" spans="1:58" ht="15" customHeight="1" x14ac:dyDescent="0.2">
      <c r="A8" s="30"/>
      <c r="C8" s="32"/>
      <c r="F8" s="32"/>
      <c r="I8" s="32"/>
      <c r="L8" s="32"/>
      <c r="O8" s="32"/>
      <c r="R8" s="32"/>
      <c r="U8" s="32"/>
      <c r="X8" s="32"/>
      <c r="AA8" s="32"/>
      <c r="AD8" s="32"/>
      <c r="AG8" s="32"/>
      <c r="AJ8" s="32"/>
      <c r="AM8" s="32"/>
      <c r="AP8" s="32"/>
      <c r="AS8" s="32"/>
      <c r="AX8" s="54"/>
      <c r="AY8" s="54"/>
      <c r="AZ8" s="55"/>
      <c r="BA8" s="54"/>
      <c r="BB8" s="54"/>
      <c r="BC8" s="54"/>
      <c r="BD8" s="54"/>
      <c r="BE8" s="30"/>
      <c r="BF8" s="35"/>
    </row>
    <row r="9" spans="1:58" ht="15" customHeight="1" x14ac:dyDescent="0.2">
      <c r="A9" s="30" t="s">
        <v>29</v>
      </c>
      <c r="C9" s="39" t="str">
        <f>IF('Set-Up Worksheet'!$E$7="","Data Not Entered On Set-Up Worksheet",'Set-Up Worksheet'!$E$7)</f>
        <v>Data Not Entered On Set-Up Worksheet</v>
      </c>
      <c r="I9" s="39"/>
      <c r="L9" s="39"/>
      <c r="O9" s="39"/>
      <c r="R9" s="39" t="str">
        <f>IF('Set-Up Worksheet'!$E$7="","Data Not Entered On Set-Up Worksheet",'Set-Up Worksheet'!$E$7)</f>
        <v>Data Not Entered On Set-Up Worksheet</v>
      </c>
      <c r="X9" s="39"/>
      <c r="AA9" s="39"/>
      <c r="AD9" s="39"/>
      <c r="AG9" s="39" t="str">
        <f>IF('Set-Up Worksheet'!$E$7="","Data Not Entered On Set-Up Worksheet",'Set-Up Worksheet'!$E$7)</f>
        <v>Data Not Entered On Set-Up Worksheet</v>
      </c>
      <c r="AM9" s="39"/>
      <c r="AP9" s="39"/>
      <c r="AS9" s="39"/>
    </row>
    <row r="10" spans="1:58" ht="15" customHeight="1" x14ac:dyDescent="0.2">
      <c r="A10" s="30" t="s">
        <v>9</v>
      </c>
      <c r="C10" s="32" t="s">
        <v>10</v>
      </c>
      <c r="F10" s="32"/>
      <c r="I10" s="32"/>
      <c r="L10" s="32"/>
      <c r="O10" s="32"/>
      <c r="R10" s="32" t="s">
        <v>10</v>
      </c>
      <c r="U10" s="32"/>
      <c r="X10" s="32"/>
      <c r="AA10" s="32"/>
      <c r="AD10" s="32"/>
      <c r="AG10" s="32" t="s">
        <v>10</v>
      </c>
      <c r="AJ10" s="32"/>
      <c r="AM10" s="32"/>
      <c r="AP10" s="32"/>
      <c r="AS10" s="32"/>
    </row>
    <row r="11" spans="1:58" ht="15" customHeight="1" x14ac:dyDescent="0.2">
      <c r="A11" s="30" t="s">
        <v>197</v>
      </c>
      <c r="C11" s="40" t="str">
        <f>IF($C$4="Data Not Entered On Set-Up Worksheet","Data Not Entered On Set-Up Worksheet",IF($C$4="1st Quarter",'Report Schedule'!$D$55,IF($C$4="2nd Quarter",'Report Schedule'!$E$55,IF($C$4="3rd Quarter",'Report Schedule'!$F$55,IF($C$4="4th Quarter",'Report Schedule'!$G$55,"")))))</f>
        <v>Jul 2016 - Jun 2017</v>
      </c>
      <c r="F11" s="79" t="s">
        <v>40</v>
      </c>
      <c r="I11" s="40"/>
      <c r="L11" s="40"/>
      <c r="O11" s="40"/>
      <c r="R11" s="40" t="str">
        <f>IF($C$4="Data Not Entered On Set-Up Worksheet","Data Not Entered On Set-Up Worksheet",IF($C$4="1st Quarter",'Report Schedule'!$D$55,IF($C$4="2nd Quarter",'Report Schedule'!$E$55,IF($C$4="3rd Quarter",'Report Schedule'!$F$55,IF($C$4="4th Quarter",'Report Schedule'!$G$55,"")))))</f>
        <v>Jul 2016 - Jun 2017</v>
      </c>
      <c r="U11" s="79" t="s">
        <v>40</v>
      </c>
      <c r="X11" s="40"/>
      <c r="AA11" s="40"/>
      <c r="AD11" s="40"/>
      <c r="AG11" s="40" t="str">
        <f>IF($C$4="Data Not Entered On Set-Up Worksheet","Data Not Entered On Set-Up Worksheet",IF($C$4="1st Quarter",'Report Schedule'!$D$55,IF($C$4="2nd Quarter",'Report Schedule'!$E$55,IF($C$4="3rd Quarter",'Report Schedule'!$F$55,IF($C$4="4th Quarter",'Report Schedule'!$G$55,"")))))</f>
        <v>Jul 2016 - Jun 2017</v>
      </c>
      <c r="AJ11" s="79" t="s">
        <v>40</v>
      </c>
      <c r="AM11" s="40"/>
      <c r="AP11" s="40"/>
      <c r="AS11" s="40"/>
    </row>
    <row r="12" spans="1:58" ht="15" customHeight="1" x14ac:dyDescent="0.2">
      <c r="A12" s="30"/>
      <c r="C12" s="40"/>
      <c r="F12" s="79"/>
      <c r="I12" s="40"/>
      <c r="L12" s="40"/>
      <c r="O12" s="40"/>
      <c r="R12" s="40"/>
      <c r="U12" s="79"/>
      <c r="X12" s="40"/>
      <c r="AA12" s="40"/>
      <c r="AD12" s="40"/>
      <c r="AG12" s="40"/>
      <c r="AJ12" s="79"/>
      <c r="AM12" s="40"/>
      <c r="AP12" s="40"/>
      <c r="AS12" s="40"/>
    </row>
    <row r="13" spans="1:58" ht="15" customHeight="1" thickBot="1" x14ac:dyDescent="0.25">
      <c r="B13" s="50"/>
      <c r="C13" s="50"/>
      <c r="D13" s="50"/>
      <c r="E13" s="50"/>
      <c r="F13" s="50"/>
      <c r="G13" s="50"/>
      <c r="H13" s="50"/>
      <c r="I13" s="50"/>
      <c r="J13" s="50"/>
      <c r="K13" s="50"/>
      <c r="L13" s="495"/>
      <c r="M13" s="495"/>
      <c r="N13" s="50"/>
      <c r="O13" s="495"/>
      <c r="P13" s="495"/>
      <c r="Q13" s="50"/>
      <c r="R13" s="50"/>
      <c r="S13" s="50"/>
      <c r="T13" s="50"/>
      <c r="U13" s="50"/>
      <c r="V13" s="50"/>
      <c r="W13" s="50"/>
      <c r="X13" s="50"/>
      <c r="Y13" s="50"/>
      <c r="Z13" s="50"/>
      <c r="AA13" s="495"/>
      <c r="AB13" s="495"/>
      <c r="AC13" s="50"/>
      <c r="AD13" s="495"/>
      <c r="AE13" s="495"/>
      <c r="AF13" s="50"/>
      <c r="AG13" s="50"/>
      <c r="AH13" s="50"/>
      <c r="AI13" s="50"/>
      <c r="AJ13" s="50"/>
      <c r="AK13" s="50"/>
      <c r="AL13" s="50"/>
      <c r="AM13" s="50"/>
      <c r="AN13" s="50"/>
      <c r="AO13" s="50"/>
      <c r="AP13" s="495"/>
      <c r="AQ13" s="495"/>
      <c r="AR13" s="50"/>
      <c r="AS13" s="495"/>
      <c r="AT13" s="495"/>
    </row>
    <row r="14" spans="1:58" s="35" customFormat="1" ht="30" customHeight="1" thickBot="1" x14ac:dyDescent="0.25">
      <c r="A14" s="30"/>
      <c r="B14" s="387" t="s">
        <v>508</v>
      </c>
      <c r="C14" s="487"/>
      <c r="D14" s="488"/>
      <c r="E14" s="387" t="s">
        <v>509</v>
      </c>
      <c r="F14" s="487"/>
      <c r="G14" s="488"/>
      <c r="H14" s="387" t="s">
        <v>510</v>
      </c>
      <c r="I14" s="487"/>
      <c r="J14" s="488"/>
      <c r="K14" s="387" t="s">
        <v>511</v>
      </c>
      <c r="L14" s="487"/>
      <c r="M14" s="488"/>
      <c r="N14" s="387" t="s">
        <v>512</v>
      </c>
      <c r="O14" s="487"/>
      <c r="P14" s="488"/>
      <c r="Q14" s="489" t="s">
        <v>513</v>
      </c>
      <c r="R14" s="490"/>
      <c r="S14" s="491"/>
      <c r="T14" s="489" t="s">
        <v>514</v>
      </c>
      <c r="U14" s="490"/>
      <c r="V14" s="491"/>
      <c r="W14" s="489" t="s">
        <v>515</v>
      </c>
      <c r="X14" s="490"/>
      <c r="Y14" s="491"/>
      <c r="Z14" s="489" t="s">
        <v>516</v>
      </c>
      <c r="AA14" s="490"/>
      <c r="AB14" s="491"/>
      <c r="AC14" s="489" t="s">
        <v>517</v>
      </c>
      <c r="AD14" s="490"/>
      <c r="AE14" s="491"/>
      <c r="AF14" s="492" t="s">
        <v>518</v>
      </c>
      <c r="AG14" s="493"/>
      <c r="AH14" s="494"/>
      <c r="AI14" s="492" t="s">
        <v>519</v>
      </c>
      <c r="AJ14" s="493"/>
      <c r="AK14" s="494"/>
      <c r="AL14" s="492" t="s">
        <v>520</v>
      </c>
      <c r="AM14" s="493"/>
      <c r="AN14" s="494"/>
      <c r="AO14" s="492" t="s">
        <v>521</v>
      </c>
      <c r="AP14" s="493"/>
      <c r="AQ14" s="494"/>
      <c r="AR14" s="492" t="s">
        <v>522</v>
      </c>
      <c r="AS14" s="493"/>
      <c r="AT14" s="494"/>
    </row>
    <row r="15" spans="1:58" s="35" customFormat="1" ht="13.5" thickBot="1" x14ac:dyDescent="0.25">
      <c r="A15" s="30"/>
      <c r="B15" s="56" t="s">
        <v>3</v>
      </c>
      <c r="C15" s="57" t="s">
        <v>4</v>
      </c>
      <c r="D15" s="58" t="s">
        <v>5</v>
      </c>
      <c r="E15" s="56" t="s">
        <v>3</v>
      </c>
      <c r="F15" s="57" t="s">
        <v>4</v>
      </c>
      <c r="G15" s="58" t="s">
        <v>5</v>
      </c>
      <c r="H15" s="56" t="s">
        <v>3</v>
      </c>
      <c r="I15" s="57" t="s">
        <v>4</v>
      </c>
      <c r="J15" s="58" t="s">
        <v>5</v>
      </c>
      <c r="K15" s="56" t="s">
        <v>3</v>
      </c>
      <c r="L15" s="57" t="s">
        <v>4</v>
      </c>
      <c r="M15" s="58" t="s">
        <v>5</v>
      </c>
      <c r="N15" s="56" t="s">
        <v>3</v>
      </c>
      <c r="O15" s="57" t="s">
        <v>4</v>
      </c>
      <c r="P15" s="58" t="s">
        <v>5</v>
      </c>
      <c r="Q15" s="56" t="s">
        <v>3</v>
      </c>
      <c r="R15" s="57" t="s">
        <v>4</v>
      </c>
      <c r="S15" s="58" t="s">
        <v>5</v>
      </c>
      <c r="T15" s="56" t="s">
        <v>3</v>
      </c>
      <c r="U15" s="57" t="s">
        <v>4</v>
      </c>
      <c r="V15" s="58" t="s">
        <v>5</v>
      </c>
      <c r="W15" s="56" t="s">
        <v>3</v>
      </c>
      <c r="X15" s="57" t="s">
        <v>4</v>
      </c>
      <c r="Y15" s="58" t="s">
        <v>5</v>
      </c>
      <c r="Z15" s="56" t="s">
        <v>3</v>
      </c>
      <c r="AA15" s="57" t="s">
        <v>4</v>
      </c>
      <c r="AB15" s="58" t="s">
        <v>5</v>
      </c>
      <c r="AC15" s="56" t="s">
        <v>3</v>
      </c>
      <c r="AD15" s="57" t="s">
        <v>4</v>
      </c>
      <c r="AE15" s="58" t="s">
        <v>5</v>
      </c>
      <c r="AF15" s="56" t="s">
        <v>3</v>
      </c>
      <c r="AG15" s="57" t="s">
        <v>4</v>
      </c>
      <c r="AH15" s="58" t="s">
        <v>5</v>
      </c>
      <c r="AI15" s="56" t="s">
        <v>3</v>
      </c>
      <c r="AJ15" s="57" t="s">
        <v>4</v>
      </c>
      <c r="AK15" s="58" t="s">
        <v>5</v>
      </c>
      <c r="AL15" s="56" t="s">
        <v>3</v>
      </c>
      <c r="AM15" s="57" t="s">
        <v>4</v>
      </c>
      <c r="AN15" s="58" t="s">
        <v>5</v>
      </c>
      <c r="AO15" s="56" t="s">
        <v>3</v>
      </c>
      <c r="AP15" s="57" t="s">
        <v>4</v>
      </c>
      <c r="AQ15" s="58" t="s">
        <v>5</v>
      </c>
      <c r="AR15" s="56" t="s">
        <v>3</v>
      </c>
      <c r="AS15" s="57" t="s">
        <v>4</v>
      </c>
      <c r="AT15" s="58" t="s">
        <v>5</v>
      </c>
      <c r="AU15" s="33"/>
      <c r="AV15" s="30"/>
      <c r="AW15" s="30"/>
      <c r="AX15" s="30"/>
      <c r="AY15" s="30"/>
      <c r="AZ15" s="30"/>
    </row>
    <row r="16" spans="1:58" ht="80.099999999999994" customHeight="1" x14ac:dyDescent="0.2">
      <c r="A16" s="75" t="s">
        <v>43</v>
      </c>
      <c r="B16" s="239" t="s">
        <v>149</v>
      </c>
      <c r="C16" s="240" t="s">
        <v>504</v>
      </c>
      <c r="D16" s="241" t="s">
        <v>505</v>
      </c>
      <c r="E16" s="239" t="s">
        <v>149</v>
      </c>
      <c r="F16" s="240" t="s">
        <v>504</v>
      </c>
      <c r="G16" s="241" t="s">
        <v>505</v>
      </c>
      <c r="H16" s="239" t="s">
        <v>149</v>
      </c>
      <c r="I16" s="240" t="s">
        <v>504</v>
      </c>
      <c r="J16" s="241" t="s">
        <v>505</v>
      </c>
      <c r="K16" s="239" t="s">
        <v>149</v>
      </c>
      <c r="L16" s="240" t="s">
        <v>504</v>
      </c>
      <c r="M16" s="241" t="s">
        <v>505</v>
      </c>
      <c r="N16" s="239" t="s">
        <v>149</v>
      </c>
      <c r="O16" s="240" t="s">
        <v>504</v>
      </c>
      <c r="P16" s="241" t="s">
        <v>505</v>
      </c>
      <c r="Q16" s="484" t="s">
        <v>149</v>
      </c>
      <c r="R16" s="485" t="s">
        <v>506</v>
      </c>
      <c r="S16" s="486" t="s">
        <v>507</v>
      </c>
      <c r="T16" s="484" t="s">
        <v>149</v>
      </c>
      <c r="U16" s="485" t="s">
        <v>506</v>
      </c>
      <c r="V16" s="486" t="s">
        <v>507</v>
      </c>
      <c r="W16" s="484" t="s">
        <v>149</v>
      </c>
      <c r="X16" s="485" t="s">
        <v>506</v>
      </c>
      <c r="Y16" s="486" t="s">
        <v>507</v>
      </c>
      <c r="Z16" s="484" t="s">
        <v>149</v>
      </c>
      <c r="AA16" s="485" t="s">
        <v>506</v>
      </c>
      <c r="AB16" s="486" t="s">
        <v>507</v>
      </c>
      <c r="AC16" s="484" t="s">
        <v>149</v>
      </c>
      <c r="AD16" s="485" t="s">
        <v>506</v>
      </c>
      <c r="AE16" s="486" t="s">
        <v>507</v>
      </c>
      <c r="AF16" s="66" t="s">
        <v>149</v>
      </c>
      <c r="AG16" s="67" t="s">
        <v>150</v>
      </c>
      <c r="AH16" s="68" t="s">
        <v>148</v>
      </c>
      <c r="AI16" s="66" t="s">
        <v>149</v>
      </c>
      <c r="AJ16" s="67" t="s">
        <v>150</v>
      </c>
      <c r="AK16" s="68" t="s">
        <v>148</v>
      </c>
      <c r="AL16" s="66" t="s">
        <v>149</v>
      </c>
      <c r="AM16" s="67" t="s">
        <v>150</v>
      </c>
      <c r="AN16" s="68" t="s">
        <v>148</v>
      </c>
      <c r="AO16" s="66" t="s">
        <v>149</v>
      </c>
      <c r="AP16" s="67" t="s">
        <v>150</v>
      </c>
      <c r="AQ16" s="68" t="s">
        <v>148</v>
      </c>
      <c r="AR16" s="66" t="s">
        <v>149</v>
      </c>
      <c r="AS16" s="67" t="s">
        <v>150</v>
      </c>
      <c r="AT16" s="68" t="s">
        <v>148</v>
      </c>
    </row>
    <row r="17" spans="1:46" ht="18" customHeight="1" x14ac:dyDescent="0.2">
      <c r="A17" s="76" t="str">
        <f>IF($C$9="Data Not Entered On Set-Up Worksheet","",IF(OR(VLOOKUP($C$9,County_Lookup_MC,2,FALSE)="",VLOOKUP($C$9,County_Lookup_MC,2,FALSE)=0),"",VLOOKUP($C$9,County_Lookup_MC,2,FALSE)))</f>
        <v/>
      </c>
      <c r="B17" s="69"/>
      <c r="C17" s="61"/>
      <c r="D17" s="70" t="str">
        <f>IF($A17="","",IF(C17=0,0,B17/C17))</f>
        <v/>
      </c>
      <c r="E17" s="69"/>
      <c r="F17" s="61"/>
      <c r="G17" s="70" t="str">
        <f>IF($A17="","",IF(F17=0,0,E17/F17))</f>
        <v/>
      </c>
      <c r="H17" s="69"/>
      <c r="I17" s="61"/>
      <c r="J17" s="70" t="str">
        <f>IF($A17="","",IF(I17=0,0,H17/I17))</f>
        <v/>
      </c>
      <c r="K17" s="74" t="str">
        <f>IF($A17="","",SUM(E17,H17))</f>
        <v/>
      </c>
      <c r="L17" s="322" t="str">
        <f>IF($A17="","",SUM(F17,I17))</f>
        <v/>
      </c>
      <c r="M17" s="70" t="str">
        <f>IF($A17="","",IF(L17=0,0,K17/L17))</f>
        <v/>
      </c>
      <c r="N17" s="74" t="str">
        <f t="shared" ref="N17:N41" si="0">IF($A17="","",SUM(B17,E17,H17))</f>
        <v/>
      </c>
      <c r="O17" s="62" t="str">
        <f t="shared" ref="O17:O41" si="1">IF($A17="","",SUM(C17,F17,I17))</f>
        <v/>
      </c>
      <c r="P17" s="70" t="str">
        <f>IF($A17="","",IF(O17=0,0,N17/O17))</f>
        <v/>
      </c>
      <c r="Q17" s="69"/>
      <c r="R17" s="61"/>
      <c r="S17" s="70" t="str">
        <f>IF($A17="","",IF(R17=0,0,Q17/R17))</f>
        <v/>
      </c>
      <c r="T17" s="69"/>
      <c r="U17" s="61"/>
      <c r="V17" s="70" t="str">
        <f>IF($A17="","",IF(U17=0,0,T17/U17))</f>
        <v/>
      </c>
      <c r="W17" s="69"/>
      <c r="X17" s="61"/>
      <c r="Y17" s="70" t="str">
        <f>IF($A17="","",IF(X17=0,0,W17/X17))</f>
        <v/>
      </c>
      <c r="Z17" s="74" t="str">
        <f>IF($A17="","",SUM(T17,W17))</f>
        <v/>
      </c>
      <c r="AA17" s="322" t="str">
        <f>IF($A17="","",SUM(U17,X17))</f>
        <v/>
      </c>
      <c r="AB17" s="70" t="str">
        <f>IF($A17="","",IF(AA17=0,0,Z17/AA17))</f>
        <v/>
      </c>
      <c r="AC17" s="74" t="str">
        <f t="shared" ref="AC17:AC41" si="2">IF($A17="","",SUM(Q17,T17,W17))</f>
        <v/>
      </c>
      <c r="AD17" s="62" t="str">
        <f t="shared" ref="AD17:AD41" si="3">IF($A17="","",SUM(R17,U17,X17))</f>
        <v/>
      </c>
      <c r="AE17" s="70" t="str">
        <f>IF($A17="","",IF(AD17=0,0,AC17/AD17))</f>
        <v/>
      </c>
      <c r="AF17" s="69"/>
      <c r="AG17" s="61"/>
      <c r="AH17" s="70" t="str">
        <f>IF($A17="","",IF(AG17=0,0,AF17/AG17))</f>
        <v/>
      </c>
      <c r="AI17" s="69"/>
      <c r="AJ17" s="61"/>
      <c r="AK17" s="70" t="str">
        <f>IF($A17="","",IF(AJ17=0,0,AI17/AJ17))</f>
        <v/>
      </c>
      <c r="AL17" s="69"/>
      <c r="AM17" s="61"/>
      <c r="AN17" s="70" t="str">
        <f>IF($A17="","",IF(AM17=0,0,AL17/AM17))</f>
        <v/>
      </c>
      <c r="AO17" s="74" t="str">
        <f>IF($A17="","",SUM(AI17,AL17))</f>
        <v/>
      </c>
      <c r="AP17" s="322" t="str">
        <f>IF($A17="","",SUM(AJ17,AM17))</f>
        <v/>
      </c>
      <c r="AQ17" s="70" t="str">
        <f>IF($A17="","",IF(AP17=0,0,AO17/AP17))</f>
        <v/>
      </c>
      <c r="AR17" s="74" t="str">
        <f t="shared" ref="AR17:AR41" si="4">IF($A17="","",SUM(AF17,AI17,AL17))</f>
        <v/>
      </c>
      <c r="AS17" s="62" t="str">
        <f t="shared" ref="AS17:AS41" si="5">IF($A17="","",SUM(AG17,AJ17,AM17))</f>
        <v/>
      </c>
      <c r="AT17" s="70" t="str">
        <f>IF($A17="","",IF(AS17=0,0,AR17/AS17))</f>
        <v/>
      </c>
    </row>
    <row r="18" spans="1:46" ht="18" customHeight="1" x14ac:dyDescent="0.2">
      <c r="A18" s="77" t="str">
        <f>IF($C$9="Data Not Entered On Set-Up Worksheet","",IF(OR(VLOOKUP($C$9,County_Lookup_MC,3,FALSE)="",VLOOKUP($C$9,County_Lookup_MC,3,FALSE)=0),"",VLOOKUP($C$9,County_Lookup_MC,3,FALSE)))</f>
        <v/>
      </c>
      <c r="B18" s="69"/>
      <c r="C18" s="61"/>
      <c r="D18" s="70" t="str">
        <f t="shared" ref="D18:D41" si="6">IF($A18="","",IF(C18=0,0,B18/C18))</f>
        <v/>
      </c>
      <c r="E18" s="69"/>
      <c r="F18" s="61"/>
      <c r="G18" s="70" t="str">
        <f t="shared" ref="G18:G41" si="7">IF($A18="","",IF(F18=0,0,E18/F18))</f>
        <v/>
      </c>
      <c r="H18" s="69"/>
      <c r="I18" s="61"/>
      <c r="J18" s="70" t="str">
        <f t="shared" ref="J18:J41" si="8">IF($A18="","",IF(I18=0,0,H18/I18))</f>
        <v/>
      </c>
      <c r="K18" s="74" t="str">
        <f t="shared" ref="K18:K41" si="9">IF($A18="","",SUM(E18,H18))</f>
        <v/>
      </c>
      <c r="L18" s="62" t="str">
        <f t="shared" ref="L18:L41" si="10">IF($A18="","",SUM(F18,I18))</f>
        <v/>
      </c>
      <c r="M18" s="70" t="str">
        <f t="shared" ref="M18:M41" si="11">IF($A18="","",IF(L18=0,0,K18/L18))</f>
        <v/>
      </c>
      <c r="N18" s="74" t="str">
        <f t="shared" si="0"/>
        <v/>
      </c>
      <c r="O18" s="62" t="str">
        <f t="shared" si="1"/>
        <v/>
      </c>
      <c r="P18" s="70" t="str">
        <f t="shared" ref="P18:P41" si="12">IF($A18="","",IF(O18=0,0,N18/O18))</f>
        <v/>
      </c>
      <c r="Q18" s="69"/>
      <c r="R18" s="61"/>
      <c r="S18" s="70" t="str">
        <f t="shared" ref="S18:S41" si="13">IF($A18="","",IF(R18=0,0,Q18/R18))</f>
        <v/>
      </c>
      <c r="T18" s="69"/>
      <c r="U18" s="61"/>
      <c r="V18" s="70" t="str">
        <f t="shared" ref="V18:V41" si="14">IF($A18="","",IF(U18=0,0,T18/U18))</f>
        <v/>
      </c>
      <c r="W18" s="69"/>
      <c r="X18" s="61"/>
      <c r="Y18" s="70" t="str">
        <f t="shared" ref="Y18:Y41" si="15">IF($A18="","",IF(X18=0,0,W18/X18))</f>
        <v/>
      </c>
      <c r="Z18" s="74" t="str">
        <f t="shared" ref="Z18:Z41" si="16">IF($A18="","",SUM(T18,W18))</f>
        <v/>
      </c>
      <c r="AA18" s="62" t="str">
        <f t="shared" ref="AA18:AA41" si="17">IF($A18="","",SUM(U18,X18))</f>
        <v/>
      </c>
      <c r="AB18" s="70" t="str">
        <f t="shared" ref="AB18:AB41" si="18">IF($A18="","",IF(AA18=0,0,Z18/AA18))</f>
        <v/>
      </c>
      <c r="AC18" s="74" t="str">
        <f t="shared" si="2"/>
        <v/>
      </c>
      <c r="AD18" s="62" t="str">
        <f t="shared" si="3"/>
        <v/>
      </c>
      <c r="AE18" s="70" t="str">
        <f t="shared" ref="AE18:AE41" si="19">IF($A18="","",IF(AD18=0,0,AC18/AD18))</f>
        <v/>
      </c>
      <c r="AF18" s="69"/>
      <c r="AG18" s="61"/>
      <c r="AH18" s="70" t="str">
        <f t="shared" ref="AH18:AH41" si="20">IF($A18="","",IF(AG18=0,0,AF18/AG18))</f>
        <v/>
      </c>
      <c r="AI18" s="69"/>
      <c r="AJ18" s="61"/>
      <c r="AK18" s="70" t="str">
        <f t="shared" ref="AK18:AK41" si="21">IF($A18="","",IF(AJ18=0,0,AI18/AJ18))</f>
        <v/>
      </c>
      <c r="AL18" s="69"/>
      <c r="AM18" s="61"/>
      <c r="AN18" s="70" t="str">
        <f t="shared" ref="AN18:AN41" si="22">IF($A18="","",IF(AM18=0,0,AL18/AM18))</f>
        <v/>
      </c>
      <c r="AO18" s="74" t="str">
        <f t="shared" ref="AO18:AO41" si="23">IF($A18="","",SUM(AI18,AL18))</f>
        <v/>
      </c>
      <c r="AP18" s="62" t="str">
        <f t="shared" ref="AP18:AP41" si="24">IF($A18="","",SUM(AJ18,AM18))</f>
        <v/>
      </c>
      <c r="AQ18" s="70" t="str">
        <f t="shared" ref="AQ18:AQ41" si="25">IF($A18="","",IF(AP18=0,0,AO18/AP18))</f>
        <v/>
      </c>
      <c r="AR18" s="74" t="str">
        <f t="shared" si="4"/>
        <v/>
      </c>
      <c r="AS18" s="62" t="str">
        <f t="shared" si="5"/>
        <v/>
      </c>
      <c r="AT18" s="70" t="str">
        <f t="shared" ref="AT18:AT41" si="26">IF($A18="","",IF(AS18=0,0,AR18/AS18))</f>
        <v/>
      </c>
    </row>
    <row r="19" spans="1:46" ht="18" customHeight="1" x14ac:dyDescent="0.2">
      <c r="A19" s="77" t="str">
        <f>IF($C$9="Data Not Entered On Set-Up Worksheet","",IF(OR(VLOOKUP($C$9,County_Lookup_MC,4,FALSE)="",VLOOKUP($C$9,County_Lookup_MC,4,FALSE)=0),"",VLOOKUP($C$9,County_Lookup_MC,4,FALSE)))</f>
        <v/>
      </c>
      <c r="B19" s="69"/>
      <c r="C19" s="61"/>
      <c r="D19" s="70" t="str">
        <f t="shared" si="6"/>
        <v/>
      </c>
      <c r="E19" s="69"/>
      <c r="F19" s="61"/>
      <c r="G19" s="70" t="str">
        <f t="shared" si="7"/>
        <v/>
      </c>
      <c r="H19" s="69"/>
      <c r="I19" s="61"/>
      <c r="J19" s="70" t="str">
        <f t="shared" si="8"/>
        <v/>
      </c>
      <c r="K19" s="74" t="str">
        <f t="shared" si="9"/>
        <v/>
      </c>
      <c r="L19" s="62" t="str">
        <f t="shared" si="10"/>
        <v/>
      </c>
      <c r="M19" s="70" t="str">
        <f t="shared" si="11"/>
        <v/>
      </c>
      <c r="N19" s="74" t="str">
        <f t="shared" si="0"/>
        <v/>
      </c>
      <c r="O19" s="62" t="str">
        <f t="shared" si="1"/>
        <v/>
      </c>
      <c r="P19" s="70" t="str">
        <f t="shared" si="12"/>
        <v/>
      </c>
      <c r="Q19" s="69"/>
      <c r="R19" s="61"/>
      <c r="S19" s="70" t="str">
        <f t="shared" si="13"/>
        <v/>
      </c>
      <c r="T19" s="69"/>
      <c r="U19" s="61"/>
      <c r="V19" s="70" t="str">
        <f t="shared" si="14"/>
        <v/>
      </c>
      <c r="W19" s="69"/>
      <c r="X19" s="61"/>
      <c r="Y19" s="70" t="str">
        <f t="shared" si="15"/>
        <v/>
      </c>
      <c r="Z19" s="74" t="str">
        <f t="shared" si="16"/>
        <v/>
      </c>
      <c r="AA19" s="62" t="str">
        <f t="shared" si="17"/>
        <v/>
      </c>
      <c r="AB19" s="70" t="str">
        <f t="shared" si="18"/>
        <v/>
      </c>
      <c r="AC19" s="74" t="str">
        <f t="shared" si="2"/>
        <v/>
      </c>
      <c r="AD19" s="62" t="str">
        <f t="shared" si="3"/>
        <v/>
      </c>
      <c r="AE19" s="70" t="str">
        <f t="shared" si="19"/>
        <v/>
      </c>
      <c r="AF19" s="69"/>
      <c r="AG19" s="61"/>
      <c r="AH19" s="70" t="str">
        <f t="shared" si="20"/>
        <v/>
      </c>
      <c r="AI19" s="69"/>
      <c r="AJ19" s="61"/>
      <c r="AK19" s="70" t="str">
        <f t="shared" si="21"/>
        <v/>
      </c>
      <c r="AL19" s="69"/>
      <c r="AM19" s="61"/>
      <c r="AN19" s="70" t="str">
        <f t="shared" si="22"/>
        <v/>
      </c>
      <c r="AO19" s="74" t="str">
        <f t="shared" si="23"/>
        <v/>
      </c>
      <c r="AP19" s="62" t="str">
        <f t="shared" si="24"/>
        <v/>
      </c>
      <c r="AQ19" s="70" t="str">
        <f t="shared" si="25"/>
        <v/>
      </c>
      <c r="AR19" s="74" t="str">
        <f t="shared" si="4"/>
        <v/>
      </c>
      <c r="AS19" s="62" t="str">
        <f t="shared" si="5"/>
        <v/>
      </c>
      <c r="AT19" s="70" t="str">
        <f t="shared" si="26"/>
        <v/>
      </c>
    </row>
    <row r="20" spans="1:46" ht="18" customHeight="1" x14ac:dyDescent="0.2">
      <c r="A20" s="77" t="str">
        <f>IF($C$9="Data Not Entered On Set-Up Worksheet","",IF(OR(VLOOKUP($C$9,County_Lookup_MC,5,FALSE)="",VLOOKUP($C$9,County_Lookup_MC,5,FALSE)=0),"",VLOOKUP($C$9,County_Lookup_MC,5,FALSE)))</f>
        <v/>
      </c>
      <c r="B20" s="69"/>
      <c r="C20" s="61"/>
      <c r="D20" s="70" t="str">
        <f t="shared" si="6"/>
        <v/>
      </c>
      <c r="E20" s="69"/>
      <c r="F20" s="61"/>
      <c r="G20" s="70" t="str">
        <f t="shared" si="7"/>
        <v/>
      </c>
      <c r="H20" s="69"/>
      <c r="I20" s="61"/>
      <c r="J20" s="70" t="str">
        <f t="shared" si="8"/>
        <v/>
      </c>
      <c r="K20" s="74" t="str">
        <f t="shared" si="9"/>
        <v/>
      </c>
      <c r="L20" s="62" t="str">
        <f t="shared" si="10"/>
        <v/>
      </c>
      <c r="M20" s="70" t="str">
        <f t="shared" si="11"/>
        <v/>
      </c>
      <c r="N20" s="74" t="str">
        <f t="shared" si="0"/>
        <v/>
      </c>
      <c r="O20" s="62" t="str">
        <f t="shared" si="1"/>
        <v/>
      </c>
      <c r="P20" s="70" t="str">
        <f t="shared" si="12"/>
        <v/>
      </c>
      <c r="Q20" s="69"/>
      <c r="R20" s="61"/>
      <c r="S20" s="70" t="str">
        <f t="shared" si="13"/>
        <v/>
      </c>
      <c r="T20" s="69"/>
      <c r="U20" s="61"/>
      <c r="V20" s="70" t="str">
        <f t="shared" si="14"/>
        <v/>
      </c>
      <c r="W20" s="69"/>
      <c r="X20" s="61"/>
      <c r="Y20" s="70" t="str">
        <f t="shared" si="15"/>
        <v/>
      </c>
      <c r="Z20" s="74" t="str">
        <f t="shared" si="16"/>
        <v/>
      </c>
      <c r="AA20" s="62" t="str">
        <f t="shared" si="17"/>
        <v/>
      </c>
      <c r="AB20" s="70" t="str">
        <f t="shared" si="18"/>
        <v/>
      </c>
      <c r="AC20" s="74" t="str">
        <f t="shared" si="2"/>
        <v/>
      </c>
      <c r="AD20" s="62" t="str">
        <f t="shared" si="3"/>
        <v/>
      </c>
      <c r="AE20" s="70" t="str">
        <f t="shared" si="19"/>
        <v/>
      </c>
      <c r="AF20" s="69"/>
      <c r="AG20" s="61"/>
      <c r="AH20" s="70" t="str">
        <f t="shared" si="20"/>
        <v/>
      </c>
      <c r="AI20" s="69"/>
      <c r="AJ20" s="61"/>
      <c r="AK20" s="70" t="str">
        <f t="shared" si="21"/>
        <v/>
      </c>
      <c r="AL20" s="69"/>
      <c r="AM20" s="61"/>
      <c r="AN20" s="70" t="str">
        <f t="shared" si="22"/>
        <v/>
      </c>
      <c r="AO20" s="74" t="str">
        <f t="shared" si="23"/>
        <v/>
      </c>
      <c r="AP20" s="62" t="str">
        <f t="shared" si="24"/>
        <v/>
      </c>
      <c r="AQ20" s="70" t="str">
        <f t="shared" si="25"/>
        <v/>
      </c>
      <c r="AR20" s="74" t="str">
        <f t="shared" si="4"/>
        <v/>
      </c>
      <c r="AS20" s="62" t="str">
        <f t="shared" si="5"/>
        <v/>
      </c>
      <c r="AT20" s="70" t="str">
        <f t="shared" si="26"/>
        <v/>
      </c>
    </row>
    <row r="21" spans="1:46" ht="18" customHeight="1" x14ac:dyDescent="0.2">
      <c r="A21" s="77" t="str">
        <f>IF($C$9="Data Not Entered On Set-Up Worksheet","",IF(OR(VLOOKUP($C$9,County_Lookup_MC,6,FALSE)="",VLOOKUP($C$9,County_Lookup_MC,6,FALSE)=0),"",VLOOKUP($C$9,County_Lookup_MC,6,FALSE)))</f>
        <v/>
      </c>
      <c r="B21" s="69"/>
      <c r="C21" s="61"/>
      <c r="D21" s="70" t="str">
        <f t="shared" si="6"/>
        <v/>
      </c>
      <c r="E21" s="69"/>
      <c r="F21" s="61"/>
      <c r="G21" s="70" t="str">
        <f t="shared" si="7"/>
        <v/>
      </c>
      <c r="H21" s="69"/>
      <c r="I21" s="61"/>
      <c r="J21" s="70" t="str">
        <f t="shared" si="8"/>
        <v/>
      </c>
      <c r="K21" s="74" t="str">
        <f t="shared" si="9"/>
        <v/>
      </c>
      <c r="L21" s="62" t="str">
        <f t="shared" si="10"/>
        <v/>
      </c>
      <c r="M21" s="70" t="str">
        <f t="shared" si="11"/>
        <v/>
      </c>
      <c r="N21" s="74" t="str">
        <f t="shared" si="0"/>
        <v/>
      </c>
      <c r="O21" s="62" t="str">
        <f t="shared" si="1"/>
        <v/>
      </c>
      <c r="P21" s="70" t="str">
        <f t="shared" si="12"/>
        <v/>
      </c>
      <c r="Q21" s="69"/>
      <c r="R21" s="61"/>
      <c r="S21" s="70" t="str">
        <f t="shared" si="13"/>
        <v/>
      </c>
      <c r="T21" s="69"/>
      <c r="U21" s="61"/>
      <c r="V21" s="70" t="str">
        <f t="shared" si="14"/>
        <v/>
      </c>
      <c r="W21" s="69"/>
      <c r="X21" s="61"/>
      <c r="Y21" s="70" t="str">
        <f t="shared" si="15"/>
        <v/>
      </c>
      <c r="Z21" s="74" t="str">
        <f t="shared" si="16"/>
        <v/>
      </c>
      <c r="AA21" s="62" t="str">
        <f t="shared" si="17"/>
        <v/>
      </c>
      <c r="AB21" s="70" t="str">
        <f t="shared" si="18"/>
        <v/>
      </c>
      <c r="AC21" s="74" t="str">
        <f t="shared" si="2"/>
        <v/>
      </c>
      <c r="AD21" s="62" t="str">
        <f t="shared" si="3"/>
        <v/>
      </c>
      <c r="AE21" s="70" t="str">
        <f t="shared" si="19"/>
        <v/>
      </c>
      <c r="AF21" s="69"/>
      <c r="AG21" s="61"/>
      <c r="AH21" s="70" t="str">
        <f t="shared" si="20"/>
        <v/>
      </c>
      <c r="AI21" s="69"/>
      <c r="AJ21" s="61"/>
      <c r="AK21" s="70" t="str">
        <f t="shared" si="21"/>
        <v/>
      </c>
      <c r="AL21" s="69"/>
      <c r="AM21" s="61"/>
      <c r="AN21" s="70" t="str">
        <f t="shared" si="22"/>
        <v/>
      </c>
      <c r="AO21" s="74" t="str">
        <f t="shared" si="23"/>
        <v/>
      </c>
      <c r="AP21" s="62" t="str">
        <f t="shared" si="24"/>
        <v/>
      </c>
      <c r="AQ21" s="70" t="str">
        <f t="shared" si="25"/>
        <v/>
      </c>
      <c r="AR21" s="74" t="str">
        <f t="shared" si="4"/>
        <v/>
      </c>
      <c r="AS21" s="62" t="str">
        <f t="shared" si="5"/>
        <v/>
      </c>
      <c r="AT21" s="70" t="str">
        <f t="shared" si="26"/>
        <v/>
      </c>
    </row>
    <row r="22" spans="1:46" ht="18" customHeight="1" x14ac:dyDescent="0.2">
      <c r="A22" s="77" t="str">
        <f>IF($C$9="Data Not Entered On Set-Up Worksheet","",IF(OR(VLOOKUP($C$9,County_Lookup_MC,7,FALSE)="",VLOOKUP($C$9,County_Lookup_MC,7,FALSE)=0),"",VLOOKUP($C$9,County_Lookup_MC,7,FALSE)))</f>
        <v/>
      </c>
      <c r="B22" s="69"/>
      <c r="C22" s="61"/>
      <c r="D22" s="70" t="str">
        <f t="shared" si="6"/>
        <v/>
      </c>
      <c r="E22" s="69"/>
      <c r="F22" s="61"/>
      <c r="G22" s="70" t="str">
        <f t="shared" si="7"/>
        <v/>
      </c>
      <c r="H22" s="69"/>
      <c r="I22" s="61"/>
      <c r="J22" s="70" t="str">
        <f t="shared" si="8"/>
        <v/>
      </c>
      <c r="K22" s="74" t="str">
        <f t="shared" si="9"/>
        <v/>
      </c>
      <c r="L22" s="62" t="str">
        <f t="shared" si="10"/>
        <v/>
      </c>
      <c r="M22" s="70" t="str">
        <f t="shared" si="11"/>
        <v/>
      </c>
      <c r="N22" s="74" t="str">
        <f t="shared" si="0"/>
        <v/>
      </c>
      <c r="O22" s="62" t="str">
        <f t="shared" si="1"/>
        <v/>
      </c>
      <c r="P22" s="70" t="str">
        <f t="shared" si="12"/>
        <v/>
      </c>
      <c r="Q22" s="69"/>
      <c r="R22" s="61"/>
      <c r="S22" s="70" t="str">
        <f t="shared" si="13"/>
        <v/>
      </c>
      <c r="T22" s="69"/>
      <c r="U22" s="61"/>
      <c r="V22" s="70" t="str">
        <f t="shared" si="14"/>
        <v/>
      </c>
      <c r="W22" s="69"/>
      <c r="X22" s="61"/>
      <c r="Y22" s="70" t="str">
        <f t="shared" si="15"/>
        <v/>
      </c>
      <c r="Z22" s="74" t="str">
        <f t="shared" si="16"/>
        <v/>
      </c>
      <c r="AA22" s="62" t="str">
        <f t="shared" si="17"/>
        <v/>
      </c>
      <c r="AB22" s="70" t="str">
        <f t="shared" si="18"/>
        <v/>
      </c>
      <c r="AC22" s="74" t="str">
        <f t="shared" si="2"/>
        <v/>
      </c>
      <c r="AD22" s="62" t="str">
        <f t="shared" si="3"/>
        <v/>
      </c>
      <c r="AE22" s="70" t="str">
        <f t="shared" si="19"/>
        <v/>
      </c>
      <c r="AF22" s="69"/>
      <c r="AG22" s="61"/>
      <c r="AH22" s="70" t="str">
        <f t="shared" si="20"/>
        <v/>
      </c>
      <c r="AI22" s="69"/>
      <c r="AJ22" s="61"/>
      <c r="AK22" s="70" t="str">
        <f t="shared" si="21"/>
        <v/>
      </c>
      <c r="AL22" s="69"/>
      <c r="AM22" s="61"/>
      <c r="AN22" s="70" t="str">
        <f t="shared" si="22"/>
        <v/>
      </c>
      <c r="AO22" s="74" t="str">
        <f t="shared" si="23"/>
        <v/>
      </c>
      <c r="AP22" s="62" t="str">
        <f t="shared" si="24"/>
        <v/>
      </c>
      <c r="AQ22" s="70" t="str">
        <f t="shared" si="25"/>
        <v/>
      </c>
      <c r="AR22" s="74" t="str">
        <f t="shared" si="4"/>
        <v/>
      </c>
      <c r="AS22" s="62" t="str">
        <f t="shared" si="5"/>
        <v/>
      </c>
      <c r="AT22" s="70" t="str">
        <f t="shared" si="26"/>
        <v/>
      </c>
    </row>
    <row r="23" spans="1:46" ht="18" customHeight="1" x14ac:dyDescent="0.2">
      <c r="A23" s="76" t="str">
        <f>IF($C$9="Data Not Entered On Set-Up Worksheet","",IF(OR(VLOOKUP($C$9,County_Lookup_MC,8,FALSE)="",VLOOKUP($C$9,County_Lookup_MC,8,FALSE)=0),"",VLOOKUP($C$9,County_Lookup_MC,8,FALSE)))</f>
        <v/>
      </c>
      <c r="B23" s="69"/>
      <c r="C23" s="61"/>
      <c r="D23" s="70" t="str">
        <f t="shared" si="6"/>
        <v/>
      </c>
      <c r="E23" s="69"/>
      <c r="F23" s="61"/>
      <c r="G23" s="70" t="str">
        <f t="shared" si="7"/>
        <v/>
      </c>
      <c r="H23" s="69"/>
      <c r="I23" s="61"/>
      <c r="J23" s="70" t="str">
        <f t="shared" si="8"/>
        <v/>
      </c>
      <c r="K23" s="74" t="str">
        <f t="shared" si="9"/>
        <v/>
      </c>
      <c r="L23" s="62" t="str">
        <f t="shared" si="10"/>
        <v/>
      </c>
      <c r="M23" s="70" t="str">
        <f t="shared" si="11"/>
        <v/>
      </c>
      <c r="N23" s="74" t="str">
        <f t="shared" si="0"/>
        <v/>
      </c>
      <c r="O23" s="62" t="str">
        <f t="shared" si="1"/>
        <v/>
      </c>
      <c r="P23" s="70" t="str">
        <f t="shared" si="12"/>
        <v/>
      </c>
      <c r="Q23" s="69"/>
      <c r="R23" s="61"/>
      <c r="S23" s="70" t="str">
        <f t="shared" si="13"/>
        <v/>
      </c>
      <c r="T23" s="69"/>
      <c r="U23" s="61"/>
      <c r="V23" s="70" t="str">
        <f t="shared" si="14"/>
        <v/>
      </c>
      <c r="W23" s="69"/>
      <c r="X23" s="61"/>
      <c r="Y23" s="70" t="str">
        <f t="shared" si="15"/>
        <v/>
      </c>
      <c r="Z23" s="74" t="str">
        <f t="shared" si="16"/>
        <v/>
      </c>
      <c r="AA23" s="62" t="str">
        <f t="shared" si="17"/>
        <v/>
      </c>
      <c r="AB23" s="70" t="str">
        <f t="shared" si="18"/>
        <v/>
      </c>
      <c r="AC23" s="74" t="str">
        <f t="shared" si="2"/>
        <v/>
      </c>
      <c r="AD23" s="62" t="str">
        <f t="shared" si="3"/>
        <v/>
      </c>
      <c r="AE23" s="70" t="str">
        <f t="shared" si="19"/>
        <v/>
      </c>
      <c r="AF23" s="69"/>
      <c r="AG23" s="61"/>
      <c r="AH23" s="70" t="str">
        <f t="shared" si="20"/>
        <v/>
      </c>
      <c r="AI23" s="69"/>
      <c r="AJ23" s="61"/>
      <c r="AK23" s="70" t="str">
        <f t="shared" si="21"/>
        <v/>
      </c>
      <c r="AL23" s="69"/>
      <c r="AM23" s="61"/>
      <c r="AN23" s="70" t="str">
        <f t="shared" si="22"/>
        <v/>
      </c>
      <c r="AO23" s="74" t="str">
        <f t="shared" si="23"/>
        <v/>
      </c>
      <c r="AP23" s="62" t="str">
        <f t="shared" si="24"/>
        <v/>
      </c>
      <c r="AQ23" s="70" t="str">
        <f t="shared" si="25"/>
        <v/>
      </c>
      <c r="AR23" s="74" t="str">
        <f t="shared" si="4"/>
        <v/>
      </c>
      <c r="AS23" s="62" t="str">
        <f t="shared" si="5"/>
        <v/>
      </c>
      <c r="AT23" s="70" t="str">
        <f t="shared" si="26"/>
        <v/>
      </c>
    </row>
    <row r="24" spans="1:46" ht="18" customHeight="1" x14ac:dyDescent="0.2">
      <c r="A24" s="77" t="str">
        <f>IF($C$9="Data Not Entered On Set-Up Worksheet","",IF(OR(VLOOKUP($C$9,County_Lookup_MC,9,FALSE)="",VLOOKUP($C$9,County_Lookup_MC,9,FALSE)=0),"",VLOOKUP($C$9,County_Lookup_MC,9,FALSE)))</f>
        <v/>
      </c>
      <c r="B24" s="69"/>
      <c r="C24" s="61"/>
      <c r="D24" s="70" t="str">
        <f t="shared" si="6"/>
        <v/>
      </c>
      <c r="E24" s="69"/>
      <c r="F24" s="61"/>
      <c r="G24" s="70" t="str">
        <f t="shared" si="7"/>
        <v/>
      </c>
      <c r="H24" s="69"/>
      <c r="I24" s="61"/>
      <c r="J24" s="70" t="str">
        <f t="shared" si="8"/>
        <v/>
      </c>
      <c r="K24" s="74" t="str">
        <f t="shared" si="9"/>
        <v/>
      </c>
      <c r="L24" s="62" t="str">
        <f t="shared" si="10"/>
        <v/>
      </c>
      <c r="M24" s="70" t="str">
        <f t="shared" si="11"/>
        <v/>
      </c>
      <c r="N24" s="74" t="str">
        <f t="shared" si="0"/>
        <v/>
      </c>
      <c r="O24" s="62" t="str">
        <f t="shared" si="1"/>
        <v/>
      </c>
      <c r="P24" s="70" t="str">
        <f t="shared" si="12"/>
        <v/>
      </c>
      <c r="Q24" s="69"/>
      <c r="R24" s="61"/>
      <c r="S24" s="70" t="str">
        <f t="shared" si="13"/>
        <v/>
      </c>
      <c r="T24" s="69"/>
      <c r="U24" s="61"/>
      <c r="V24" s="70" t="str">
        <f t="shared" si="14"/>
        <v/>
      </c>
      <c r="W24" s="69"/>
      <c r="X24" s="61"/>
      <c r="Y24" s="70" t="str">
        <f t="shared" si="15"/>
        <v/>
      </c>
      <c r="Z24" s="74" t="str">
        <f t="shared" si="16"/>
        <v/>
      </c>
      <c r="AA24" s="62" t="str">
        <f t="shared" si="17"/>
        <v/>
      </c>
      <c r="AB24" s="70" t="str">
        <f t="shared" si="18"/>
        <v/>
      </c>
      <c r="AC24" s="74" t="str">
        <f t="shared" si="2"/>
        <v/>
      </c>
      <c r="AD24" s="62" t="str">
        <f t="shared" si="3"/>
        <v/>
      </c>
      <c r="AE24" s="70" t="str">
        <f t="shared" si="19"/>
        <v/>
      </c>
      <c r="AF24" s="69"/>
      <c r="AG24" s="61"/>
      <c r="AH24" s="70" t="str">
        <f t="shared" si="20"/>
        <v/>
      </c>
      <c r="AI24" s="69"/>
      <c r="AJ24" s="61"/>
      <c r="AK24" s="70" t="str">
        <f t="shared" si="21"/>
        <v/>
      </c>
      <c r="AL24" s="69"/>
      <c r="AM24" s="61"/>
      <c r="AN24" s="70" t="str">
        <f t="shared" si="22"/>
        <v/>
      </c>
      <c r="AO24" s="74" t="str">
        <f t="shared" si="23"/>
        <v/>
      </c>
      <c r="AP24" s="62" t="str">
        <f t="shared" si="24"/>
        <v/>
      </c>
      <c r="AQ24" s="70" t="str">
        <f t="shared" si="25"/>
        <v/>
      </c>
      <c r="AR24" s="74" t="str">
        <f t="shared" si="4"/>
        <v/>
      </c>
      <c r="AS24" s="62" t="str">
        <f t="shared" si="5"/>
        <v/>
      </c>
      <c r="AT24" s="70" t="str">
        <f t="shared" si="26"/>
        <v/>
      </c>
    </row>
    <row r="25" spans="1:46" ht="18" customHeight="1" x14ac:dyDescent="0.2">
      <c r="A25" s="77" t="str">
        <f>IF($C$9="Data Not Entered On Set-Up Worksheet","",IF(OR(VLOOKUP($C$9,County_Lookup_MC,10,FALSE)="",VLOOKUP($C$9,County_Lookup_MC,10,FALSE)=0),"",VLOOKUP($C$9,County_Lookup_MC,10,FALSE)))</f>
        <v/>
      </c>
      <c r="B25" s="69"/>
      <c r="C25" s="61"/>
      <c r="D25" s="70" t="str">
        <f t="shared" si="6"/>
        <v/>
      </c>
      <c r="E25" s="69"/>
      <c r="F25" s="61"/>
      <c r="G25" s="70" t="str">
        <f t="shared" si="7"/>
        <v/>
      </c>
      <c r="H25" s="69"/>
      <c r="I25" s="61"/>
      <c r="J25" s="70" t="str">
        <f t="shared" si="8"/>
        <v/>
      </c>
      <c r="K25" s="74" t="str">
        <f t="shared" si="9"/>
        <v/>
      </c>
      <c r="L25" s="62" t="str">
        <f t="shared" si="10"/>
        <v/>
      </c>
      <c r="M25" s="70" t="str">
        <f t="shared" si="11"/>
        <v/>
      </c>
      <c r="N25" s="74" t="str">
        <f t="shared" si="0"/>
        <v/>
      </c>
      <c r="O25" s="62" t="str">
        <f t="shared" si="1"/>
        <v/>
      </c>
      <c r="P25" s="70" t="str">
        <f t="shared" si="12"/>
        <v/>
      </c>
      <c r="Q25" s="69"/>
      <c r="R25" s="61"/>
      <c r="S25" s="70" t="str">
        <f t="shared" si="13"/>
        <v/>
      </c>
      <c r="T25" s="69"/>
      <c r="U25" s="61"/>
      <c r="V25" s="70" t="str">
        <f t="shared" si="14"/>
        <v/>
      </c>
      <c r="W25" s="69"/>
      <c r="X25" s="61"/>
      <c r="Y25" s="70" t="str">
        <f t="shared" si="15"/>
        <v/>
      </c>
      <c r="Z25" s="74" t="str">
        <f t="shared" si="16"/>
        <v/>
      </c>
      <c r="AA25" s="62" t="str">
        <f t="shared" si="17"/>
        <v/>
      </c>
      <c r="AB25" s="70" t="str">
        <f t="shared" si="18"/>
        <v/>
      </c>
      <c r="AC25" s="74" t="str">
        <f t="shared" si="2"/>
        <v/>
      </c>
      <c r="AD25" s="62" t="str">
        <f t="shared" si="3"/>
        <v/>
      </c>
      <c r="AE25" s="70" t="str">
        <f t="shared" si="19"/>
        <v/>
      </c>
      <c r="AF25" s="69"/>
      <c r="AG25" s="61"/>
      <c r="AH25" s="70" t="str">
        <f t="shared" si="20"/>
        <v/>
      </c>
      <c r="AI25" s="69"/>
      <c r="AJ25" s="61"/>
      <c r="AK25" s="70" t="str">
        <f t="shared" si="21"/>
        <v/>
      </c>
      <c r="AL25" s="69"/>
      <c r="AM25" s="61"/>
      <c r="AN25" s="70" t="str">
        <f t="shared" si="22"/>
        <v/>
      </c>
      <c r="AO25" s="74" t="str">
        <f t="shared" si="23"/>
        <v/>
      </c>
      <c r="AP25" s="62" t="str">
        <f t="shared" si="24"/>
        <v/>
      </c>
      <c r="AQ25" s="70" t="str">
        <f t="shared" si="25"/>
        <v/>
      </c>
      <c r="AR25" s="74" t="str">
        <f t="shared" si="4"/>
        <v/>
      </c>
      <c r="AS25" s="62" t="str">
        <f t="shared" si="5"/>
        <v/>
      </c>
      <c r="AT25" s="70" t="str">
        <f t="shared" si="26"/>
        <v/>
      </c>
    </row>
    <row r="26" spans="1:46" ht="18" customHeight="1" x14ac:dyDescent="0.2">
      <c r="A26" s="77" t="str">
        <f>IF($C$9="Data Not Entered On Set-Up Worksheet","",IF(OR(VLOOKUP($C$9,County_Lookup_MC,11,FALSE)="",VLOOKUP($C$9,County_Lookup_MC,11,FALSE)=0),"",VLOOKUP($C$9,County_Lookup_MC,11,FALSE)))</f>
        <v/>
      </c>
      <c r="B26" s="69"/>
      <c r="C26" s="61"/>
      <c r="D26" s="70" t="str">
        <f t="shared" si="6"/>
        <v/>
      </c>
      <c r="E26" s="69"/>
      <c r="F26" s="61"/>
      <c r="G26" s="70" t="str">
        <f t="shared" si="7"/>
        <v/>
      </c>
      <c r="H26" s="69"/>
      <c r="I26" s="61"/>
      <c r="J26" s="70" t="str">
        <f t="shared" si="8"/>
        <v/>
      </c>
      <c r="K26" s="74" t="str">
        <f t="shared" si="9"/>
        <v/>
      </c>
      <c r="L26" s="62" t="str">
        <f t="shared" si="10"/>
        <v/>
      </c>
      <c r="M26" s="70" t="str">
        <f t="shared" si="11"/>
        <v/>
      </c>
      <c r="N26" s="74" t="str">
        <f t="shared" si="0"/>
        <v/>
      </c>
      <c r="O26" s="62" t="str">
        <f t="shared" si="1"/>
        <v/>
      </c>
      <c r="P26" s="70" t="str">
        <f t="shared" si="12"/>
        <v/>
      </c>
      <c r="Q26" s="69"/>
      <c r="R26" s="61"/>
      <c r="S26" s="70" t="str">
        <f t="shared" si="13"/>
        <v/>
      </c>
      <c r="T26" s="69"/>
      <c r="U26" s="61"/>
      <c r="V26" s="70" t="str">
        <f t="shared" si="14"/>
        <v/>
      </c>
      <c r="W26" s="69"/>
      <c r="X26" s="61"/>
      <c r="Y26" s="70" t="str">
        <f t="shared" si="15"/>
        <v/>
      </c>
      <c r="Z26" s="74" t="str">
        <f t="shared" si="16"/>
        <v/>
      </c>
      <c r="AA26" s="62" t="str">
        <f t="shared" si="17"/>
        <v/>
      </c>
      <c r="AB26" s="70" t="str">
        <f t="shared" si="18"/>
        <v/>
      </c>
      <c r="AC26" s="74" t="str">
        <f t="shared" si="2"/>
        <v/>
      </c>
      <c r="AD26" s="62" t="str">
        <f t="shared" si="3"/>
        <v/>
      </c>
      <c r="AE26" s="70" t="str">
        <f t="shared" si="19"/>
        <v/>
      </c>
      <c r="AF26" s="69"/>
      <c r="AG26" s="61"/>
      <c r="AH26" s="70" t="str">
        <f t="shared" si="20"/>
        <v/>
      </c>
      <c r="AI26" s="69"/>
      <c r="AJ26" s="61"/>
      <c r="AK26" s="70" t="str">
        <f t="shared" si="21"/>
        <v/>
      </c>
      <c r="AL26" s="69"/>
      <c r="AM26" s="61"/>
      <c r="AN26" s="70" t="str">
        <f t="shared" si="22"/>
        <v/>
      </c>
      <c r="AO26" s="74" t="str">
        <f t="shared" si="23"/>
        <v/>
      </c>
      <c r="AP26" s="62" t="str">
        <f t="shared" si="24"/>
        <v/>
      </c>
      <c r="AQ26" s="70" t="str">
        <f t="shared" si="25"/>
        <v/>
      </c>
      <c r="AR26" s="74" t="str">
        <f t="shared" si="4"/>
        <v/>
      </c>
      <c r="AS26" s="62" t="str">
        <f t="shared" si="5"/>
        <v/>
      </c>
      <c r="AT26" s="70" t="str">
        <f t="shared" si="26"/>
        <v/>
      </c>
    </row>
    <row r="27" spans="1:46" ht="18" customHeight="1" x14ac:dyDescent="0.2">
      <c r="A27" s="77" t="str">
        <f>IF($C$9="Data Not Entered On Set-Up Worksheet","",IF(OR(VLOOKUP($C$9,County_Lookup_MC,12,FALSE)="",VLOOKUP($C$9,County_Lookup_MC,12,FALSE)=0),"",VLOOKUP($C$9,County_Lookup_MC,12,FALSE)))</f>
        <v/>
      </c>
      <c r="B27" s="69"/>
      <c r="C27" s="61"/>
      <c r="D27" s="70" t="str">
        <f t="shared" si="6"/>
        <v/>
      </c>
      <c r="E27" s="69"/>
      <c r="F27" s="61"/>
      <c r="G27" s="70" t="str">
        <f t="shared" si="7"/>
        <v/>
      </c>
      <c r="H27" s="69"/>
      <c r="I27" s="61"/>
      <c r="J27" s="70" t="str">
        <f t="shared" si="8"/>
        <v/>
      </c>
      <c r="K27" s="74" t="str">
        <f t="shared" si="9"/>
        <v/>
      </c>
      <c r="L27" s="62" t="str">
        <f t="shared" si="10"/>
        <v/>
      </c>
      <c r="M27" s="70" t="str">
        <f t="shared" si="11"/>
        <v/>
      </c>
      <c r="N27" s="74" t="str">
        <f t="shared" si="0"/>
        <v/>
      </c>
      <c r="O27" s="62" t="str">
        <f t="shared" si="1"/>
        <v/>
      </c>
      <c r="P27" s="70" t="str">
        <f t="shared" si="12"/>
        <v/>
      </c>
      <c r="Q27" s="69"/>
      <c r="R27" s="61"/>
      <c r="S27" s="70" t="str">
        <f t="shared" si="13"/>
        <v/>
      </c>
      <c r="T27" s="69"/>
      <c r="U27" s="61"/>
      <c r="V27" s="70" t="str">
        <f t="shared" si="14"/>
        <v/>
      </c>
      <c r="W27" s="69"/>
      <c r="X27" s="61"/>
      <c r="Y27" s="70" t="str">
        <f t="shared" si="15"/>
        <v/>
      </c>
      <c r="Z27" s="74" t="str">
        <f t="shared" si="16"/>
        <v/>
      </c>
      <c r="AA27" s="62" t="str">
        <f t="shared" si="17"/>
        <v/>
      </c>
      <c r="AB27" s="70" t="str">
        <f t="shared" si="18"/>
        <v/>
      </c>
      <c r="AC27" s="74" t="str">
        <f t="shared" si="2"/>
        <v/>
      </c>
      <c r="AD27" s="62" t="str">
        <f t="shared" si="3"/>
        <v/>
      </c>
      <c r="AE27" s="70" t="str">
        <f t="shared" si="19"/>
        <v/>
      </c>
      <c r="AF27" s="69"/>
      <c r="AG27" s="61"/>
      <c r="AH27" s="70" t="str">
        <f t="shared" si="20"/>
        <v/>
      </c>
      <c r="AI27" s="69"/>
      <c r="AJ27" s="61"/>
      <c r="AK27" s="70" t="str">
        <f t="shared" si="21"/>
        <v/>
      </c>
      <c r="AL27" s="69"/>
      <c r="AM27" s="61"/>
      <c r="AN27" s="70" t="str">
        <f t="shared" si="22"/>
        <v/>
      </c>
      <c r="AO27" s="74" t="str">
        <f t="shared" si="23"/>
        <v/>
      </c>
      <c r="AP27" s="62" t="str">
        <f t="shared" si="24"/>
        <v/>
      </c>
      <c r="AQ27" s="70" t="str">
        <f t="shared" si="25"/>
        <v/>
      </c>
      <c r="AR27" s="74" t="str">
        <f t="shared" si="4"/>
        <v/>
      </c>
      <c r="AS27" s="62" t="str">
        <f t="shared" si="5"/>
        <v/>
      </c>
      <c r="AT27" s="70" t="str">
        <f t="shared" si="26"/>
        <v/>
      </c>
    </row>
    <row r="28" spans="1:46" ht="18" customHeight="1" x14ac:dyDescent="0.2">
      <c r="A28" s="77" t="str">
        <f>IF($C$9="Data Not Entered On Set-Up Worksheet","",IF(OR(VLOOKUP($C$9,County_Lookup_MC,13,FALSE)="",VLOOKUP($C$9,County_Lookup_MC,13,FALSE)=0),"",VLOOKUP($C$9,County_Lookup_MC,13,FALSE)))</f>
        <v/>
      </c>
      <c r="B28" s="69"/>
      <c r="C28" s="61"/>
      <c r="D28" s="70" t="str">
        <f t="shared" si="6"/>
        <v/>
      </c>
      <c r="E28" s="69"/>
      <c r="F28" s="61"/>
      <c r="G28" s="70" t="str">
        <f t="shared" si="7"/>
        <v/>
      </c>
      <c r="H28" s="69"/>
      <c r="I28" s="61"/>
      <c r="J28" s="70" t="str">
        <f t="shared" si="8"/>
        <v/>
      </c>
      <c r="K28" s="74" t="str">
        <f t="shared" si="9"/>
        <v/>
      </c>
      <c r="L28" s="62" t="str">
        <f t="shared" si="10"/>
        <v/>
      </c>
      <c r="M28" s="70" t="str">
        <f t="shared" si="11"/>
        <v/>
      </c>
      <c r="N28" s="74" t="str">
        <f t="shared" si="0"/>
        <v/>
      </c>
      <c r="O28" s="62" t="str">
        <f t="shared" si="1"/>
        <v/>
      </c>
      <c r="P28" s="70" t="str">
        <f t="shared" si="12"/>
        <v/>
      </c>
      <c r="Q28" s="69"/>
      <c r="R28" s="61"/>
      <c r="S28" s="70" t="str">
        <f t="shared" si="13"/>
        <v/>
      </c>
      <c r="T28" s="69"/>
      <c r="U28" s="61"/>
      <c r="V28" s="70" t="str">
        <f t="shared" si="14"/>
        <v/>
      </c>
      <c r="W28" s="69"/>
      <c r="X28" s="61"/>
      <c r="Y28" s="70" t="str">
        <f t="shared" si="15"/>
        <v/>
      </c>
      <c r="Z28" s="74" t="str">
        <f t="shared" si="16"/>
        <v/>
      </c>
      <c r="AA28" s="62" t="str">
        <f t="shared" si="17"/>
        <v/>
      </c>
      <c r="AB28" s="70" t="str">
        <f t="shared" si="18"/>
        <v/>
      </c>
      <c r="AC28" s="74" t="str">
        <f t="shared" si="2"/>
        <v/>
      </c>
      <c r="AD28" s="62" t="str">
        <f t="shared" si="3"/>
        <v/>
      </c>
      <c r="AE28" s="70" t="str">
        <f t="shared" si="19"/>
        <v/>
      </c>
      <c r="AF28" s="69"/>
      <c r="AG28" s="61"/>
      <c r="AH28" s="70" t="str">
        <f t="shared" si="20"/>
        <v/>
      </c>
      <c r="AI28" s="69"/>
      <c r="AJ28" s="61"/>
      <c r="AK28" s="70" t="str">
        <f t="shared" si="21"/>
        <v/>
      </c>
      <c r="AL28" s="69"/>
      <c r="AM28" s="61"/>
      <c r="AN28" s="70" t="str">
        <f t="shared" si="22"/>
        <v/>
      </c>
      <c r="AO28" s="74" t="str">
        <f t="shared" si="23"/>
        <v/>
      </c>
      <c r="AP28" s="62" t="str">
        <f t="shared" si="24"/>
        <v/>
      </c>
      <c r="AQ28" s="70" t="str">
        <f t="shared" si="25"/>
        <v/>
      </c>
      <c r="AR28" s="74" t="str">
        <f t="shared" si="4"/>
        <v/>
      </c>
      <c r="AS28" s="62" t="str">
        <f t="shared" si="5"/>
        <v/>
      </c>
      <c r="AT28" s="70" t="str">
        <f t="shared" si="26"/>
        <v/>
      </c>
    </row>
    <row r="29" spans="1:46" ht="18" customHeight="1" x14ac:dyDescent="0.2">
      <c r="A29" s="77" t="str">
        <f>IF($C$9="Data Not Entered On Set-Up Worksheet","",IF(OR(VLOOKUP($C$9,County_Lookup_MC,14,FALSE)="",VLOOKUP($C$9,County_Lookup_MC,14,FALSE)=0),"",VLOOKUP($C$9,County_Lookup_MC,14,FALSE)))</f>
        <v/>
      </c>
      <c r="B29" s="69"/>
      <c r="C29" s="61"/>
      <c r="D29" s="70" t="str">
        <f t="shared" si="6"/>
        <v/>
      </c>
      <c r="E29" s="69"/>
      <c r="F29" s="61"/>
      <c r="G29" s="70" t="str">
        <f t="shared" si="7"/>
        <v/>
      </c>
      <c r="H29" s="69"/>
      <c r="I29" s="61"/>
      <c r="J29" s="70" t="str">
        <f t="shared" si="8"/>
        <v/>
      </c>
      <c r="K29" s="74" t="str">
        <f t="shared" si="9"/>
        <v/>
      </c>
      <c r="L29" s="62" t="str">
        <f t="shared" si="10"/>
        <v/>
      </c>
      <c r="M29" s="70" t="str">
        <f t="shared" si="11"/>
        <v/>
      </c>
      <c r="N29" s="74" t="str">
        <f t="shared" si="0"/>
        <v/>
      </c>
      <c r="O29" s="62" t="str">
        <f t="shared" si="1"/>
        <v/>
      </c>
      <c r="P29" s="70" t="str">
        <f t="shared" si="12"/>
        <v/>
      </c>
      <c r="Q29" s="69"/>
      <c r="R29" s="61"/>
      <c r="S29" s="70" t="str">
        <f t="shared" si="13"/>
        <v/>
      </c>
      <c r="T29" s="69"/>
      <c r="U29" s="61"/>
      <c r="V29" s="70" t="str">
        <f t="shared" si="14"/>
        <v/>
      </c>
      <c r="W29" s="69"/>
      <c r="X29" s="61"/>
      <c r="Y29" s="70" t="str">
        <f t="shared" si="15"/>
        <v/>
      </c>
      <c r="Z29" s="74" t="str">
        <f t="shared" si="16"/>
        <v/>
      </c>
      <c r="AA29" s="62" t="str">
        <f t="shared" si="17"/>
        <v/>
      </c>
      <c r="AB29" s="70" t="str">
        <f t="shared" si="18"/>
        <v/>
      </c>
      <c r="AC29" s="74" t="str">
        <f t="shared" si="2"/>
        <v/>
      </c>
      <c r="AD29" s="62" t="str">
        <f t="shared" si="3"/>
        <v/>
      </c>
      <c r="AE29" s="70" t="str">
        <f t="shared" si="19"/>
        <v/>
      </c>
      <c r="AF29" s="69"/>
      <c r="AG29" s="61"/>
      <c r="AH29" s="70" t="str">
        <f t="shared" si="20"/>
        <v/>
      </c>
      <c r="AI29" s="69"/>
      <c r="AJ29" s="61"/>
      <c r="AK29" s="70" t="str">
        <f t="shared" si="21"/>
        <v/>
      </c>
      <c r="AL29" s="69"/>
      <c r="AM29" s="61"/>
      <c r="AN29" s="70" t="str">
        <f t="shared" si="22"/>
        <v/>
      </c>
      <c r="AO29" s="74" t="str">
        <f t="shared" si="23"/>
        <v/>
      </c>
      <c r="AP29" s="62" t="str">
        <f t="shared" si="24"/>
        <v/>
      </c>
      <c r="AQ29" s="70" t="str">
        <f t="shared" si="25"/>
        <v/>
      </c>
      <c r="AR29" s="74" t="str">
        <f t="shared" si="4"/>
        <v/>
      </c>
      <c r="AS29" s="62" t="str">
        <f t="shared" si="5"/>
        <v/>
      </c>
      <c r="AT29" s="70" t="str">
        <f t="shared" si="26"/>
        <v/>
      </c>
    </row>
    <row r="30" spans="1:46" ht="18" customHeight="1" x14ac:dyDescent="0.2">
      <c r="A30" s="76" t="str">
        <f>IF($C$9="Data Not Entered On Set-Up Worksheet","",IF(OR(VLOOKUP($C$9,County_Lookup_MC,15,FALSE)="",VLOOKUP($C$9,County_Lookup_MC,15,FALSE)=0),"",VLOOKUP($C$9,County_Lookup_MC,15,FALSE)))</f>
        <v/>
      </c>
      <c r="B30" s="69"/>
      <c r="C30" s="61"/>
      <c r="D30" s="70" t="str">
        <f t="shared" si="6"/>
        <v/>
      </c>
      <c r="E30" s="69"/>
      <c r="F30" s="61"/>
      <c r="G30" s="70" t="str">
        <f t="shared" si="7"/>
        <v/>
      </c>
      <c r="H30" s="69"/>
      <c r="I30" s="61"/>
      <c r="J30" s="70" t="str">
        <f t="shared" si="8"/>
        <v/>
      </c>
      <c r="K30" s="74" t="str">
        <f t="shared" si="9"/>
        <v/>
      </c>
      <c r="L30" s="62" t="str">
        <f t="shared" si="10"/>
        <v/>
      </c>
      <c r="M30" s="70" t="str">
        <f t="shared" si="11"/>
        <v/>
      </c>
      <c r="N30" s="74" t="str">
        <f t="shared" si="0"/>
        <v/>
      </c>
      <c r="O30" s="62" t="str">
        <f t="shared" si="1"/>
        <v/>
      </c>
      <c r="P30" s="70" t="str">
        <f t="shared" si="12"/>
        <v/>
      </c>
      <c r="Q30" s="69"/>
      <c r="R30" s="61"/>
      <c r="S30" s="70" t="str">
        <f t="shared" si="13"/>
        <v/>
      </c>
      <c r="T30" s="69"/>
      <c r="U30" s="61"/>
      <c r="V30" s="70" t="str">
        <f t="shared" si="14"/>
        <v/>
      </c>
      <c r="W30" s="69"/>
      <c r="X30" s="61"/>
      <c r="Y30" s="70" t="str">
        <f t="shared" si="15"/>
        <v/>
      </c>
      <c r="Z30" s="74" t="str">
        <f t="shared" si="16"/>
        <v/>
      </c>
      <c r="AA30" s="62" t="str">
        <f t="shared" si="17"/>
        <v/>
      </c>
      <c r="AB30" s="70" t="str">
        <f t="shared" si="18"/>
        <v/>
      </c>
      <c r="AC30" s="74" t="str">
        <f t="shared" si="2"/>
        <v/>
      </c>
      <c r="AD30" s="62" t="str">
        <f t="shared" si="3"/>
        <v/>
      </c>
      <c r="AE30" s="70" t="str">
        <f t="shared" si="19"/>
        <v/>
      </c>
      <c r="AF30" s="69"/>
      <c r="AG30" s="61"/>
      <c r="AH30" s="70" t="str">
        <f t="shared" si="20"/>
        <v/>
      </c>
      <c r="AI30" s="69"/>
      <c r="AJ30" s="61"/>
      <c r="AK30" s="70" t="str">
        <f t="shared" si="21"/>
        <v/>
      </c>
      <c r="AL30" s="69"/>
      <c r="AM30" s="61"/>
      <c r="AN30" s="70" t="str">
        <f t="shared" si="22"/>
        <v/>
      </c>
      <c r="AO30" s="74" t="str">
        <f t="shared" si="23"/>
        <v/>
      </c>
      <c r="AP30" s="62" t="str">
        <f t="shared" si="24"/>
        <v/>
      </c>
      <c r="AQ30" s="70" t="str">
        <f t="shared" si="25"/>
        <v/>
      </c>
      <c r="AR30" s="74" t="str">
        <f t="shared" si="4"/>
        <v/>
      </c>
      <c r="AS30" s="62" t="str">
        <f t="shared" si="5"/>
        <v/>
      </c>
      <c r="AT30" s="70" t="str">
        <f t="shared" si="26"/>
        <v/>
      </c>
    </row>
    <row r="31" spans="1:46" ht="18" customHeight="1" x14ac:dyDescent="0.2">
      <c r="A31" s="77" t="str">
        <f>IF($C$9="Data Not Entered On Set-Up Worksheet","",IF(OR(VLOOKUP($C$9,County_Lookup_MC,16,FALSE)="",VLOOKUP($C$9,County_Lookup_MC,16,FALSE)=0),"",VLOOKUP($C$9,County_Lookup_MC,16,FALSE)))</f>
        <v/>
      </c>
      <c r="B31" s="69"/>
      <c r="C31" s="61"/>
      <c r="D31" s="70" t="str">
        <f t="shared" si="6"/>
        <v/>
      </c>
      <c r="E31" s="69"/>
      <c r="F31" s="61"/>
      <c r="G31" s="70" t="str">
        <f t="shared" si="7"/>
        <v/>
      </c>
      <c r="H31" s="69"/>
      <c r="I31" s="61"/>
      <c r="J31" s="70" t="str">
        <f t="shared" si="8"/>
        <v/>
      </c>
      <c r="K31" s="74" t="str">
        <f t="shared" si="9"/>
        <v/>
      </c>
      <c r="L31" s="62" t="str">
        <f t="shared" si="10"/>
        <v/>
      </c>
      <c r="M31" s="70" t="str">
        <f t="shared" si="11"/>
        <v/>
      </c>
      <c r="N31" s="74" t="str">
        <f t="shared" si="0"/>
        <v/>
      </c>
      <c r="O31" s="62" t="str">
        <f t="shared" si="1"/>
        <v/>
      </c>
      <c r="P31" s="70" t="str">
        <f t="shared" si="12"/>
        <v/>
      </c>
      <c r="Q31" s="69"/>
      <c r="R31" s="61"/>
      <c r="S31" s="70" t="str">
        <f t="shared" si="13"/>
        <v/>
      </c>
      <c r="T31" s="69"/>
      <c r="U31" s="61"/>
      <c r="V31" s="70" t="str">
        <f t="shared" si="14"/>
        <v/>
      </c>
      <c r="W31" s="69"/>
      <c r="X31" s="61"/>
      <c r="Y31" s="70" t="str">
        <f t="shared" si="15"/>
        <v/>
      </c>
      <c r="Z31" s="74" t="str">
        <f t="shared" si="16"/>
        <v/>
      </c>
      <c r="AA31" s="62" t="str">
        <f t="shared" si="17"/>
        <v/>
      </c>
      <c r="AB31" s="70" t="str">
        <f t="shared" si="18"/>
        <v/>
      </c>
      <c r="AC31" s="74" t="str">
        <f t="shared" si="2"/>
        <v/>
      </c>
      <c r="AD31" s="62" t="str">
        <f t="shared" si="3"/>
        <v/>
      </c>
      <c r="AE31" s="70" t="str">
        <f t="shared" si="19"/>
        <v/>
      </c>
      <c r="AF31" s="69"/>
      <c r="AG31" s="61"/>
      <c r="AH31" s="70" t="str">
        <f t="shared" si="20"/>
        <v/>
      </c>
      <c r="AI31" s="69"/>
      <c r="AJ31" s="61"/>
      <c r="AK31" s="70" t="str">
        <f t="shared" si="21"/>
        <v/>
      </c>
      <c r="AL31" s="69"/>
      <c r="AM31" s="61"/>
      <c r="AN31" s="70" t="str">
        <f t="shared" si="22"/>
        <v/>
      </c>
      <c r="AO31" s="74" t="str">
        <f t="shared" si="23"/>
        <v/>
      </c>
      <c r="AP31" s="62" t="str">
        <f t="shared" si="24"/>
        <v/>
      </c>
      <c r="AQ31" s="70" t="str">
        <f t="shared" si="25"/>
        <v/>
      </c>
      <c r="AR31" s="74" t="str">
        <f t="shared" si="4"/>
        <v/>
      </c>
      <c r="AS31" s="62" t="str">
        <f t="shared" si="5"/>
        <v/>
      </c>
      <c r="AT31" s="70" t="str">
        <f t="shared" si="26"/>
        <v/>
      </c>
    </row>
    <row r="32" spans="1:46" ht="18" customHeight="1" x14ac:dyDescent="0.2">
      <c r="A32" s="77" t="str">
        <f>IF($C$9="Data Not Entered On Set-Up Worksheet","",IF(OR(VLOOKUP($C$9,County_Lookup_MC,17,FALSE)="",VLOOKUP($C$9,County_Lookup_MC,17,FALSE)=0),"",VLOOKUP($C$9,County_Lookup_MC,17,FALSE)))</f>
        <v/>
      </c>
      <c r="B32" s="69"/>
      <c r="C32" s="61"/>
      <c r="D32" s="70" t="str">
        <f t="shared" si="6"/>
        <v/>
      </c>
      <c r="E32" s="69"/>
      <c r="F32" s="61"/>
      <c r="G32" s="70" t="str">
        <f t="shared" si="7"/>
        <v/>
      </c>
      <c r="H32" s="69"/>
      <c r="I32" s="61"/>
      <c r="J32" s="70" t="str">
        <f t="shared" si="8"/>
        <v/>
      </c>
      <c r="K32" s="74" t="str">
        <f t="shared" si="9"/>
        <v/>
      </c>
      <c r="L32" s="62" t="str">
        <f t="shared" si="10"/>
        <v/>
      </c>
      <c r="M32" s="70" t="str">
        <f t="shared" si="11"/>
        <v/>
      </c>
      <c r="N32" s="74" t="str">
        <f t="shared" si="0"/>
        <v/>
      </c>
      <c r="O32" s="62" t="str">
        <f t="shared" si="1"/>
        <v/>
      </c>
      <c r="P32" s="70" t="str">
        <f t="shared" si="12"/>
        <v/>
      </c>
      <c r="Q32" s="69"/>
      <c r="R32" s="61"/>
      <c r="S32" s="70" t="str">
        <f t="shared" si="13"/>
        <v/>
      </c>
      <c r="T32" s="69"/>
      <c r="U32" s="61"/>
      <c r="V32" s="70" t="str">
        <f t="shared" si="14"/>
        <v/>
      </c>
      <c r="W32" s="69"/>
      <c r="X32" s="61"/>
      <c r="Y32" s="70" t="str">
        <f t="shared" si="15"/>
        <v/>
      </c>
      <c r="Z32" s="74" t="str">
        <f t="shared" si="16"/>
        <v/>
      </c>
      <c r="AA32" s="62" t="str">
        <f t="shared" si="17"/>
        <v/>
      </c>
      <c r="AB32" s="70" t="str">
        <f t="shared" si="18"/>
        <v/>
      </c>
      <c r="AC32" s="74" t="str">
        <f t="shared" si="2"/>
        <v/>
      </c>
      <c r="AD32" s="62" t="str">
        <f t="shared" si="3"/>
        <v/>
      </c>
      <c r="AE32" s="70" t="str">
        <f t="shared" si="19"/>
        <v/>
      </c>
      <c r="AF32" s="69"/>
      <c r="AG32" s="61"/>
      <c r="AH32" s="70" t="str">
        <f t="shared" si="20"/>
        <v/>
      </c>
      <c r="AI32" s="69"/>
      <c r="AJ32" s="61"/>
      <c r="AK32" s="70" t="str">
        <f t="shared" si="21"/>
        <v/>
      </c>
      <c r="AL32" s="69"/>
      <c r="AM32" s="61"/>
      <c r="AN32" s="70" t="str">
        <f t="shared" si="22"/>
        <v/>
      </c>
      <c r="AO32" s="74" t="str">
        <f t="shared" si="23"/>
        <v/>
      </c>
      <c r="AP32" s="62" t="str">
        <f t="shared" si="24"/>
        <v/>
      </c>
      <c r="AQ32" s="70" t="str">
        <f t="shared" si="25"/>
        <v/>
      </c>
      <c r="AR32" s="74" t="str">
        <f t="shared" si="4"/>
        <v/>
      </c>
      <c r="AS32" s="62" t="str">
        <f t="shared" si="5"/>
        <v/>
      </c>
      <c r="AT32" s="70" t="str">
        <f t="shared" si="26"/>
        <v/>
      </c>
    </row>
    <row r="33" spans="1:46" ht="18" customHeight="1" x14ac:dyDescent="0.2">
      <c r="A33" s="77" t="str">
        <f>IF($C$9="Data Not Entered On Set-Up Worksheet","",IF(OR(VLOOKUP($C$9,County_Lookup_MC,18,FALSE)="",VLOOKUP($C$9,County_Lookup_MC,18,FALSE)=0),"",VLOOKUP($C$9,County_Lookup_MC,18,FALSE)))</f>
        <v/>
      </c>
      <c r="B33" s="69"/>
      <c r="C33" s="61"/>
      <c r="D33" s="70" t="str">
        <f t="shared" si="6"/>
        <v/>
      </c>
      <c r="E33" s="69"/>
      <c r="F33" s="61"/>
      <c r="G33" s="70" t="str">
        <f t="shared" si="7"/>
        <v/>
      </c>
      <c r="H33" s="69"/>
      <c r="I33" s="61"/>
      <c r="J33" s="70" t="str">
        <f t="shared" si="8"/>
        <v/>
      </c>
      <c r="K33" s="74" t="str">
        <f t="shared" si="9"/>
        <v/>
      </c>
      <c r="L33" s="62" t="str">
        <f t="shared" si="10"/>
        <v/>
      </c>
      <c r="M33" s="70" t="str">
        <f t="shared" si="11"/>
        <v/>
      </c>
      <c r="N33" s="74" t="str">
        <f t="shared" si="0"/>
        <v/>
      </c>
      <c r="O33" s="62" t="str">
        <f t="shared" si="1"/>
        <v/>
      </c>
      <c r="P33" s="70" t="str">
        <f t="shared" si="12"/>
        <v/>
      </c>
      <c r="Q33" s="69"/>
      <c r="R33" s="61"/>
      <c r="S33" s="70" t="str">
        <f t="shared" si="13"/>
        <v/>
      </c>
      <c r="T33" s="69"/>
      <c r="U33" s="61"/>
      <c r="V33" s="70" t="str">
        <f t="shared" si="14"/>
        <v/>
      </c>
      <c r="W33" s="69"/>
      <c r="X33" s="61"/>
      <c r="Y33" s="70" t="str">
        <f t="shared" si="15"/>
        <v/>
      </c>
      <c r="Z33" s="74" t="str">
        <f t="shared" si="16"/>
        <v/>
      </c>
      <c r="AA33" s="62" t="str">
        <f t="shared" si="17"/>
        <v/>
      </c>
      <c r="AB33" s="70" t="str">
        <f t="shared" si="18"/>
        <v/>
      </c>
      <c r="AC33" s="74" t="str">
        <f t="shared" si="2"/>
        <v/>
      </c>
      <c r="AD33" s="62" t="str">
        <f t="shared" si="3"/>
        <v/>
      </c>
      <c r="AE33" s="70" t="str">
        <f t="shared" si="19"/>
        <v/>
      </c>
      <c r="AF33" s="69"/>
      <c r="AG33" s="61"/>
      <c r="AH33" s="70" t="str">
        <f t="shared" si="20"/>
        <v/>
      </c>
      <c r="AI33" s="69"/>
      <c r="AJ33" s="61"/>
      <c r="AK33" s="70" t="str">
        <f t="shared" si="21"/>
        <v/>
      </c>
      <c r="AL33" s="69"/>
      <c r="AM33" s="61"/>
      <c r="AN33" s="70" t="str">
        <f t="shared" si="22"/>
        <v/>
      </c>
      <c r="AO33" s="74" t="str">
        <f t="shared" si="23"/>
        <v/>
      </c>
      <c r="AP33" s="62" t="str">
        <f t="shared" si="24"/>
        <v/>
      </c>
      <c r="AQ33" s="70" t="str">
        <f t="shared" si="25"/>
        <v/>
      </c>
      <c r="AR33" s="74" t="str">
        <f t="shared" si="4"/>
        <v/>
      </c>
      <c r="AS33" s="62" t="str">
        <f t="shared" si="5"/>
        <v/>
      </c>
      <c r="AT33" s="70" t="str">
        <f t="shared" si="26"/>
        <v/>
      </c>
    </row>
    <row r="34" spans="1:46" ht="18" customHeight="1" x14ac:dyDescent="0.2">
      <c r="A34" s="77" t="str">
        <f>IF($C$9="Data Not Entered On Set-Up Worksheet","",IF(OR(VLOOKUP($C$9,County_Lookup_MC,19,FALSE)="",VLOOKUP($C$9,County_Lookup_MC,19,FALSE)=0),"",VLOOKUP($C$9,County_Lookup_MC,19,FALSE)))</f>
        <v/>
      </c>
      <c r="B34" s="69"/>
      <c r="C34" s="61"/>
      <c r="D34" s="70" t="str">
        <f t="shared" si="6"/>
        <v/>
      </c>
      <c r="E34" s="69"/>
      <c r="F34" s="61"/>
      <c r="G34" s="70" t="str">
        <f t="shared" si="7"/>
        <v/>
      </c>
      <c r="H34" s="69"/>
      <c r="I34" s="61"/>
      <c r="J34" s="70" t="str">
        <f t="shared" si="8"/>
        <v/>
      </c>
      <c r="K34" s="74" t="str">
        <f t="shared" si="9"/>
        <v/>
      </c>
      <c r="L34" s="62" t="str">
        <f t="shared" si="10"/>
        <v/>
      </c>
      <c r="M34" s="70" t="str">
        <f t="shared" si="11"/>
        <v/>
      </c>
      <c r="N34" s="74" t="str">
        <f t="shared" si="0"/>
        <v/>
      </c>
      <c r="O34" s="62" t="str">
        <f t="shared" si="1"/>
        <v/>
      </c>
      <c r="P34" s="70" t="str">
        <f t="shared" si="12"/>
        <v/>
      </c>
      <c r="Q34" s="69"/>
      <c r="R34" s="61"/>
      <c r="S34" s="70" t="str">
        <f t="shared" si="13"/>
        <v/>
      </c>
      <c r="T34" s="69"/>
      <c r="U34" s="61"/>
      <c r="V34" s="70" t="str">
        <f t="shared" si="14"/>
        <v/>
      </c>
      <c r="W34" s="69"/>
      <c r="X34" s="61"/>
      <c r="Y34" s="70" t="str">
        <f t="shared" si="15"/>
        <v/>
      </c>
      <c r="Z34" s="74" t="str">
        <f t="shared" si="16"/>
        <v/>
      </c>
      <c r="AA34" s="62" t="str">
        <f t="shared" si="17"/>
        <v/>
      </c>
      <c r="AB34" s="70" t="str">
        <f t="shared" si="18"/>
        <v/>
      </c>
      <c r="AC34" s="74" t="str">
        <f t="shared" si="2"/>
        <v/>
      </c>
      <c r="AD34" s="62" t="str">
        <f t="shared" si="3"/>
        <v/>
      </c>
      <c r="AE34" s="70" t="str">
        <f t="shared" si="19"/>
        <v/>
      </c>
      <c r="AF34" s="69"/>
      <c r="AG34" s="61"/>
      <c r="AH34" s="70" t="str">
        <f t="shared" si="20"/>
        <v/>
      </c>
      <c r="AI34" s="69"/>
      <c r="AJ34" s="61"/>
      <c r="AK34" s="70" t="str">
        <f t="shared" si="21"/>
        <v/>
      </c>
      <c r="AL34" s="69"/>
      <c r="AM34" s="61"/>
      <c r="AN34" s="70" t="str">
        <f t="shared" si="22"/>
        <v/>
      </c>
      <c r="AO34" s="74" t="str">
        <f t="shared" si="23"/>
        <v/>
      </c>
      <c r="AP34" s="62" t="str">
        <f t="shared" si="24"/>
        <v/>
      </c>
      <c r="AQ34" s="70" t="str">
        <f t="shared" si="25"/>
        <v/>
      </c>
      <c r="AR34" s="74" t="str">
        <f t="shared" si="4"/>
        <v/>
      </c>
      <c r="AS34" s="62" t="str">
        <f t="shared" si="5"/>
        <v/>
      </c>
      <c r="AT34" s="70" t="str">
        <f t="shared" si="26"/>
        <v/>
      </c>
    </row>
    <row r="35" spans="1:46" ht="18" customHeight="1" x14ac:dyDescent="0.2">
      <c r="A35" s="77" t="str">
        <f>IF($C$9="Data Not Entered On Set-Up Worksheet","",IF(OR(VLOOKUP($C$9,County_Lookup_MC,20,FALSE)="",VLOOKUP($C$9,County_Lookup_MC,20,FALSE)=0),"",VLOOKUP($C$9,County_Lookup_MC,20,FALSE)))</f>
        <v/>
      </c>
      <c r="B35" s="69"/>
      <c r="C35" s="61"/>
      <c r="D35" s="70" t="str">
        <f t="shared" si="6"/>
        <v/>
      </c>
      <c r="E35" s="69"/>
      <c r="F35" s="61"/>
      <c r="G35" s="70" t="str">
        <f t="shared" si="7"/>
        <v/>
      </c>
      <c r="H35" s="69"/>
      <c r="I35" s="61"/>
      <c r="J35" s="70" t="str">
        <f t="shared" si="8"/>
        <v/>
      </c>
      <c r="K35" s="74" t="str">
        <f t="shared" si="9"/>
        <v/>
      </c>
      <c r="L35" s="62" t="str">
        <f t="shared" si="10"/>
        <v/>
      </c>
      <c r="M35" s="70" t="str">
        <f t="shared" si="11"/>
        <v/>
      </c>
      <c r="N35" s="74" t="str">
        <f t="shared" si="0"/>
        <v/>
      </c>
      <c r="O35" s="62" t="str">
        <f t="shared" si="1"/>
        <v/>
      </c>
      <c r="P35" s="70" t="str">
        <f t="shared" si="12"/>
        <v/>
      </c>
      <c r="Q35" s="69"/>
      <c r="R35" s="61"/>
      <c r="S35" s="70" t="str">
        <f t="shared" si="13"/>
        <v/>
      </c>
      <c r="T35" s="69"/>
      <c r="U35" s="61"/>
      <c r="V35" s="70" t="str">
        <f t="shared" si="14"/>
        <v/>
      </c>
      <c r="W35" s="69"/>
      <c r="X35" s="61"/>
      <c r="Y35" s="70" t="str">
        <f t="shared" si="15"/>
        <v/>
      </c>
      <c r="Z35" s="74" t="str">
        <f t="shared" si="16"/>
        <v/>
      </c>
      <c r="AA35" s="62" t="str">
        <f t="shared" si="17"/>
        <v/>
      </c>
      <c r="AB35" s="70" t="str">
        <f t="shared" si="18"/>
        <v/>
      </c>
      <c r="AC35" s="74" t="str">
        <f t="shared" si="2"/>
        <v/>
      </c>
      <c r="AD35" s="62" t="str">
        <f t="shared" si="3"/>
        <v/>
      </c>
      <c r="AE35" s="70" t="str">
        <f t="shared" si="19"/>
        <v/>
      </c>
      <c r="AF35" s="69"/>
      <c r="AG35" s="61"/>
      <c r="AH35" s="70" t="str">
        <f t="shared" si="20"/>
        <v/>
      </c>
      <c r="AI35" s="69"/>
      <c r="AJ35" s="61"/>
      <c r="AK35" s="70" t="str">
        <f t="shared" si="21"/>
        <v/>
      </c>
      <c r="AL35" s="69"/>
      <c r="AM35" s="61"/>
      <c r="AN35" s="70" t="str">
        <f t="shared" si="22"/>
        <v/>
      </c>
      <c r="AO35" s="74" t="str">
        <f t="shared" si="23"/>
        <v/>
      </c>
      <c r="AP35" s="62" t="str">
        <f t="shared" si="24"/>
        <v/>
      </c>
      <c r="AQ35" s="70" t="str">
        <f t="shared" si="25"/>
        <v/>
      </c>
      <c r="AR35" s="74" t="str">
        <f t="shared" si="4"/>
        <v/>
      </c>
      <c r="AS35" s="62" t="str">
        <f t="shared" si="5"/>
        <v/>
      </c>
      <c r="AT35" s="70" t="str">
        <f t="shared" si="26"/>
        <v/>
      </c>
    </row>
    <row r="36" spans="1:46" ht="18" customHeight="1" x14ac:dyDescent="0.2">
      <c r="A36" s="77" t="str">
        <f>IF($C$9="Data Not Entered On Set-Up Worksheet","",IF(OR(VLOOKUP($C$9,County_Lookup_MC,21,FALSE)="",VLOOKUP($C$9,County_Lookup_MC,21,FALSE)=0),"",VLOOKUP($C$9,County_Lookup_MC,21,FALSE)))</f>
        <v/>
      </c>
      <c r="B36" s="69"/>
      <c r="C36" s="61"/>
      <c r="D36" s="70" t="str">
        <f t="shared" si="6"/>
        <v/>
      </c>
      <c r="E36" s="69"/>
      <c r="F36" s="61"/>
      <c r="G36" s="70" t="str">
        <f t="shared" si="7"/>
        <v/>
      </c>
      <c r="H36" s="69"/>
      <c r="I36" s="61"/>
      <c r="J36" s="70" t="str">
        <f t="shared" si="8"/>
        <v/>
      </c>
      <c r="K36" s="74" t="str">
        <f t="shared" si="9"/>
        <v/>
      </c>
      <c r="L36" s="62" t="str">
        <f t="shared" si="10"/>
        <v/>
      </c>
      <c r="M36" s="70" t="str">
        <f t="shared" si="11"/>
        <v/>
      </c>
      <c r="N36" s="74" t="str">
        <f t="shared" si="0"/>
        <v/>
      </c>
      <c r="O36" s="62" t="str">
        <f t="shared" si="1"/>
        <v/>
      </c>
      <c r="P36" s="70" t="str">
        <f t="shared" si="12"/>
        <v/>
      </c>
      <c r="Q36" s="69"/>
      <c r="R36" s="61"/>
      <c r="S36" s="70" t="str">
        <f t="shared" si="13"/>
        <v/>
      </c>
      <c r="T36" s="69"/>
      <c r="U36" s="61"/>
      <c r="V36" s="70" t="str">
        <f t="shared" si="14"/>
        <v/>
      </c>
      <c r="W36" s="69"/>
      <c r="X36" s="61"/>
      <c r="Y36" s="70" t="str">
        <f t="shared" si="15"/>
        <v/>
      </c>
      <c r="Z36" s="74" t="str">
        <f t="shared" si="16"/>
        <v/>
      </c>
      <c r="AA36" s="62" t="str">
        <f t="shared" si="17"/>
        <v/>
      </c>
      <c r="AB36" s="70" t="str">
        <f t="shared" si="18"/>
        <v/>
      </c>
      <c r="AC36" s="74" t="str">
        <f t="shared" si="2"/>
        <v/>
      </c>
      <c r="AD36" s="62" t="str">
        <f t="shared" si="3"/>
        <v/>
      </c>
      <c r="AE36" s="70" t="str">
        <f t="shared" si="19"/>
        <v/>
      </c>
      <c r="AF36" s="69"/>
      <c r="AG36" s="61"/>
      <c r="AH36" s="70" t="str">
        <f t="shared" si="20"/>
        <v/>
      </c>
      <c r="AI36" s="69"/>
      <c r="AJ36" s="61"/>
      <c r="AK36" s="70" t="str">
        <f t="shared" si="21"/>
        <v/>
      </c>
      <c r="AL36" s="69"/>
      <c r="AM36" s="61"/>
      <c r="AN36" s="70" t="str">
        <f t="shared" si="22"/>
        <v/>
      </c>
      <c r="AO36" s="74" t="str">
        <f t="shared" si="23"/>
        <v/>
      </c>
      <c r="AP36" s="62" t="str">
        <f t="shared" si="24"/>
        <v/>
      </c>
      <c r="AQ36" s="70" t="str">
        <f t="shared" si="25"/>
        <v/>
      </c>
      <c r="AR36" s="74" t="str">
        <f t="shared" si="4"/>
        <v/>
      </c>
      <c r="AS36" s="62" t="str">
        <f t="shared" si="5"/>
        <v/>
      </c>
      <c r="AT36" s="70" t="str">
        <f t="shared" si="26"/>
        <v/>
      </c>
    </row>
    <row r="37" spans="1:46" ht="18" customHeight="1" x14ac:dyDescent="0.2">
      <c r="A37" s="76" t="str">
        <f>IF($C$9="Data Not Entered On Set-Up Worksheet","",IF(OR(VLOOKUP($C$9,County_Lookup_MC,22,FALSE)="",VLOOKUP($C$9,County_Lookup_MC,22,FALSE)=0),"",VLOOKUP($C$9,County_Lookup_MC,22,FALSE)))</f>
        <v/>
      </c>
      <c r="B37" s="69"/>
      <c r="C37" s="61"/>
      <c r="D37" s="70" t="str">
        <f t="shared" si="6"/>
        <v/>
      </c>
      <c r="E37" s="69"/>
      <c r="F37" s="61"/>
      <c r="G37" s="70" t="str">
        <f t="shared" si="7"/>
        <v/>
      </c>
      <c r="H37" s="69"/>
      <c r="I37" s="61"/>
      <c r="J37" s="70" t="str">
        <f t="shared" si="8"/>
        <v/>
      </c>
      <c r="K37" s="74" t="str">
        <f t="shared" si="9"/>
        <v/>
      </c>
      <c r="L37" s="62" t="str">
        <f t="shared" si="10"/>
        <v/>
      </c>
      <c r="M37" s="70" t="str">
        <f t="shared" si="11"/>
        <v/>
      </c>
      <c r="N37" s="74" t="str">
        <f t="shared" si="0"/>
        <v/>
      </c>
      <c r="O37" s="62" t="str">
        <f t="shared" si="1"/>
        <v/>
      </c>
      <c r="P37" s="70" t="str">
        <f t="shared" si="12"/>
        <v/>
      </c>
      <c r="Q37" s="69"/>
      <c r="R37" s="61"/>
      <c r="S37" s="70" t="str">
        <f t="shared" si="13"/>
        <v/>
      </c>
      <c r="T37" s="69"/>
      <c r="U37" s="61"/>
      <c r="V37" s="70" t="str">
        <f t="shared" si="14"/>
        <v/>
      </c>
      <c r="W37" s="69"/>
      <c r="X37" s="61"/>
      <c r="Y37" s="70" t="str">
        <f t="shared" si="15"/>
        <v/>
      </c>
      <c r="Z37" s="74" t="str">
        <f t="shared" si="16"/>
        <v/>
      </c>
      <c r="AA37" s="62" t="str">
        <f t="shared" si="17"/>
        <v/>
      </c>
      <c r="AB37" s="70" t="str">
        <f t="shared" si="18"/>
        <v/>
      </c>
      <c r="AC37" s="74" t="str">
        <f t="shared" si="2"/>
        <v/>
      </c>
      <c r="AD37" s="62" t="str">
        <f t="shared" si="3"/>
        <v/>
      </c>
      <c r="AE37" s="70" t="str">
        <f t="shared" si="19"/>
        <v/>
      </c>
      <c r="AF37" s="69"/>
      <c r="AG37" s="61"/>
      <c r="AH37" s="70" t="str">
        <f t="shared" si="20"/>
        <v/>
      </c>
      <c r="AI37" s="69"/>
      <c r="AJ37" s="61"/>
      <c r="AK37" s="70" t="str">
        <f t="shared" si="21"/>
        <v/>
      </c>
      <c r="AL37" s="69"/>
      <c r="AM37" s="61"/>
      <c r="AN37" s="70" t="str">
        <f t="shared" si="22"/>
        <v/>
      </c>
      <c r="AO37" s="74" t="str">
        <f t="shared" si="23"/>
        <v/>
      </c>
      <c r="AP37" s="62" t="str">
        <f t="shared" si="24"/>
        <v/>
      </c>
      <c r="AQ37" s="70" t="str">
        <f t="shared" si="25"/>
        <v/>
      </c>
      <c r="AR37" s="74" t="str">
        <f t="shared" si="4"/>
        <v/>
      </c>
      <c r="AS37" s="62" t="str">
        <f t="shared" si="5"/>
        <v/>
      </c>
      <c r="AT37" s="70" t="str">
        <f t="shared" si="26"/>
        <v/>
      </c>
    </row>
    <row r="38" spans="1:46" ht="18" customHeight="1" x14ac:dyDescent="0.2">
      <c r="A38" s="77" t="str">
        <f>IF($C$9="Data Not Entered On Set-Up Worksheet","",IF(OR(VLOOKUP($C$9,County_Lookup_MC,23,FALSE)="",VLOOKUP($C$9,County_Lookup_MC,23,FALSE)=0),"",VLOOKUP($C$9,County_Lookup_MC,23,FALSE)))</f>
        <v/>
      </c>
      <c r="B38" s="69"/>
      <c r="C38" s="61"/>
      <c r="D38" s="70" t="str">
        <f t="shared" si="6"/>
        <v/>
      </c>
      <c r="E38" s="69"/>
      <c r="F38" s="61"/>
      <c r="G38" s="70" t="str">
        <f t="shared" si="7"/>
        <v/>
      </c>
      <c r="H38" s="69"/>
      <c r="I38" s="61"/>
      <c r="J38" s="70" t="str">
        <f t="shared" si="8"/>
        <v/>
      </c>
      <c r="K38" s="74" t="str">
        <f t="shared" si="9"/>
        <v/>
      </c>
      <c r="L38" s="62" t="str">
        <f t="shared" si="10"/>
        <v/>
      </c>
      <c r="M38" s="70" t="str">
        <f t="shared" si="11"/>
        <v/>
      </c>
      <c r="N38" s="74" t="str">
        <f t="shared" si="0"/>
        <v/>
      </c>
      <c r="O38" s="62" t="str">
        <f t="shared" si="1"/>
        <v/>
      </c>
      <c r="P38" s="70" t="str">
        <f t="shared" si="12"/>
        <v/>
      </c>
      <c r="Q38" s="69"/>
      <c r="R38" s="61"/>
      <c r="S38" s="70" t="str">
        <f t="shared" si="13"/>
        <v/>
      </c>
      <c r="T38" s="69"/>
      <c r="U38" s="61"/>
      <c r="V38" s="70" t="str">
        <f t="shared" si="14"/>
        <v/>
      </c>
      <c r="W38" s="69"/>
      <c r="X38" s="61"/>
      <c r="Y38" s="70" t="str">
        <f t="shared" si="15"/>
        <v/>
      </c>
      <c r="Z38" s="74" t="str">
        <f t="shared" si="16"/>
        <v/>
      </c>
      <c r="AA38" s="62" t="str">
        <f t="shared" si="17"/>
        <v/>
      </c>
      <c r="AB38" s="70" t="str">
        <f t="shared" si="18"/>
        <v/>
      </c>
      <c r="AC38" s="74" t="str">
        <f t="shared" si="2"/>
        <v/>
      </c>
      <c r="AD38" s="62" t="str">
        <f t="shared" si="3"/>
        <v/>
      </c>
      <c r="AE38" s="70" t="str">
        <f t="shared" si="19"/>
        <v/>
      </c>
      <c r="AF38" s="69"/>
      <c r="AG38" s="61"/>
      <c r="AH38" s="70" t="str">
        <f t="shared" si="20"/>
        <v/>
      </c>
      <c r="AI38" s="69"/>
      <c r="AJ38" s="61"/>
      <c r="AK38" s="70" t="str">
        <f t="shared" si="21"/>
        <v/>
      </c>
      <c r="AL38" s="69"/>
      <c r="AM38" s="61"/>
      <c r="AN38" s="70" t="str">
        <f t="shared" si="22"/>
        <v/>
      </c>
      <c r="AO38" s="74" t="str">
        <f t="shared" si="23"/>
        <v/>
      </c>
      <c r="AP38" s="62" t="str">
        <f t="shared" si="24"/>
        <v/>
      </c>
      <c r="AQ38" s="70" t="str">
        <f t="shared" si="25"/>
        <v/>
      </c>
      <c r="AR38" s="74" t="str">
        <f t="shared" si="4"/>
        <v/>
      </c>
      <c r="AS38" s="62" t="str">
        <f t="shared" si="5"/>
        <v/>
      </c>
      <c r="AT38" s="70" t="str">
        <f t="shared" si="26"/>
        <v/>
      </c>
    </row>
    <row r="39" spans="1:46" ht="18" customHeight="1" x14ac:dyDescent="0.2">
      <c r="A39" s="77" t="str">
        <f>IF($C$9="Data Not Entered On Set-Up Worksheet","",IF(OR(VLOOKUP($C$9,County_Lookup_MC,24,FALSE)="",VLOOKUP($C$9,County_Lookup_MC,24,FALSE)=0),"",VLOOKUP($C$9,County_Lookup_MC,24,FALSE)))</f>
        <v/>
      </c>
      <c r="B39" s="69"/>
      <c r="C39" s="61"/>
      <c r="D39" s="70" t="str">
        <f t="shared" ref="D39:D40" si="27">IF($A39="","",IF(C39=0,0,B39/C39))</f>
        <v/>
      </c>
      <c r="E39" s="69"/>
      <c r="F39" s="61"/>
      <c r="G39" s="70" t="str">
        <f t="shared" ref="G39:G40" si="28">IF($A39="","",IF(F39=0,0,E39/F39))</f>
        <v/>
      </c>
      <c r="H39" s="69"/>
      <c r="I39" s="61"/>
      <c r="J39" s="70" t="str">
        <f t="shared" ref="J39:J40" si="29">IF($A39="","",IF(I39=0,0,H39/I39))</f>
        <v/>
      </c>
      <c r="K39" s="74" t="str">
        <f t="shared" ref="K39:K40" si="30">IF($A39="","",SUM(E39,H39))</f>
        <v/>
      </c>
      <c r="L39" s="62" t="str">
        <f t="shared" ref="L39:L40" si="31">IF($A39="","",SUM(F39,I39))</f>
        <v/>
      </c>
      <c r="M39" s="70" t="str">
        <f t="shared" ref="M39:M40" si="32">IF($A39="","",IF(L39=0,0,K39/L39))</f>
        <v/>
      </c>
      <c r="N39" s="74" t="str">
        <f t="shared" ref="N39:N40" si="33">IF($A39="","",SUM(B39,E39,H39))</f>
        <v/>
      </c>
      <c r="O39" s="62" t="str">
        <f t="shared" ref="O39:O40" si="34">IF($A39="","",SUM(C39,F39,I39))</f>
        <v/>
      </c>
      <c r="P39" s="70" t="str">
        <f t="shared" ref="P39:P40" si="35">IF($A39="","",IF(O39=0,0,N39/O39))</f>
        <v/>
      </c>
      <c r="Q39" s="69"/>
      <c r="R39" s="61"/>
      <c r="S39" s="70" t="str">
        <f t="shared" si="13"/>
        <v/>
      </c>
      <c r="T39" s="69"/>
      <c r="U39" s="61"/>
      <c r="V39" s="70" t="str">
        <f t="shared" si="14"/>
        <v/>
      </c>
      <c r="W39" s="69"/>
      <c r="X39" s="61"/>
      <c r="Y39" s="70" t="str">
        <f t="shared" si="15"/>
        <v/>
      </c>
      <c r="Z39" s="74" t="str">
        <f t="shared" si="16"/>
        <v/>
      </c>
      <c r="AA39" s="62" t="str">
        <f t="shared" si="17"/>
        <v/>
      </c>
      <c r="AB39" s="70" t="str">
        <f t="shared" si="18"/>
        <v/>
      </c>
      <c r="AC39" s="74" t="str">
        <f t="shared" si="2"/>
        <v/>
      </c>
      <c r="AD39" s="62" t="str">
        <f t="shared" si="3"/>
        <v/>
      </c>
      <c r="AE39" s="70" t="str">
        <f t="shared" si="19"/>
        <v/>
      </c>
      <c r="AF39" s="69"/>
      <c r="AG39" s="61"/>
      <c r="AH39" s="70" t="str">
        <f t="shared" si="20"/>
        <v/>
      </c>
      <c r="AI39" s="69"/>
      <c r="AJ39" s="61"/>
      <c r="AK39" s="70" t="str">
        <f t="shared" si="21"/>
        <v/>
      </c>
      <c r="AL39" s="69"/>
      <c r="AM39" s="61"/>
      <c r="AN39" s="70" t="str">
        <f t="shared" si="22"/>
        <v/>
      </c>
      <c r="AO39" s="74" t="str">
        <f t="shared" si="23"/>
        <v/>
      </c>
      <c r="AP39" s="62" t="str">
        <f t="shared" si="24"/>
        <v/>
      </c>
      <c r="AQ39" s="70" t="str">
        <f t="shared" si="25"/>
        <v/>
      </c>
      <c r="AR39" s="74" t="str">
        <f t="shared" si="4"/>
        <v/>
      </c>
      <c r="AS39" s="62" t="str">
        <f t="shared" si="5"/>
        <v/>
      </c>
      <c r="AT39" s="70" t="str">
        <f t="shared" si="26"/>
        <v/>
      </c>
    </row>
    <row r="40" spans="1:46" ht="18" customHeight="1" x14ac:dyDescent="0.2">
      <c r="A40" s="77" t="str">
        <f>IF($C$9="Data Not Entered On Set-Up Worksheet","",IF(OR(VLOOKUP($C$9,County_Lookup_MC,25,FALSE)="",VLOOKUP($C$9,County_Lookup_MC,25,FALSE)=0),"",VLOOKUP($C$9,County_Lookup_MC,25,FALSE)))</f>
        <v/>
      </c>
      <c r="B40" s="69"/>
      <c r="C40" s="61"/>
      <c r="D40" s="70" t="str">
        <f t="shared" si="27"/>
        <v/>
      </c>
      <c r="E40" s="69"/>
      <c r="F40" s="61"/>
      <c r="G40" s="70" t="str">
        <f t="shared" si="28"/>
        <v/>
      </c>
      <c r="H40" s="69"/>
      <c r="I40" s="61"/>
      <c r="J40" s="70" t="str">
        <f t="shared" si="29"/>
        <v/>
      </c>
      <c r="K40" s="74" t="str">
        <f t="shared" si="30"/>
        <v/>
      </c>
      <c r="L40" s="62" t="str">
        <f t="shared" si="31"/>
        <v/>
      </c>
      <c r="M40" s="70" t="str">
        <f t="shared" si="32"/>
        <v/>
      </c>
      <c r="N40" s="74" t="str">
        <f t="shared" si="33"/>
        <v/>
      </c>
      <c r="O40" s="62" t="str">
        <f t="shared" si="34"/>
        <v/>
      </c>
      <c r="P40" s="70" t="str">
        <f t="shared" si="35"/>
        <v/>
      </c>
      <c r="Q40" s="69"/>
      <c r="R40" s="61"/>
      <c r="S40" s="70" t="str">
        <f t="shared" ref="S40" si="36">IF($A40="","",IF(R40=0,0,Q40/R40))</f>
        <v/>
      </c>
      <c r="T40" s="69"/>
      <c r="U40" s="61"/>
      <c r="V40" s="70" t="str">
        <f t="shared" ref="V40" si="37">IF($A40="","",IF(U40=0,0,T40/U40))</f>
        <v/>
      </c>
      <c r="W40" s="69"/>
      <c r="X40" s="61"/>
      <c r="Y40" s="70" t="str">
        <f t="shared" ref="Y40" si="38">IF($A40="","",IF(X40=0,0,W40/X40))</f>
        <v/>
      </c>
      <c r="Z40" s="74" t="str">
        <f t="shared" ref="Z40" si="39">IF($A40="","",SUM(T40,W40))</f>
        <v/>
      </c>
      <c r="AA40" s="62" t="str">
        <f t="shared" ref="AA40" si="40">IF($A40="","",SUM(U40,X40))</f>
        <v/>
      </c>
      <c r="AB40" s="70" t="str">
        <f t="shared" ref="AB40" si="41">IF($A40="","",IF(AA40=0,0,Z40/AA40))</f>
        <v/>
      </c>
      <c r="AC40" s="74" t="str">
        <f t="shared" ref="AC40" si="42">IF($A40="","",SUM(Q40,T40,W40))</f>
        <v/>
      </c>
      <c r="AD40" s="62" t="str">
        <f t="shared" ref="AD40" si="43">IF($A40="","",SUM(R40,U40,X40))</f>
        <v/>
      </c>
      <c r="AE40" s="70" t="str">
        <f t="shared" ref="AE40" si="44">IF($A40="","",IF(AD40=0,0,AC40/AD40))</f>
        <v/>
      </c>
      <c r="AF40" s="69"/>
      <c r="AG40" s="61"/>
      <c r="AH40" s="70" t="str">
        <f t="shared" ref="AH40" si="45">IF($A40="","",IF(AG40=0,0,AF40/AG40))</f>
        <v/>
      </c>
      <c r="AI40" s="69"/>
      <c r="AJ40" s="61"/>
      <c r="AK40" s="70" t="str">
        <f t="shared" ref="AK40" si="46">IF($A40="","",IF(AJ40=0,0,AI40/AJ40))</f>
        <v/>
      </c>
      <c r="AL40" s="69"/>
      <c r="AM40" s="61"/>
      <c r="AN40" s="70" t="str">
        <f t="shared" ref="AN40" si="47">IF($A40="","",IF(AM40=0,0,AL40/AM40))</f>
        <v/>
      </c>
      <c r="AO40" s="74" t="str">
        <f t="shared" ref="AO40" si="48">IF($A40="","",SUM(AI40,AL40))</f>
        <v/>
      </c>
      <c r="AP40" s="62" t="str">
        <f t="shared" ref="AP40" si="49">IF($A40="","",SUM(AJ40,AM40))</f>
        <v/>
      </c>
      <c r="AQ40" s="70" t="str">
        <f t="shared" ref="AQ40" si="50">IF($A40="","",IF(AP40=0,0,AO40/AP40))</f>
        <v/>
      </c>
      <c r="AR40" s="74" t="str">
        <f t="shared" ref="AR40" si="51">IF($A40="","",SUM(AF40,AI40,AL40))</f>
        <v/>
      </c>
      <c r="AS40" s="62" t="str">
        <f t="shared" ref="AS40" si="52">IF($A40="","",SUM(AG40,AJ40,AM40))</f>
        <v/>
      </c>
      <c r="AT40" s="70" t="str">
        <f t="shared" ref="AT40" si="53">IF($A40="","",IF(AS40=0,0,AR40/AS40))</f>
        <v/>
      </c>
    </row>
    <row r="41" spans="1:46" ht="18" customHeight="1" x14ac:dyDescent="0.2">
      <c r="A41" s="77" t="str">
        <f>IF($C$9="Data Not Entered On Set-Up Worksheet","",IF(OR(VLOOKUP($C$9,County_Lookup_MC,26,FALSE)="",VLOOKUP($C$9,County_Lookup_MC,26,FALSE)=0),"",VLOOKUP($C$9,County_Lookup_MC,26,FALSE)))</f>
        <v/>
      </c>
      <c r="B41" s="69"/>
      <c r="C41" s="61"/>
      <c r="D41" s="70" t="str">
        <f t="shared" si="6"/>
        <v/>
      </c>
      <c r="E41" s="69"/>
      <c r="F41" s="61"/>
      <c r="G41" s="70" t="str">
        <f t="shared" si="7"/>
        <v/>
      </c>
      <c r="H41" s="69"/>
      <c r="I41" s="61"/>
      <c r="J41" s="70" t="str">
        <f t="shared" si="8"/>
        <v/>
      </c>
      <c r="K41" s="74" t="str">
        <f t="shared" si="9"/>
        <v/>
      </c>
      <c r="L41" s="62" t="str">
        <f t="shared" si="10"/>
        <v/>
      </c>
      <c r="M41" s="70" t="str">
        <f t="shared" si="11"/>
        <v/>
      </c>
      <c r="N41" s="74" t="str">
        <f t="shared" si="0"/>
        <v/>
      </c>
      <c r="O41" s="62" t="str">
        <f t="shared" si="1"/>
        <v/>
      </c>
      <c r="P41" s="70" t="str">
        <f t="shared" si="12"/>
        <v/>
      </c>
      <c r="Q41" s="69"/>
      <c r="R41" s="61"/>
      <c r="S41" s="70" t="str">
        <f t="shared" si="13"/>
        <v/>
      </c>
      <c r="T41" s="69"/>
      <c r="U41" s="61"/>
      <c r="V41" s="70" t="str">
        <f t="shared" si="14"/>
        <v/>
      </c>
      <c r="W41" s="69"/>
      <c r="X41" s="61"/>
      <c r="Y41" s="70" t="str">
        <f t="shared" si="15"/>
        <v/>
      </c>
      <c r="Z41" s="74" t="str">
        <f t="shared" si="16"/>
        <v/>
      </c>
      <c r="AA41" s="62" t="str">
        <f t="shared" si="17"/>
        <v/>
      </c>
      <c r="AB41" s="70" t="str">
        <f t="shared" si="18"/>
        <v/>
      </c>
      <c r="AC41" s="74" t="str">
        <f t="shared" si="2"/>
        <v/>
      </c>
      <c r="AD41" s="62" t="str">
        <f t="shared" si="3"/>
        <v/>
      </c>
      <c r="AE41" s="70" t="str">
        <f t="shared" si="19"/>
        <v/>
      </c>
      <c r="AF41" s="69"/>
      <c r="AG41" s="61"/>
      <c r="AH41" s="70" t="str">
        <f t="shared" si="20"/>
        <v/>
      </c>
      <c r="AI41" s="69"/>
      <c r="AJ41" s="61"/>
      <c r="AK41" s="70" t="str">
        <f t="shared" si="21"/>
        <v/>
      </c>
      <c r="AL41" s="69"/>
      <c r="AM41" s="61"/>
      <c r="AN41" s="70" t="str">
        <f t="shared" si="22"/>
        <v/>
      </c>
      <c r="AO41" s="74" t="str">
        <f t="shared" si="23"/>
        <v/>
      </c>
      <c r="AP41" s="62" t="str">
        <f t="shared" si="24"/>
        <v/>
      </c>
      <c r="AQ41" s="70" t="str">
        <f t="shared" si="25"/>
        <v/>
      </c>
      <c r="AR41" s="74" t="str">
        <f t="shared" si="4"/>
        <v/>
      </c>
      <c r="AS41" s="62" t="str">
        <f t="shared" si="5"/>
        <v/>
      </c>
      <c r="AT41" s="70" t="str">
        <f t="shared" si="26"/>
        <v/>
      </c>
    </row>
    <row r="42" spans="1:46" ht="18" customHeight="1" thickBot="1" x14ac:dyDescent="0.25">
      <c r="A42" s="78" t="s">
        <v>0</v>
      </c>
      <c r="B42" s="71">
        <f>SUM(B17:B41)</f>
        <v>0</v>
      </c>
      <c r="C42" s="72">
        <f>SUM(C17:C41)</f>
        <v>0</v>
      </c>
      <c r="D42" s="73">
        <f t="shared" ref="D42" si="54">IF(C42=0,0,B42/C42)</f>
        <v>0</v>
      </c>
      <c r="E42" s="71">
        <f>SUM(E17:E41)</f>
        <v>0</v>
      </c>
      <c r="F42" s="72">
        <f>SUM(F17:F41)</f>
        <v>0</v>
      </c>
      <c r="G42" s="73">
        <f t="shared" ref="G42" si="55">IF(F42=0,0,E42/F42)</f>
        <v>0</v>
      </c>
      <c r="H42" s="71">
        <f>SUM(H17:H41)</f>
        <v>0</v>
      </c>
      <c r="I42" s="72">
        <f>SUM(I17:I41)</f>
        <v>0</v>
      </c>
      <c r="J42" s="73">
        <f t="shared" ref="J42" si="56">IF(I42=0,0,H42/I42)</f>
        <v>0</v>
      </c>
      <c r="K42" s="71">
        <f>SUM(K17:K41)</f>
        <v>0</v>
      </c>
      <c r="L42" s="72">
        <f>SUM(L17:L41)</f>
        <v>0</v>
      </c>
      <c r="M42" s="73">
        <f t="shared" ref="M42" si="57">IF(L42=0,0,K42/L42)</f>
        <v>0</v>
      </c>
      <c r="N42" s="71">
        <f>SUM(N17:N41)</f>
        <v>0</v>
      </c>
      <c r="O42" s="72">
        <f>SUM(O17:O41)</f>
        <v>0</v>
      </c>
      <c r="P42" s="73">
        <f t="shared" ref="P42" si="58">IF(O42=0,0,N42/O42)</f>
        <v>0</v>
      </c>
      <c r="Q42" s="71">
        <f>SUM(Q17:Q41)</f>
        <v>0</v>
      </c>
      <c r="R42" s="72">
        <f>SUM(R17:R41)</f>
        <v>0</v>
      </c>
      <c r="S42" s="73">
        <f t="shared" ref="S42" si="59">IF(R42=0,0,Q42/R42)</f>
        <v>0</v>
      </c>
      <c r="T42" s="71">
        <f>SUM(T17:T41)</f>
        <v>0</v>
      </c>
      <c r="U42" s="72">
        <f>SUM(U17:U41)</f>
        <v>0</v>
      </c>
      <c r="V42" s="73">
        <f t="shared" ref="V42" si="60">IF(U42=0,0,T42/U42)</f>
        <v>0</v>
      </c>
      <c r="W42" s="71">
        <f>SUM(W17:W41)</f>
        <v>0</v>
      </c>
      <c r="X42" s="72">
        <f>SUM(X17:X41)</f>
        <v>0</v>
      </c>
      <c r="Y42" s="73">
        <f t="shared" ref="Y42" si="61">IF(X42=0,0,W42/X42)</f>
        <v>0</v>
      </c>
      <c r="Z42" s="71">
        <f>SUM(Z17:Z41)</f>
        <v>0</v>
      </c>
      <c r="AA42" s="72">
        <f>SUM(AA17:AA41)</f>
        <v>0</v>
      </c>
      <c r="AB42" s="73">
        <f t="shared" ref="AB42" si="62">IF(AA42=0,0,Z42/AA42)</f>
        <v>0</v>
      </c>
      <c r="AC42" s="71">
        <f>SUM(AC17:AC41)</f>
        <v>0</v>
      </c>
      <c r="AD42" s="72">
        <f>SUM(AD17:AD41)</f>
        <v>0</v>
      </c>
      <c r="AE42" s="73">
        <f t="shared" ref="AE42" si="63">IF(AD42=0,0,AC42/AD42)</f>
        <v>0</v>
      </c>
      <c r="AF42" s="71">
        <f>SUM(AF17:AF41)</f>
        <v>0</v>
      </c>
      <c r="AG42" s="72">
        <f>SUM(AG17:AG41)</f>
        <v>0</v>
      </c>
      <c r="AH42" s="73">
        <f t="shared" ref="AH42" si="64">IF(AG42=0,0,AF42/AG42)</f>
        <v>0</v>
      </c>
      <c r="AI42" s="71">
        <f>SUM(AI17:AI41)</f>
        <v>0</v>
      </c>
      <c r="AJ42" s="72">
        <f>SUM(AJ17:AJ41)</f>
        <v>0</v>
      </c>
      <c r="AK42" s="73">
        <f t="shared" ref="AK42" si="65">IF(AJ42=0,0,AI42/AJ42)</f>
        <v>0</v>
      </c>
      <c r="AL42" s="71">
        <f>SUM(AL17:AL41)</f>
        <v>0</v>
      </c>
      <c r="AM42" s="72">
        <f>SUM(AM17:AM41)</f>
        <v>0</v>
      </c>
      <c r="AN42" s="73">
        <f t="shared" ref="AN42" si="66">IF(AM42=0,0,AL42/AM42)</f>
        <v>0</v>
      </c>
      <c r="AO42" s="71">
        <f>SUM(AO17:AO41)</f>
        <v>0</v>
      </c>
      <c r="AP42" s="72">
        <f>SUM(AP17:AP41)</f>
        <v>0</v>
      </c>
      <c r="AQ42" s="73">
        <f t="shared" ref="AQ42" si="67">IF(AP42=0,0,AO42/AP42)</f>
        <v>0</v>
      </c>
      <c r="AR42" s="71">
        <f>SUM(AR17:AR41)</f>
        <v>0</v>
      </c>
      <c r="AS42" s="72">
        <f>SUM(AS17:AS41)</f>
        <v>0</v>
      </c>
      <c r="AT42" s="73">
        <f t="shared" ref="AT42" si="68">IF(AS42=0,0,AR42/AS42)</f>
        <v>0</v>
      </c>
    </row>
  </sheetData>
  <sheetProtection sheet="1" objects="1" scenarios="1"/>
  <conditionalFormatting sqref="C3:C4">
    <cfRule type="expression" dxfId="263" priority="86">
      <formula>C3="Data Not Entered On Set-Up Worksheet"</formula>
    </cfRule>
  </conditionalFormatting>
  <conditionalFormatting sqref="C9">
    <cfRule type="expression" dxfId="262" priority="85">
      <formula>C9="Data Not Entered On Set-Up Worksheet"</formula>
    </cfRule>
  </conditionalFormatting>
  <conditionalFormatting sqref="C12">
    <cfRule type="expression" dxfId="261" priority="84">
      <formula>C12="Data Not Entered On Set-Up Worksheet"</formula>
    </cfRule>
  </conditionalFormatting>
  <conditionalFormatting sqref="B17:C39 B41:C41">
    <cfRule type="expression" dxfId="260" priority="83">
      <formula>AND($A17&lt;&gt;"",B17="")</formula>
    </cfRule>
  </conditionalFormatting>
  <conditionalFormatting sqref="F3">
    <cfRule type="expression" dxfId="259" priority="82">
      <formula>F3="Data Not Entered On Set-Up Worksheet"</formula>
    </cfRule>
  </conditionalFormatting>
  <conditionalFormatting sqref="F11:F12">
    <cfRule type="expression" dxfId="258" priority="81">
      <formula>F11="Data Not Entered On Set-Up Worksheet"</formula>
    </cfRule>
  </conditionalFormatting>
  <conditionalFormatting sqref="I3">
    <cfRule type="expression" dxfId="257" priority="80">
      <formula>I3="Data Not Entered On Set-Up Worksheet"</formula>
    </cfRule>
  </conditionalFormatting>
  <conditionalFormatting sqref="I9">
    <cfRule type="expression" dxfId="256" priority="79">
      <formula>I9="Data Not Entered On Set-Up Worksheet"</formula>
    </cfRule>
  </conditionalFormatting>
  <conditionalFormatting sqref="I11:I12">
    <cfRule type="expression" dxfId="255" priority="78">
      <formula>I11="Data Not Entered On Set-Up Worksheet"</formula>
    </cfRule>
  </conditionalFormatting>
  <conditionalFormatting sqref="O3">
    <cfRule type="expression" dxfId="254" priority="65">
      <formula>O3="Data Not Entered On Set-Up Worksheet"</formula>
    </cfRule>
  </conditionalFormatting>
  <conditionalFormatting sqref="O9">
    <cfRule type="expression" dxfId="253" priority="64">
      <formula>O9="Data Not Entered On Set-Up Worksheet"</formula>
    </cfRule>
  </conditionalFormatting>
  <conditionalFormatting sqref="O11:O12">
    <cfRule type="expression" dxfId="252" priority="63">
      <formula>O11="Data Not Entered On Set-Up Worksheet"</formula>
    </cfRule>
  </conditionalFormatting>
  <conditionalFormatting sqref="L3">
    <cfRule type="expression" dxfId="251" priority="55">
      <formula>L3="Data Not Entered On Set-Up Worksheet"</formula>
    </cfRule>
  </conditionalFormatting>
  <conditionalFormatting sqref="L9">
    <cfRule type="expression" dxfId="250" priority="54">
      <formula>L9="Data Not Entered On Set-Up Worksheet"</formula>
    </cfRule>
  </conditionalFormatting>
  <conditionalFormatting sqref="L11:L12">
    <cfRule type="expression" dxfId="249" priority="53">
      <formula>L11="Data Not Entered On Set-Up Worksheet"</formula>
    </cfRule>
  </conditionalFormatting>
  <conditionalFormatting sqref="C11">
    <cfRule type="expression" dxfId="248" priority="51">
      <formula>C11="Data Not Entered On Set-Up Worksheet"</formula>
    </cfRule>
  </conditionalFormatting>
  <conditionalFormatting sqref="E17:F39 E41:F41">
    <cfRule type="expression" dxfId="247" priority="47">
      <formula>AND($A17&lt;&gt;"",E17="")</formula>
    </cfRule>
  </conditionalFormatting>
  <conditionalFormatting sqref="H17:I39 H41:I41">
    <cfRule type="expression" dxfId="246" priority="46">
      <formula>AND($A17&lt;&gt;"",H17="")</formula>
    </cfRule>
  </conditionalFormatting>
  <conditionalFormatting sqref="R3:R4">
    <cfRule type="expression" dxfId="245" priority="45">
      <formula>R3="Data Not Entered On Set-Up Worksheet"</formula>
    </cfRule>
  </conditionalFormatting>
  <conditionalFormatting sqref="R9">
    <cfRule type="expression" dxfId="244" priority="44">
      <formula>R9="Data Not Entered On Set-Up Worksheet"</formula>
    </cfRule>
  </conditionalFormatting>
  <conditionalFormatting sqref="R12">
    <cfRule type="expression" dxfId="243" priority="43">
      <formula>R12="Data Not Entered On Set-Up Worksheet"</formula>
    </cfRule>
  </conditionalFormatting>
  <conditionalFormatting sqref="Q17:R39 Q41:R41">
    <cfRule type="expression" dxfId="242" priority="42">
      <formula>AND($A17&lt;&gt;"",Q17="")</formula>
    </cfRule>
  </conditionalFormatting>
  <conditionalFormatting sqref="U3">
    <cfRule type="expression" dxfId="241" priority="41">
      <formula>U3="Data Not Entered On Set-Up Worksheet"</formula>
    </cfRule>
  </conditionalFormatting>
  <conditionalFormatting sqref="U11:U12">
    <cfRule type="expression" dxfId="240" priority="40">
      <formula>U11="Data Not Entered On Set-Up Worksheet"</formula>
    </cfRule>
  </conditionalFormatting>
  <conditionalFormatting sqref="X3">
    <cfRule type="expression" dxfId="239" priority="39">
      <formula>X3="Data Not Entered On Set-Up Worksheet"</formula>
    </cfRule>
  </conditionalFormatting>
  <conditionalFormatting sqref="X9">
    <cfRule type="expression" dxfId="238" priority="38">
      <formula>X9="Data Not Entered On Set-Up Worksheet"</formula>
    </cfRule>
  </conditionalFormatting>
  <conditionalFormatting sqref="X11:X12">
    <cfRule type="expression" dxfId="237" priority="37">
      <formula>X11="Data Not Entered On Set-Up Worksheet"</formula>
    </cfRule>
  </conditionalFormatting>
  <conditionalFormatting sqref="AD3">
    <cfRule type="expression" dxfId="236" priority="36">
      <formula>AD3="Data Not Entered On Set-Up Worksheet"</formula>
    </cfRule>
  </conditionalFormatting>
  <conditionalFormatting sqref="AD9">
    <cfRule type="expression" dxfId="235" priority="35">
      <formula>AD9="Data Not Entered On Set-Up Worksheet"</formula>
    </cfRule>
  </conditionalFormatting>
  <conditionalFormatting sqref="AD11:AD12">
    <cfRule type="expression" dxfId="234" priority="34">
      <formula>AD11="Data Not Entered On Set-Up Worksheet"</formula>
    </cfRule>
  </conditionalFormatting>
  <conditionalFormatting sqref="AA3">
    <cfRule type="expression" dxfId="233" priority="33">
      <formula>AA3="Data Not Entered On Set-Up Worksheet"</formula>
    </cfRule>
  </conditionalFormatting>
  <conditionalFormatting sqref="AA9">
    <cfRule type="expression" dxfId="232" priority="32">
      <formula>AA9="Data Not Entered On Set-Up Worksheet"</formula>
    </cfRule>
  </conditionalFormatting>
  <conditionalFormatting sqref="AA11:AA12">
    <cfRule type="expression" dxfId="231" priority="31">
      <formula>AA11="Data Not Entered On Set-Up Worksheet"</formula>
    </cfRule>
  </conditionalFormatting>
  <conditionalFormatting sqref="R11">
    <cfRule type="expression" dxfId="230" priority="30">
      <formula>R11="Data Not Entered On Set-Up Worksheet"</formula>
    </cfRule>
  </conditionalFormatting>
  <conditionalFormatting sqref="T17:U39 T41:U41">
    <cfRule type="expression" dxfId="229" priority="29">
      <formula>AND($A17&lt;&gt;"",T17="")</formula>
    </cfRule>
  </conditionalFormatting>
  <conditionalFormatting sqref="W17:X39 W41:X41">
    <cfRule type="expression" dxfId="228" priority="28">
      <formula>AND($A17&lt;&gt;"",W17="")</formula>
    </cfRule>
  </conditionalFormatting>
  <conditionalFormatting sqref="AG3:AG4">
    <cfRule type="expression" dxfId="227" priority="27">
      <formula>AG3="Data Not Entered On Set-Up Worksheet"</formula>
    </cfRule>
  </conditionalFormatting>
  <conditionalFormatting sqref="AG9">
    <cfRule type="expression" dxfId="226" priority="26">
      <formula>AG9="Data Not Entered On Set-Up Worksheet"</formula>
    </cfRule>
  </conditionalFormatting>
  <conditionalFormatting sqref="AG12">
    <cfRule type="expression" dxfId="225" priority="25">
      <formula>AG12="Data Not Entered On Set-Up Worksheet"</formula>
    </cfRule>
  </conditionalFormatting>
  <conditionalFormatting sqref="AF17:AG39 AF41:AG41">
    <cfRule type="expression" dxfId="224" priority="24">
      <formula>AND($A17&lt;&gt;"",AF17="")</formula>
    </cfRule>
  </conditionalFormatting>
  <conditionalFormatting sqref="AJ3">
    <cfRule type="expression" dxfId="223" priority="23">
      <formula>AJ3="Data Not Entered On Set-Up Worksheet"</formula>
    </cfRule>
  </conditionalFormatting>
  <conditionalFormatting sqref="AJ11:AJ12">
    <cfRule type="expression" dxfId="222" priority="22">
      <formula>AJ11="Data Not Entered On Set-Up Worksheet"</formula>
    </cfRule>
  </conditionalFormatting>
  <conditionalFormatting sqref="AM3">
    <cfRule type="expression" dxfId="221" priority="21">
      <formula>AM3="Data Not Entered On Set-Up Worksheet"</formula>
    </cfRule>
  </conditionalFormatting>
  <conditionalFormatting sqref="AM9">
    <cfRule type="expression" dxfId="220" priority="20">
      <formula>AM9="Data Not Entered On Set-Up Worksheet"</formula>
    </cfRule>
  </conditionalFormatting>
  <conditionalFormatting sqref="AM11:AM12">
    <cfRule type="expression" dxfId="219" priority="19">
      <formula>AM11="Data Not Entered On Set-Up Worksheet"</formula>
    </cfRule>
  </conditionalFormatting>
  <conditionalFormatting sqref="AS3">
    <cfRule type="expression" dxfId="218" priority="18">
      <formula>AS3="Data Not Entered On Set-Up Worksheet"</formula>
    </cfRule>
  </conditionalFormatting>
  <conditionalFormatting sqref="AS9">
    <cfRule type="expression" dxfId="217" priority="17">
      <formula>AS9="Data Not Entered On Set-Up Worksheet"</formula>
    </cfRule>
  </conditionalFormatting>
  <conditionalFormatting sqref="AS11:AS12">
    <cfRule type="expression" dxfId="216" priority="16">
      <formula>AS11="Data Not Entered On Set-Up Worksheet"</formula>
    </cfRule>
  </conditionalFormatting>
  <conditionalFormatting sqref="AP3">
    <cfRule type="expression" dxfId="215" priority="15">
      <formula>AP3="Data Not Entered On Set-Up Worksheet"</formula>
    </cfRule>
  </conditionalFormatting>
  <conditionalFormatting sqref="AP9">
    <cfRule type="expression" dxfId="214" priority="14">
      <formula>AP9="Data Not Entered On Set-Up Worksheet"</formula>
    </cfRule>
  </conditionalFormatting>
  <conditionalFormatting sqref="AP11:AP12">
    <cfRule type="expression" dxfId="213" priority="13">
      <formula>AP11="Data Not Entered On Set-Up Worksheet"</formula>
    </cfRule>
  </conditionalFormatting>
  <conditionalFormatting sqref="AG11">
    <cfRule type="expression" dxfId="212" priority="12">
      <formula>AG11="Data Not Entered On Set-Up Worksheet"</formula>
    </cfRule>
  </conditionalFormatting>
  <conditionalFormatting sqref="AI17:AJ39 AI41:AJ41">
    <cfRule type="expression" dxfId="211" priority="11">
      <formula>AND($A17&lt;&gt;"",AI17="")</formula>
    </cfRule>
  </conditionalFormatting>
  <conditionalFormatting sqref="AL17:AM39 AL41:AM41">
    <cfRule type="expression" dxfId="210" priority="10">
      <formula>AND($A17&lt;&gt;"",AL17="")</formula>
    </cfRule>
  </conditionalFormatting>
  <conditionalFormatting sqref="B40:C40">
    <cfRule type="expression" dxfId="209" priority="9">
      <formula>AND($A40&lt;&gt;"",B40="")</formula>
    </cfRule>
  </conditionalFormatting>
  <conditionalFormatting sqref="E40:F40">
    <cfRule type="expression" dxfId="208" priority="8">
      <formula>AND($A40&lt;&gt;"",E40="")</formula>
    </cfRule>
  </conditionalFormatting>
  <conditionalFormatting sqref="H40:I40">
    <cfRule type="expression" dxfId="207" priority="7">
      <formula>AND($A40&lt;&gt;"",H40="")</formula>
    </cfRule>
  </conditionalFormatting>
  <conditionalFormatting sqref="Q40:R40">
    <cfRule type="expression" dxfId="206" priority="6">
      <formula>AND($A40&lt;&gt;"",Q40="")</formula>
    </cfRule>
  </conditionalFormatting>
  <conditionalFormatting sqref="T40:U40">
    <cfRule type="expression" dxfId="205" priority="5">
      <formula>AND($A40&lt;&gt;"",T40="")</formula>
    </cfRule>
  </conditionalFormatting>
  <conditionalFormatting sqref="W40:X40">
    <cfRule type="expression" dxfId="204" priority="4">
      <formula>AND($A40&lt;&gt;"",W40="")</formula>
    </cfRule>
  </conditionalFormatting>
  <conditionalFormatting sqref="AF40:AG40">
    <cfRule type="expression" dxfId="203" priority="3">
      <formula>AND($A40&lt;&gt;"",AF40="")</formula>
    </cfRule>
  </conditionalFormatting>
  <conditionalFormatting sqref="AI40:AJ40">
    <cfRule type="expression" dxfId="202" priority="2">
      <formula>AND($A40&lt;&gt;"",AI40="")</formula>
    </cfRule>
  </conditionalFormatting>
  <conditionalFormatting sqref="AL40:AM40">
    <cfRule type="expression" dxfId="201" priority="1">
      <formula>AND($A40&lt;&gt;"",AL40="")</formula>
    </cfRule>
  </conditionalFormatting>
  <pageMargins left="0.3" right="0.3" top="0.5" bottom="0.5" header="0.3" footer="0.3"/>
  <pageSetup scale="40" fitToWidth="3" orientation="landscape" r:id="rId1"/>
  <headerFooter>
    <oddFooter>&amp;LNC DHHS LME-MCO Performance Measures Report Part II DMH/DD/SAS Measures&amp;C&amp;P&amp;R&amp;F</oddFooter>
  </headerFooter>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59"/>
  <sheetViews>
    <sheetView showGridLines="0" workbookViewId="0">
      <pane ySplit="9" topLeftCell="A10" activePane="bottomLeft" state="frozen"/>
      <selection activeCell="K14" sqref="K14"/>
      <selection pane="bottomLeft" activeCell="I11" sqref="I11"/>
    </sheetView>
  </sheetViews>
  <sheetFormatPr defaultRowHeight="12.75" x14ac:dyDescent="0.2"/>
  <cols>
    <col min="1" max="1" width="57.28515625" customWidth="1"/>
    <col min="2" max="2" width="21" bestFit="1" customWidth="1"/>
    <col min="3" max="3" width="19.5703125" bestFit="1" customWidth="1"/>
    <col min="4" max="5" width="18.42578125" bestFit="1" customWidth="1"/>
    <col min="6" max="6" width="18.28515625" customWidth="1"/>
    <col min="7" max="7" width="18.140625" customWidth="1"/>
    <col min="9" max="9" width="10.7109375" customWidth="1"/>
    <col min="256" max="256" width="57.28515625" customWidth="1"/>
    <col min="257" max="257" width="21" bestFit="1" customWidth="1"/>
    <col min="258" max="258" width="19.5703125" bestFit="1" customWidth="1"/>
    <col min="259" max="260" width="18.42578125" bestFit="1" customWidth="1"/>
    <col min="261" max="261" width="18.28515625" bestFit="1" customWidth="1"/>
    <col min="262" max="262" width="18.140625" bestFit="1" customWidth="1"/>
    <col min="512" max="512" width="57.28515625" customWidth="1"/>
    <col min="513" max="513" width="21" bestFit="1" customWidth="1"/>
    <col min="514" max="514" width="19.5703125" bestFit="1" customWidth="1"/>
    <col min="515" max="516" width="18.42578125" bestFit="1" customWidth="1"/>
    <col min="517" max="517" width="18.28515625" bestFit="1" customWidth="1"/>
    <col min="518" max="518" width="18.140625" bestFit="1" customWidth="1"/>
    <col min="768" max="768" width="57.28515625" customWidth="1"/>
    <col min="769" max="769" width="21" bestFit="1" customWidth="1"/>
    <col min="770" max="770" width="19.5703125" bestFit="1" customWidth="1"/>
    <col min="771" max="772" width="18.42578125" bestFit="1" customWidth="1"/>
    <col min="773" max="773" width="18.28515625" bestFit="1" customWidth="1"/>
    <col min="774" max="774" width="18.140625" bestFit="1" customWidth="1"/>
    <col min="1024" max="1024" width="57.28515625" customWidth="1"/>
    <col min="1025" max="1025" width="21" bestFit="1" customWidth="1"/>
    <col min="1026" max="1026" width="19.5703125" bestFit="1" customWidth="1"/>
    <col min="1027" max="1028" width="18.42578125" bestFit="1" customWidth="1"/>
    <col min="1029" max="1029" width="18.28515625" bestFit="1" customWidth="1"/>
    <col min="1030" max="1030" width="18.140625" bestFit="1" customWidth="1"/>
    <col min="1280" max="1280" width="57.28515625" customWidth="1"/>
    <col min="1281" max="1281" width="21" bestFit="1" customWidth="1"/>
    <col min="1282" max="1282" width="19.5703125" bestFit="1" customWidth="1"/>
    <col min="1283" max="1284" width="18.42578125" bestFit="1" customWidth="1"/>
    <col min="1285" max="1285" width="18.28515625" bestFit="1" customWidth="1"/>
    <col min="1286" max="1286" width="18.140625" bestFit="1" customWidth="1"/>
    <col min="1536" max="1536" width="57.28515625" customWidth="1"/>
    <col min="1537" max="1537" width="21" bestFit="1" customWidth="1"/>
    <col min="1538" max="1538" width="19.5703125" bestFit="1" customWidth="1"/>
    <col min="1539" max="1540" width="18.42578125" bestFit="1" customWidth="1"/>
    <col min="1541" max="1541" width="18.28515625" bestFit="1" customWidth="1"/>
    <col min="1542" max="1542" width="18.140625" bestFit="1" customWidth="1"/>
    <col min="1792" max="1792" width="57.28515625" customWidth="1"/>
    <col min="1793" max="1793" width="21" bestFit="1" customWidth="1"/>
    <col min="1794" max="1794" width="19.5703125" bestFit="1" customWidth="1"/>
    <col min="1795" max="1796" width="18.42578125" bestFit="1" customWidth="1"/>
    <col min="1797" max="1797" width="18.28515625" bestFit="1" customWidth="1"/>
    <col min="1798" max="1798" width="18.140625" bestFit="1" customWidth="1"/>
    <col min="2048" max="2048" width="57.28515625" customWidth="1"/>
    <col min="2049" max="2049" width="21" bestFit="1" customWidth="1"/>
    <col min="2050" max="2050" width="19.5703125" bestFit="1" customWidth="1"/>
    <col min="2051" max="2052" width="18.42578125" bestFit="1" customWidth="1"/>
    <col min="2053" max="2053" width="18.28515625" bestFit="1" customWidth="1"/>
    <col min="2054" max="2054" width="18.140625" bestFit="1" customWidth="1"/>
    <col min="2304" max="2304" width="57.28515625" customWidth="1"/>
    <col min="2305" max="2305" width="21" bestFit="1" customWidth="1"/>
    <col min="2306" max="2306" width="19.5703125" bestFit="1" customWidth="1"/>
    <col min="2307" max="2308" width="18.42578125" bestFit="1" customWidth="1"/>
    <col min="2309" max="2309" width="18.28515625" bestFit="1" customWidth="1"/>
    <col min="2310" max="2310" width="18.140625" bestFit="1" customWidth="1"/>
    <col min="2560" max="2560" width="57.28515625" customWidth="1"/>
    <col min="2561" max="2561" width="21" bestFit="1" customWidth="1"/>
    <col min="2562" max="2562" width="19.5703125" bestFit="1" customWidth="1"/>
    <col min="2563" max="2564" width="18.42578125" bestFit="1" customWidth="1"/>
    <col min="2565" max="2565" width="18.28515625" bestFit="1" customWidth="1"/>
    <col min="2566" max="2566" width="18.140625" bestFit="1" customWidth="1"/>
    <col min="2816" max="2816" width="57.28515625" customWidth="1"/>
    <col min="2817" max="2817" width="21" bestFit="1" customWidth="1"/>
    <col min="2818" max="2818" width="19.5703125" bestFit="1" customWidth="1"/>
    <col min="2819" max="2820" width="18.42578125" bestFit="1" customWidth="1"/>
    <col min="2821" max="2821" width="18.28515625" bestFit="1" customWidth="1"/>
    <col min="2822" max="2822" width="18.140625" bestFit="1" customWidth="1"/>
    <col min="3072" max="3072" width="57.28515625" customWidth="1"/>
    <col min="3073" max="3073" width="21" bestFit="1" customWidth="1"/>
    <col min="3074" max="3074" width="19.5703125" bestFit="1" customWidth="1"/>
    <col min="3075" max="3076" width="18.42578125" bestFit="1" customWidth="1"/>
    <col min="3077" max="3077" width="18.28515625" bestFit="1" customWidth="1"/>
    <col min="3078" max="3078" width="18.140625" bestFit="1" customWidth="1"/>
    <col min="3328" max="3328" width="57.28515625" customWidth="1"/>
    <col min="3329" max="3329" width="21" bestFit="1" customWidth="1"/>
    <col min="3330" max="3330" width="19.5703125" bestFit="1" customWidth="1"/>
    <col min="3331" max="3332" width="18.42578125" bestFit="1" customWidth="1"/>
    <col min="3333" max="3333" width="18.28515625" bestFit="1" customWidth="1"/>
    <col min="3334" max="3334" width="18.140625" bestFit="1" customWidth="1"/>
    <col min="3584" max="3584" width="57.28515625" customWidth="1"/>
    <col min="3585" max="3585" width="21" bestFit="1" customWidth="1"/>
    <col min="3586" max="3586" width="19.5703125" bestFit="1" customWidth="1"/>
    <col min="3587" max="3588" width="18.42578125" bestFit="1" customWidth="1"/>
    <col min="3589" max="3589" width="18.28515625" bestFit="1" customWidth="1"/>
    <col min="3590" max="3590" width="18.140625" bestFit="1" customWidth="1"/>
    <col min="3840" max="3840" width="57.28515625" customWidth="1"/>
    <col min="3841" max="3841" width="21" bestFit="1" customWidth="1"/>
    <col min="3842" max="3842" width="19.5703125" bestFit="1" customWidth="1"/>
    <col min="3843" max="3844" width="18.42578125" bestFit="1" customWidth="1"/>
    <col min="3845" max="3845" width="18.28515625" bestFit="1" customWidth="1"/>
    <col min="3846" max="3846" width="18.140625" bestFit="1" customWidth="1"/>
    <col min="4096" max="4096" width="57.28515625" customWidth="1"/>
    <col min="4097" max="4097" width="21" bestFit="1" customWidth="1"/>
    <col min="4098" max="4098" width="19.5703125" bestFit="1" customWidth="1"/>
    <col min="4099" max="4100" width="18.42578125" bestFit="1" customWidth="1"/>
    <col min="4101" max="4101" width="18.28515625" bestFit="1" customWidth="1"/>
    <col min="4102" max="4102" width="18.140625" bestFit="1" customWidth="1"/>
    <col min="4352" max="4352" width="57.28515625" customWidth="1"/>
    <col min="4353" max="4353" width="21" bestFit="1" customWidth="1"/>
    <col min="4354" max="4354" width="19.5703125" bestFit="1" customWidth="1"/>
    <col min="4355" max="4356" width="18.42578125" bestFit="1" customWidth="1"/>
    <col min="4357" max="4357" width="18.28515625" bestFit="1" customWidth="1"/>
    <col min="4358" max="4358" width="18.140625" bestFit="1" customWidth="1"/>
    <col min="4608" max="4608" width="57.28515625" customWidth="1"/>
    <col min="4609" max="4609" width="21" bestFit="1" customWidth="1"/>
    <col min="4610" max="4610" width="19.5703125" bestFit="1" customWidth="1"/>
    <col min="4611" max="4612" width="18.42578125" bestFit="1" customWidth="1"/>
    <col min="4613" max="4613" width="18.28515625" bestFit="1" customWidth="1"/>
    <col min="4614" max="4614" width="18.140625" bestFit="1" customWidth="1"/>
    <col min="4864" max="4864" width="57.28515625" customWidth="1"/>
    <col min="4865" max="4865" width="21" bestFit="1" customWidth="1"/>
    <col min="4866" max="4866" width="19.5703125" bestFit="1" customWidth="1"/>
    <col min="4867" max="4868" width="18.42578125" bestFit="1" customWidth="1"/>
    <col min="4869" max="4869" width="18.28515625" bestFit="1" customWidth="1"/>
    <col min="4870" max="4870" width="18.140625" bestFit="1" customWidth="1"/>
    <col min="5120" max="5120" width="57.28515625" customWidth="1"/>
    <col min="5121" max="5121" width="21" bestFit="1" customWidth="1"/>
    <col min="5122" max="5122" width="19.5703125" bestFit="1" customWidth="1"/>
    <col min="5123" max="5124" width="18.42578125" bestFit="1" customWidth="1"/>
    <col min="5125" max="5125" width="18.28515625" bestFit="1" customWidth="1"/>
    <col min="5126" max="5126" width="18.140625" bestFit="1" customWidth="1"/>
    <col min="5376" max="5376" width="57.28515625" customWidth="1"/>
    <col min="5377" max="5377" width="21" bestFit="1" customWidth="1"/>
    <col min="5378" max="5378" width="19.5703125" bestFit="1" customWidth="1"/>
    <col min="5379" max="5380" width="18.42578125" bestFit="1" customWidth="1"/>
    <col min="5381" max="5381" width="18.28515625" bestFit="1" customWidth="1"/>
    <col min="5382" max="5382" width="18.140625" bestFit="1" customWidth="1"/>
    <col min="5632" max="5632" width="57.28515625" customWidth="1"/>
    <col min="5633" max="5633" width="21" bestFit="1" customWidth="1"/>
    <col min="5634" max="5634" width="19.5703125" bestFit="1" customWidth="1"/>
    <col min="5635" max="5636" width="18.42578125" bestFit="1" customWidth="1"/>
    <col min="5637" max="5637" width="18.28515625" bestFit="1" customWidth="1"/>
    <col min="5638" max="5638" width="18.140625" bestFit="1" customWidth="1"/>
    <col min="5888" max="5888" width="57.28515625" customWidth="1"/>
    <col min="5889" max="5889" width="21" bestFit="1" customWidth="1"/>
    <col min="5890" max="5890" width="19.5703125" bestFit="1" customWidth="1"/>
    <col min="5891" max="5892" width="18.42578125" bestFit="1" customWidth="1"/>
    <col min="5893" max="5893" width="18.28515625" bestFit="1" customWidth="1"/>
    <col min="5894" max="5894" width="18.140625" bestFit="1" customWidth="1"/>
    <col min="6144" max="6144" width="57.28515625" customWidth="1"/>
    <col min="6145" max="6145" width="21" bestFit="1" customWidth="1"/>
    <col min="6146" max="6146" width="19.5703125" bestFit="1" customWidth="1"/>
    <col min="6147" max="6148" width="18.42578125" bestFit="1" customWidth="1"/>
    <col min="6149" max="6149" width="18.28515625" bestFit="1" customWidth="1"/>
    <col min="6150" max="6150" width="18.140625" bestFit="1" customWidth="1"/>
    <col min="6400" max="6400" width="57.28515625" customWidth="1"/>
    <col min="6401" max="6401" width="21" bestFit="1" customWidth="1"/>
    <col min="6402" max="6402" width="19.5703125" bestFit="1" customWidth="1"/>
    <col min="6403" max="6404" width="18.42578125" bestFit="1" customWidth="1"/>
    <col min="6405" max="6405" width="18.28515625" bestFit="1" customWidth="1"/>
    <col min="6406" max="6406" width="18.140625" bestFit="1" customWidth="1"/>
    <col min="6656" max="6656" width="57.28515625" customWidth="1"/>
    <col min="6657" max="6657" width="21" bestFit="1" customWidth="1"/>
    <col min="6658" max="6658" width="19.5703125" bestFit="1" customWidth="1"/>
    <col min="6659" max="6660" width="18.42578125" bestFit="1" customWidth="1"/>
    <col min="6661" max="6661" width="18.28515625" bestFit="1" customWidth="1"/>
    <col min="6662" max="6662" width="18.140625" bestFit="1" customWidth="1"/>
    <col min="6912" max="6912" width="57.28515625" customWidth="1"/>
    <col min="6913" max="6913" width="21" bestFit="1" customWidth="1"/>
    <col min="6914" max="6914" width="19.5703125" bestFit="1" customWidth="1"/>
    <col min="6915" max="6916" width="18.42578125" bestFit="1" customWidth="1"/>
    <col min="6917" max="6917" width="18.28515625" bestFit="1" customWidth="1"/>
    <col min="6918" max="6918" width="18.140625" bestFit="1" customWidth="1"/>
    <col min="7168" max="7168" width="57.28515625" customWidth="1"/>
    <col min="7169" max="7169" width="21" bestFit="1" customWidth="1"/>
    <col min="7170" max="7170" width="19.5703125" bestFit="1" customWidth="1"/>
    <col min="7171" max="7172" width="18.42578125" bestFit="1" customWidth="1"/>
    <col min="7173" max="7173" width="18.28515625" bestFit="1" customWidth="1"/>
    <col min="7174" max="7174" width="18.140625" bestFit="1" customWidth="1"/>
    <col min="7424" max="7424" width="57.28515625" customWidth="1"/>
    <col min="7425" max="7425" width="21" bestFit="1" customWidth="1"/>
    <col min="7426" max="7426" width="19.5703125" bestFit="1" customWidth="1"/>
    <col min="7427" max="7428" width="18.42578125" bestFit="1" customWidth="1"/>
    <col min="7429" max="7429" width="18.28515625" bestFit="1" customWidth="1"/>
    <col min="7430" max="7430" width="18.140625" bestFit="1" customWidth="1"/>
    <col min="7680" max="7680" width="57.28515625" customWidth="1"/>
    <col min="7681" max="7681" width="21" bestFit="1" customWidth="1"/>
    <col min="7682" max="7682" width="19.5703125" bestFit="1" customWidth="1"/>
    <col min="7683" max="7684" width="18.42578125" bestFit="1" customWidth="1"/>
    <col min="7685" max="7685" width="18.28515625" bestFit="1" customWidth="1"/>
    <col min="7686" max="7686" width="18.140625" bestFit="1" customWidth="1"/>
    <col min="7936" max="7936" width="57.28515625" customWidth="1"/>
    <col min="7937" max="7937" width="21" bestFit="1" customWidth="1"/>
    <col min="7938" max="7938" width="19.5703125" bestFit="1" customWidth="1"/>
    <col min="7939" max="7940" width="18.42578125" bestFit="1" customWidth="1"/>
    <col min="7941" max="7941" width="18.28515625" bestFit="1" customWidth="1"/>
    <col min="7942" max="7942" width="18.140625" bestFit="1" customWidth="1"/>
    <col min="8192" max="8192" width="57.28515625" customWidth="1"/>
    <col min="8193" max="8193" width="21" bestFit="1" customWidth="1"/>
    <col min="8194" max="8194" width="19.5703125" bestFit="1" customWidth="1"/>
    <col min="8195" max="8196" width="18.42578125" bestFit="1" customWidth="1"/>
    <col min="8197" max="8197" width="18.28515625" bestFit="1" customWidth="1"/>
    <col min="8198" max="8198" width="18.140625" bestFit="1" customWidth="1"/>
    <col min="8448" max="8448" width="57.28515625" customWidth="1"/>
    <col min="8449" max="8449" width="21" bestFit="1" customWidth="1"/>
    <col min="8450" max="8450" width="19.5703125" bestFit="1" customWidth="1"/>
    <col min="8451" max="8452" width="18.42578125" bestFit="1" customWidth="1"/>
    <col min="8453" max="8453" width="18.28515625" bestFit="1" customWidth="1"/>
    <col min="8454" max="8454" width="18.140625" bestFit="1" customWidth="1"/>
    <col min="8704" max="8704" width="57.28515625" customWidth="1"/>
    <col min="8705" max="8705" width="21" bestFit="1" customWidth="1"/>
    <col min="8706" max="8706" width="19.5703125" bestFit="1" customWidth="1"/>
    <col min="8707" max="8708" width="18.42578125" bestFit="1" customWidth="1"/>
    <col min="8709" max="8709" width="18.28515625" bestFit="1" customWidth="1"/>
    <col min="8710" max="8710" width="18.140625" bestFit="1" customWidth="1"/>
    <col min="8960" max="8960" width="57.28515625" customWidth="1"/>
    <col min="8961" max="8961" width="21" bestFit="1" customWidth="1"/>
    <col min="8962" max="8962" width="19.5703125" bestFit="1" customWidth="1"/>
    <col min="8963" max="8964" width="18.42578125" bestFit="1" customWidth="1"/>
    <col min="8965" max="8965" width="18.28515625" bestFit="1" customWidth="1"/>
    <col min="8966" max="8966" width="18.140625" bestFit="1" customWidth="1"/>
    <col min="9216" max="9216" width="57.28515625" customWidth="1"/>
    <col min="9217" max="9217" width="21" bestFit="1" customWidth="1"/>
    <col min="9218" max="9218" width="19.5703125" bestFit="1" customWidth="1"/>
    <col min="9219" max="9220" width="18.42578125" bestFit="1" customWidth="1"/>
    <col min="9221" max="9221" width="18.28515625" bestFit="1" customWidth="1"/>
    <col min="9222" max="9222" width="18.140625" bestFit="1" customWidth="1"/>
    <col min="9472" max="9472" width="57.28515625" customWidth="1"/>
    <col min="9473" max="9473" width="21" bestFit="1" customWidth="1"/>
    <col min="9474" max="9474" width="19.5703125" bestFit="1" customWidth="1"/>
    <col min="9475" max="9476" width="18.42578125" bestFit="1" customWidth="1"/>
    <col min="9477" max="9477" width="18.28515625" bestFit="1" customWidth="1"/>
    <col min="9478" max="9478" width="18.140625" bestFit="1" customWidth="1"/>
    <col min="9728" max="9728" width="57.28515625" customWidth="1"/>
    <col min="9729" max="9729" width="21" bestFit="1" customWidth="1"/>
    <col min="9730" max="9730" width="19.5703125" bestFit="1" customWidth="1"/>
    <col min="9731" max="9732" width="18.42578125" bestFit="1" customWidth="1"/>
    <col min="9733" max="9733" width="18.28515625" bestFit="1" customWidth="1"/>
    <col min="9734" max="9734" width="18.140625" bestFit="1" customWidth="1"/>
    <col min="9984" max="9984" width="57.28515625" customWidth="1"/>
    <col min="9985" max="9985" width="21" bestFit="1" customWidth="1"/>
    <col min="9986" max="9986" width="19.5703125" bestFit="1" customWidth="1"/>
    <col min="9987" max="9988" width="18.42578125" bestFit="1" customWidth="1"/>
    <col min="9989" max="9989" width="18.28515625" bestFit="1" customWidth="1"/>
    <col min="9990" max="9990" width="18.140625" bestFit="1" customWidth="1"/>
    <col min="10240" max="10240" width="57.28515625" customWidth="1"/>
    <col min="10241" max="10241" width="21" bestFit="1" customWidth="1"/>
    <col min="10242" max="10242" width="19.5703125" bestFit="1" customWidth="1"/>
    <col min="10243" max="10244" width="18.42578125" bestFit="1" customWidth="1"/>
    <col min="10245" max="10245" width="18.28515625" bestFit="1" customWidth="1"/>
    <col min="10246" max="10246" width="18.140625" bestFit="1" customWidth="1"/>
    <col min="10496" max="10496" width="57.28515625" customWidth="1"/>
    <col min="10497" max="10497" width="21" bestFit="1" customWidth="1"/>
    <col min="10498" max="10498" width="19.5703125" bestFit="1" customWidth="1"/>
    <col min="10499" max="10500" width="18.42578125" bestFit="1" customWidth="1"/>
    <col min="10501" max="10501" width="18.28515625" bestFit="1" customWidth="1"/>
    <col min="10502" max="10502" width="18.140625" bestFit="1" customWidth="1"/>
    <col min="10752" max="10752" width="57.28515625" customWidth="1"/>
    <col min="10753" max="10753" width="21" bestFit="1" customWidth="1"/>
    <col min="10754" max="10754" width="19.5703125" bestFit="1" customWidth="1"/>
    <col min="10755" max="10756" width="18.42578125" bestFit="1" customWidth="1"/>
    <col min="10757" max="10757" width="18.28515625" bestFit="1" customWidth="1"/>
    <col min="10758" max="10758" width="18.140625" bestFit="1" customWidth="1"/>
    <col min="11008" max="11008" width="57.28515625" customWidth="1"/>
    <col min="11009" max="11009" width="21" bestFit="1" customWidth="1"/>
    <col min="11010" max="11010" width="19.5703125" bestFit="1" customWidth="1"/>
    <col min="11011" max="11012" width="18.42578125" bestFit="1" customWidth="1"/>
    <col min="11013" max="11013" width="18.28515625" bestFit="1" customWidth="1"/>
    <col min="11014" max="11014" width="18.140625" bestFit="1" customWidth="1"/>
    <col min="11264" max="11264" width="57.28515625" customWidth="1"/>
    <col min="11265" max="11265" width="21" bestFit="1" customWidth="1"/>
    <col min="11266" max="11266" width="19.5703125" bestFit="1" customWidth="1"/>
    <col min="11267" max="11268" width="18.42578125" bestFit="1" customWidth="1"/>
    <col min="11269" max="11269" width="18.28515625" bestFit="1" customWidth="1"/>
    <col min="11270" max="11270" width="18.140625" bestFit="1" customWidth="1"/>
    <col min="11520" max="11520" width="57.28515625" customWidth="1"/>
    <col min="11521" max="11521" width="21" bestFit="1" customWidth="1"/>
    <col min="11522" max="11522" width="19.5703125" bestFit="1" customWidth="1"/>
    <col min="11523" max="11524" width="18.42578125" bestFit="1" customWidth="1"/>
    <col min="11525" max="11525" width="18.28515625" bestFit="1" customWidth="1"/>
    <col min="11526" max="11526" width="18.140625" bestFit="1" customWidth="1"/>
    <col min="11776" max="11776" width="57.28515625" customWidth="1"/>
    <col min="11777" max="11777" width="21" bestFit="1" customWidth="1"/>
    <col min="11778" max="11778" width="19.5703125" bestFit="1" customWidth="1"/>
    <col min="11779" max="11780" width="18.42578125" bestFit="1" customWidth="1"/>
    <col min="11781" max="11781" width="18.28515625" bestFit="1" customWidth="1"/>
    <col min="11782" max="11782" width="18.140625" bestFit="1" customWidth="1"/>
    <col min="12032" max="12032" width="57.28515625" customWidth="1"/>
    <col min="12033" max="12033" width="21" bestFit="1" customWidth="1"/>
    <col min="12034" max="12034" width="19.5703125" bestFit="1" customWidth="1"/>
    <col min="12035" max="12036" width="18.42578125" bestFit="1" customWidth="1"/>
    <col min="12037" max="12037" width="18.28515625" bestFit="1" customWidth="1"/>
    <col min="12038" max="12038" width="18.140625" bestFit="1" customWidth="1"/>
    <col min="12288" max="12288" width="57.28515625" customWidth="1"/>
    <col min="12289" max="12289" width="21" bestFit="1" customWidth="1"/>
    <col min="12290" max="12290" width="19.5703125" bestFit="1" customWidth="1"/>
    <col min="12291" max="12292" width="18.42578125" bestFit="1" customWidth="1"/>
    <col min="12293" max="12293" width="18.28515625" bestFit="1" customWidth="1"/>
    <col min="12294" max="12294" width="18.140625" bestFit="1" customWidth="1"/>
    <col min="12544" max="12544" width="57.28515625" customWidth="1"/>
    <col min="12545" max="12545" width="21" bestFit="1" customWidth="1"/>
    <col min="12546" max="12546" width="19.5703125" bestFit="1" customWidth="1"/>
    <col min="12547" max="12548" width="18.42578125" bestFit="1" customWidth="1"/>
    <col min="12549" max="12549" width="18.28515625" bestFit="1" customWidth="1"/>
    <col min="12550" max="12550" width="18.140625" bestFit="1" customWidth="1"/>
    <col min="12800" max="12800" width="57.28515625" customWidth="1"/>
    <col min="12801" max="12801" width="21" bestFit="1" customWidth="1"/>
    <col min="12802" max="12802" width="19.5703125" bestFit="1" customWidth="1"/>
    <col min="12803" max="12804" width="18.42578125" bestFit="1" customWidth="1"/>
    <col min="12805" max="12805" width="18.28515625" bestFit="1" customWidth="1"/>
    <col min="12806" max="12806" width="18.140625" bestFit="1" customWidth="1"/>
    <col min="13056" max="13056" width="57.28515625" customWidth="1"/>
    <col min="13057" max="13057" width="21" bestFit="1" customWidth="1"/>
    <col min="13058" max="13058" width="19.5703125" bestFit="1" customWidth="1"/>
    <col min="13059" max="13060" width="18.42578125" bestFit="1" customWidth="1"/>
    <col min="13061" max="13061" width="18.28515625" bestFit="1" customWidth="1"/>
    <col min="13062" max="13062" width="18.140625" bestFit="1" customWidth="1"/>
    <col min="13312" max="13312" width="57.28515625" customWidth="1"/>
    <col min="13313" max="13313" width="21" bestFit="1" customWidth="1"/>
    <col min="13314" max="13314" width="19.5703125" bestFit="1" customWidth="1"/>
    <col min="13315" max="13316" width="18.42578125" bestFit="1" customWidth="1"/>
    <col min="13317" max="13317" width="18.28515625" bestFit="1" customWidth="1"/>
    <col min="13318" max="13318" width="18.140625" bestFit="1" customWidth="1"/>
    <col min="13568" max="13568" width="57.28515625" customWidth="1"/>
    <col min="13569" max="13569" width="21" bestFit="1" customWidth="1"/>
    <col min="13570" max="13570" width="19.5703125" bestFit="1" customWidth="1"/>
    <col min="13571" max="13572" width="18.42578125" bestFit="1" customWidth="1"/>
    <col min="13573" max="13573" width="18.28515625" bestFit="1" customWidth="1"/>
    <col min="13574" max="13574" width="18.140625" bestFit="1" customWidth="1"/>
    <col min="13824" max="13824" width="57.28515625" customWidth="1"/>
    <col min="13825" max="13825" width="21" bestFit="1" customWidth="1"/>
    <col min="13826" max="13826" width="19.5703125" bestFit="1" customWidth="1"/>
    <col min="13827" max="13828" width="18.42578125" bestFit="1" customWidth="1"/>
    <col min="13829" max="13829" width="18.28515625" bestFit="1" customWidth="1"/>
    <col min="13830" max="13830" width="18.140625" bestFit="1" customWidth="1"/>
    <col min="14080" max="14080" width="57.28515625" customWidth="1"/>
    <col min="14081" max="14081" width="21" bestFit="1" customWidth="1"/>
    <col min="14082" max="14082" width="19.5703125" bestFit="1" customWidth="1"/>
    <col min="14083" max="14084" width="18.42578125" bestFit="1" customWidth="1"/>
    <col min="14085" max="14085" width="18.28515625" bestFit="1" customWidth="1"/>
    <col min="14086" max="14086" width="18.140625" bestFit="1" customWidth="1"/>
    <col min="14336" max="14336" width="57.28515625" customWidth="1"/>
    <col min="14337" max="14337" width="21" bestFit="1" customWidth="1"/>
    <col min="14338" max="14338" width="19.5703125" bestFit="1" customWidth="1"/>
    <col min="14339" max="14340" width="18.42578125" bestFit="1" customWidth="1"/>
    <col min="14341" max="14341" width="18.28515625" bestFit="1" customWidth="1"/>
    <col min="14342" max="14342" width="18.140625" bestFit="1" customWidth="1"/>
    <col min="14592" max="14592" width="57.28515625" customWidth="1"/>
    <col min="14593" max="14593" width="21" bestFit="1" customWidth="1"/>
    <col min="14594" max="14594" width="19.5703125" bestFit="1" customWidth="1"/>
    <col min="14595" max="14596" width="18.42578125" bestFit="1" customWidth="1"/>
    <col min="14597" max="14597" width="18.28515625" bestFit="1" customWidth="1"/>
    <col min="14598" max="14598" width="18.140625" bestFit="1" customWidth="1"/>
    <col min="14848" max="14848" width="57.28515625" customWidth="1"/>
    <col min="14849" max="14849" width="21" bestFit="1" customWidth="1"/>
    <col min="14850" max="14850" width="19.5703125" bestFit="1" customWidth="1"/>
    <col min="14851" max="14852" width="18.42578125" bestFit="1" customWidth="1"/>
    <col min="14853" max="14853" width="18.28515625" bestFit="1" customWidth="1"/>
    <col min="14854" max="14854" width="18.140625" bestFit="1" customWidth="1"/>
    <col min="15104" max="15104" width="57.28515625" customWidth="1"/>
    <col min="15105" max="15105" width="21" bestFit="1" customWidth="1"/>
    <col min="15106" max="15106" width="19.5703125" bestFit="1" customWidth="1"/>
    <col min="15107" max="15108" width="18.42578125" bestFit="1" customWidth="1"/>
    <col min="15109" max="15109" width="18.28515625" bestFit="1" customWidth="1"/>
    <col min="15110" max="15110" width="18.140625" bestFit="1" customWidth="1"/>
    <col min="15360" max="15360" width="57.28515625" customWidth="1"/>
    <col min="15361" max="15361" width="21" bestFit="1" customWidth="1"/>
    <col min="15362" max="15362" width="19.5703125" bestFit="1" customWidth="1"/>
    <col min="15363" max="15364" width="18.42578125" bestFit="1" customWidth="1"/>
    <col min="15365" max="15365" width="18.28515625" bestFit="1" customWidth="1"/>
    <col min="15366" max="15366" width="18.140625" bestFit="1" customWidth="1"/>
    <col min="15616" max="15616" width="57.28515625" customWidth="1"/>
    <col min="15617" max="15617" width="21" bestFit="1" customWidth="1"/>
    <col min="15618" max="15618" width="19.5703125" bestFit="1" customWidth="1"/>
    <col min="15619" max="15620" width="18.42578125" bestFit="1" customWidth="1"/>
    <col min="15621" max="15621" width="18.28515625" bestFit="1" customWidth="1"/>
    <col min="15622" max="15622" width="18.140625" bestFit="1" customWidth="1"/>
    <col min="15872" max="15872" width="57.28515625" customWidth="1"/>
    <col min="15873" max="15873" width="21" bestFit="1" customWidth="1"/>
    <col min="15874" max="15874" width="19.5703125" bestFit="1" customWidth="1"/>
    <col min="15875" max="15876" width="18.42578125" bestFit="1" customWidth="1"/>
    <col min="15877" max="15877" width="18.28515625" bestFit="1" customWidth="1"/>
    <col min="15878" max="15878" width="18.140625" bestFit="1" customWidth="1"/>
    <col min="16128" max="16128" width="57.28515625" customWidth="1"/>
    <col min="16129" max="16129" width="21" bestFit="1" customWidth="1"/>
    <col min="16130" max="16130" width="19.5703125" bestFit="1" customWidth="1"/>
    <col min="16131" max="16132" width="18.42578125" bestFit="1" customWidth="1"/>
    <col min="16133" max="16133" width="18.28515625" bestFit="1" customWidth="1"/>
    <col min="16134" max="16134" width="18.140625" bestFit="1" customWidth="1"/>
  </cols>
  <sheetData>
    <row r="1" spans="1:9" ht="15.75" x14ac:dyDescent="0.25">
      <c r="A1" s="88" t="s">
        <v>450</v>
      </c>
      <c r="B1" s="89"/>
      <c r="C1" s="89"/>
      <c r="D1" s="89"/>
      <c r="E1" s="89"/>
      <c r="F1" s="89"/>
      <c r="G1" s="89"/>
    </row>
    <row r="2" spans="1:9" ht="15.75" x14ac:dyDescent="0.25">
      <c r="A2" s="90"/>
      <c r="B2" s="91"/>
      <c r="C2" s="92"/>
    </row>
    <row r="3" spans="1:9" s="22" customFormat="1" ht="20.100000000000001" customHeight="1" x14ac:dyDescent="0.2">
      <c r="A3" s="93" t="s">
        <v>445</v>
      </c>
      <c r="D3" s="148">
        <f>'Set-Up Worksheet'!F3</f>
        <v>2018</v>
      </c>
      <c r="E3" s="94"/>
      <c r="F3" s="94"/>
      <c r="G3" s="94"/>
    </row>
    <row r="4" spans="1:9" s="30" customFormat="1" ht="20.100000000000001" customHeight="1" x14ac:dyDescent="0.2">
      <c r="A4" s="439" t="s">
        <v>449</v>
      </c>
      <c r="B4" s="96"/>
      <c r="C4" s="97" t="s">
        <v>192</v>
      </c>
      <c r="D4" s="97" t="s">
        <v>154</v>
      </c>
      <c r="E4" s="97" t="s">
        <v>155</v>
      </c>
      <c r="F4" s="97" t="s">
        <v>156</v>
      </c>
      <c r="G4" s="97" t="s">
        <v>157</v>
      </c>
    </row>
    <row r="5" spans="1:9" s="22" customFormat="1" ht="15" customHeight="1" x14ac:dyDescent="0.2">
      <c r="A5" s="95" t="s">
        <v>158</v>
      </c>
      <c r="C5" s="98" t="s">
        <v>159</v>
      </c>
      <c r="D5" s="440" t="str">
        <f>"Jul - Sep "&amp;$D$3-1</f>
        <v>Jul - Sep 2017</v>
      </c>
      <c r="E5" s="440" t="str">
        <f>"Oct - Dec "&amp;$D$3-1</f>
        <v>Oct - Dec 2017</v>
      </c>
      <c r="F5" s="440" t="str">
        <f>"Jan - Mar "&amp;$D$3</f>
        <v>Jan - Mar 2018</v>
      </c>
      <c r="G5" s="440" t="str">
        <f>"Apr - Jun "&amp;$D$3</f>
        <v>Apr - Jun 2018</v>
      </c>
    </row>
    <row r="6" spans="1:9" s="22" customFormat="1" ht="15" customHeight="1" x14ac:dyDescent="0.2">
      <c r="A6" s="439" t="s">
        <v>448</v>
      </c>
      <c r="C6" s="443" t="s">
        <v>471</v>
      </c>
      <c r="D6" s="415" t="str">
        <f>"Nov 17, "&amp;$D$3-1</f>
        <v>Nov 17, 2017</v>
      </c>
      <c r="E6" s="99" t="str">
        <f>"Feb 17, "&amp;$D$3</f>
        <v>Feb 17, 2018</v>
      </c>
      <c r="F6" s="423" t="str">
        <f>"May 17, "&amp;$D$3</f>
        <v>May 17, 2018</v>
      </c>
      <c r="G6" s="99" t="str">
        <f>"Aug 17, "&amp;$D$3</f>
        <v>Aug 17, 2018</v>
      </c>
    </row>
    <row r="7" spans="1:9" s="22" customFormat="1" ht="15" customHeight="1" x14ac:dyDescent="0.2">
      <c r="A7" s="95" t="s">
        <v>160</v>
      </c>
      <c r="C7" s="100" t="s">
        <v>161</v>
      </c>
      <c r="D7" s="101" t="str">
        <f>"Nov 30, "&amp;$D$3-1</f>
        <v>Nov 30, 2017</v>
      </c>
      <c r="E7" s="101" t="str">
        <f>IF(OR($D$3=2012,$D$3=2016,$D$3=2020,$D$3=2024),"Feb 29, ","Feb 28, ")&amp;$D$3</f>
        <v>Feb 28, 2018</v>
      </c>
      <c r="F7" s="101" t="str">
        <f>"May 31, "&amp;$D$3</f>
        <v>May 31, 2018</v>
      </c>
      <c r="G7" s="101" t="str">
        <f>"Aug 31, "&amp;$D$3</f>
        <v>Aug 31, 2018</v>
      </c>
    </row>
    <row r="8" spans="1:9" s="22" customFormat="1" ht="15" customHeight="1" x14ac:dyDescent="0.2">
      <c r="C8" s="102"/>
      <c r="D8" s="103"/>
      <c r="E8" s="103"/>
      <c r="F8" s="103"/>
      <c r="G8" s="103"/>
      <c r="I8" s="561"/>
    </row>
    <row r="9" spans="1:9" s="22" customFormat="1" ht="20.100000000000001" customHeight="1" x14ac:dyDescent="0.2">
      <c r="A9" s="97" t="s">
        <v>162</v>
      </c>
      <c r="B9" s="97" t="s">
        <v>163</v>
      </c>
      <c r="C9" s="97" t="s">
        <v>153</v>
      </c>
      <c r="D9" s="104" t="s">
        <v>191</v>
      </c>
      <c r="E9" s="105"/>
      <c r="F9" s="105"/>
      <c r="G9" s="106"/>
      <c r="I9" s="561"/>
    </row>
    <row r="10" spans="1:9" s="22" customFormat="1" ht="15" customHeight="1" x14ac:dyDescent="0.2">
      <c r="A10" s="107" t="s">
        <v>351</v>
      </c>
      <c r="B10" s="108" t="s">
        <v>164</v>
      </c>
      <c r="C10" s="81" t="s">
        <v>165</v>
      </c>
      <c r="D10" s="149" t="str">
        <f>"Oct "&amp;$D$3-2&amp;" - Sep "&amp;$D$3-1</f>
        <v>Oct 2016 - Sep 2017</v>
      </c>
      <c r="E10" s="149" t="str">
        <f>"Jan "&amp;$D$3-1&amp;" - Dec "&amp;$D$3-1</f>
        <v>Jan 2017 - Dec 2017</v>
      </c>
      <c r="F10" s="149" t="str">
        <f>"Apr "&amp;$D$3-1&amp;" - Mar "&amp;$D$3</f>
        <v>Apr 2017 - Mar 2018</v>
      </c>
      <c r="G10" s="149" t="str">
        <f>"Jul "&amp;$D$3-1&amp;" - Jun "&amp;$D$3</f>
        <v>Jul 2017 - Jun 2018</v>
      </c>
      <c r="I10" s="225"/>
    </row>
    <row r="11" spans="1:9" s="22" customFormat="1" ht="15" customHeight="1" x14ac:dyDescent="0.2">
      <c r="A11" s="109" t="s">
        <v>350</v>
      </c>
      <c r="B11" s="110"/>
      <c r="C11" s="98" t="s">
        <v>166</v>
      </c>
      <c r="D11" s="111" t="str">
        <f>"Oct 31, "&amp;$D$3-1</f>
        <v>Oct 31, 2017</v>
      </c>
      <c r="E11" s="111" t="str">
        <f>"Jan 31, "&amp;$D$3</f>
        <v>Jan 31, 2018</v>
      </c>
      <c r="F11" s="111" t="str">
        <f>"Apr 30, "&amp;$D$3</f>
        <v>Apr 30, 2018</v>
      </c>
      <c r="G11" s="111" t="str">
        <f>"Jul 31, "&amp;$D$3</f>
        <v>Jul 31, 2018</v>
      </c>
      <c r="I11" s="225"/>
    </row>
    <row r="12" spans="1:9" s="22" customFormat="1" ht="15" customHeight="1" thickBot="1" x14ac:dyDescent="0.25">
      <c r="A12" s="112"/>
      <c r="B12" s="113"/>
      <c r="C12" s="114" t="s">
        <v>167</v>
      </c>
      <c r="D12" s="115" t="s">
        <v>168</v>
      </c>
      <c r="E12" s="116" t="s">
        <v>168</v>
      </c>
      <c r="F12" s="116" t="s">
        <v>168</v>
      </c>
      <c r="G12" s="116" t="s">
        <v>168</v>
      </c>
      <c r="I12" s="225"/>
    </row>
    <row r="13" spans="1:9" s="22" customFormat="1" ht="15" customHeight="1" thickTop="1" x14ac:dyDescent="0.2">
      <c r="A13" s="107" t="s">
        <v>352</v>
      </c>
      <c r="B13" s="108" t="s">
        <v>169</v>
      </c>
      <c r="C13" s="100" t="s">
        <v>170</v>
      </c>
      <c r="D13" s="117" t="str">
        <f>"Jul - Sep "&amp;$D$3-1</f>
        <v>Jul - Sep 2017</v>
      </c>
      <c r="E13" s="117" t="str">
        <f>"Oct - Dec "&amp;$D$3-1</f>
        <v>Oct - Dec 2017</v>
      </c>
      <c r="F13" s="117" t="str">
        <f>"Jan - Mar "&amp;$D$3</f>
        <v>Jan - Mar 2018</v>
      </c>
      <c r="G13" s="117" t="str">
        <f>"Apr - Jun "&amp;$D$3</f>
        <v>Apr - Jun 2018</v>
      </c>
      <c r="I13" s="225"/>
    </row>
    <row r="14" spans="1:9" s="22" customFormat="1" ht="15" customHeight="1" x14ac:dyDescent="0.2">
      <c r="A14" s="109" t="s">
        <v>353</v>
      </c>
      <c r="B14" s="110"/>
      <c r="C14" s="98" t="s">
        <v>171</v>
      </c>
      <c r="D14" s="111" t="str">
        <f>"Oct 30, "&amp;$D$3-1</f>
        <v>Oct 30, 2017</v>
      </c>
      <c r="E14" s="111" t="str">
        <f>"Jan 30, "&amp;$D$3</f>
        <v>Jan 30, 2018</v>
      </c>
      <c r="F14" s="111" t="str">
        <f>"Apr 30, "&amp;$D$3</f>
        <v>Apr 30, 2018</v>
      </c>
      <c r="G14" s="111" t="str">
        <f>"Jul 30, "&amp;$D$3</f>
        <v>Jul 30, 2018</v>
      </c>
      <c r="I14" s="225"/>
    </row>
    <row r="15" spans="1:9" s="22" customFormat="1" ht="15" customHeight="1" thickBot="1" x14ac:dyDescent="0.25">
      <c r="A15" s="109"/>
      <c r="B15" s="113"/>
      <c r="C15" s="98" t="s">
        <v>167</v>
      </c>
      <c r="D15" s="115" t="s">
        <v>168</v>
      </c>
      <c r="E15" s="116" t="s">
        <v>168</v>
      </c>
      <c r="F15" s="116" t="s">
        <v>168</v>
      </c>
      <c r="G15" s="116" t="s">
        <v>168</v>
      </c>
      <c r="I15" s="225"/>
    </row>
    <row r="16" spans="1:9" s="22" customFormat="1" ht="15" customHeight="1" thickTop="1" x14ac:dyDescent="0.2">
      <c r="A16" s="122" t="s">
        <v>352</v>
      </c>
      <c r="B16" s="108" t="s">
        <v>169</v>
      </c>
      <c r="C16" s="119" t="s">
        <v>172</v>
      </c>
      <c r="D16" s="120" t="str">
        <f>"Apr - Jun "&amp;$D$3-1</f>
        <v>Apr - Jun 2017</v>
      </c>
      <c r="E16" s="120" t="str">
        <f>"Jul - Sep "&amp;$D$3-1</f>
        <v>Jul - Sep 2017</v>
      </c>
      <c r="F16" s="120" t="str">
        <f>"Oct - Dec "&amp;$D$3-1</f>
        <v>Oct - Dec 2017</v>
      </c>
      <c r="G16" s="120" t="str">
        <f>"Jan - Mar "&amp;$D$3</f>
        <v>Jan - Mar 2018</v>
      </c>
    </row>
    <row r="17" spans="1:9" s="22" customFormat="1" ht="15" customHeight="1" x14ac:dyDescent="0.2">
      <c r="A17" s="109" t="s">
        <v>354</v>
      </c>
      <c r="B17" s="108"/>
      <c r="C17" s="98" t="s">
        <v>173</v>
      </c>
      <c r="D17" s="121" t="str">
        <f>"Oct 31, "&amp;$D$3-1</f>
        <v>Oct 31, 2017</v>
      </c>
      <c r="E17" s="121" t="str">
        <f>"Jan 31, "&amp;$D$3</f>
        <v>Jan 31, 2018</v>
      </c>
      <c r="F17" s="121" t="str">
        <f>"Apr 30, "&amp;$D$3</f>
        <v>Apr 30, 2018</v>
      </c>
      <c r="G17" s="121" t="str">
        <f>"Jul 31, "&amp;$D$3</f>
        <v>Jul 31, 2018</v>
      </c>
    </row>
    <row r="18" spans="1:9" s="22" customFormat="1" ht="15" customHeight="1" thickBot="1" x14ac:dyDescent="0.25">
      <c r="A18" s="109"/>
      <c r="B18" s="113"/>
      <c r="C18" s="98" t="s">
        <v>174</v>
      </c>
      <c r="D18" s="135" t="s">
        <v>177</v>
      </c>
      <c r="E18" s="135" t="s">
        <v>177</v>
      </c>
      <c r="F18" s="135" t="s">
        <v>177</v>
      </c>
      <c r="G18" s="135" t="s">
        <v>177</v>
      </c>
    </row>
    <row r="19" spans="1:9" s="22" customFormat="1" ht="15" customHeight="1" thickTop="1" x14ac:dyDescent="0.2">
      <c r="A19" s="122" t="s">
        <v>355</v>
      </c>
      <c r="B19" s="108" t="s">
        <v>176</v>
      </c>
      <c r="C19" s="119" t="s">
        <v>172</v>
      </c>
      <c r="D19" s="120" t="str">
        <f>"Apr - Jun "&amp;$D$3-1</f>
        <v>Apr - Jun 2017</v>
      </c>
      <c r="E19" s="120" t="str">
        <f>"Jul - Sep "&amp;$D$3-1</f>
        <v>Jul - Sep 2017</v>
      </c>
      <c r="F19" s="120" t="str">
        <f>"Oct - Dec "&amp;$D$3-1</f>
        <v>Oct - Dec 2017</v>
      </c>
      <c r="G19" s="120" t="str">
        <f>"Jan - Mar "&amp;$D$3</f>
        <v>Jan - Mar 2018</v>
      </c>
    </row>
    <row r="20" spans="1:9" s="22" customFormat="1" ht="15" customHeight="1" x14ac:dyDescent="0.2">
      <c r="A20" s="123" t="s">
        <v>357</v>
      </c>
      <c r="B20" s="108"/>
      <c r="C20" s="98" t="s">
        <v>173</v>
      </c>
      <c r="D20" s="121" t="str">
        <f>"Oct 31, "&amp;$D$3-1</f>
        <v>Oct 31, 2017</v>
      </c>
      <c r="E20" s="121" t="str">
        <f>"Jan 31, "&amp;$D$3</f>
        <v>Jan 31, 2018</v>
      </c>
      <c r="F20" s="121" t="str">
        <f>"Apr 30, "&amp;$D$3</f>
        <v>Apr 30, 2018</v>
      </c>
      <c r="G20" s="121" t="str">
        <f>"Jul 31, "&amp;$D$3</f>
        <v>Jul 31, 2018</v>
      </c>
    </row>
    <row r="21" spans="1:9" s="22" customFormat="1" ht="15" customHeight="1" thickBot="1" x14ac:dyDescent="0.25">
      <c r="A21" s="109" t="s">
        <v>356</v>
      </c>
      <c r="B21" s="124"/>
      <c r="C21" s="98" t="s">
        <v>174</v>
      </c>
      <c r="D21" s="115" t="s">
        <v>175</v>
      </c>
      <c r="E21" s="115" t="s">
        <v>175</v>
      </c>
      <c r="F21" s="115" t="s">
        <v>175</v>
      </c>
      <c r="G21" s="115" t="s">
        <v>175</v>
      </c>
    </row>
    <row r="22" spans="1:9" s="22" customFormat="1" ht="15" customHeight="1" thickTop="1" x14ac:dyDescent="0.2">
      <c r="A22" s="122" t="s">
        <v>358</v>
      </c>
      <c r="B22" s="125" t="s">
        <v>176</v>
      </c>
      <c r="C22" s="119" t="s">
        <v>172</v>
      </c>
      <c r="D22" s="120" t="str">
        <f>"Apr - Jun "&amp;$D$3-1</f>
        <v>Apr - Jun 2017</v>
      </c>
      <c r="E22" s="120" t="str">
        <f>"Jul - Sep "&amp;$D$3-1</f>
        <v>Jul - Sep 2017</v>
      </c>
      <c r="F22" s="120" t="str">
        <f>"Oct - Dec "&amp;$D$3-1</f>
        <v>Oct - Dec 2017</v>
      </c>
      <c r="G22" s="120" t="str">
        <f>"Jan - Mar "&amp;$D$3</f>
        <v>Jan - Mar 2018</v>
      </c>
    </row>
    <row r="23" spans="1:9" s="22" customFormat="1" ht="15" customHeight="1" x14ac:dyDescent="0.2">
      <c r="A23" s="109" t="s">
        <v>359</v>
      </c>
      <c r="B23" s="110"/>
      <c r="C23" s="98" t="s">
        <v>173</v>
      </c>
      <c r="D23" s="121" t="str">
        <f>"Oct 31, "&amp;$D$3-1</f>
        <v>Oct 31, 2017</v>
      </c>
      <c r="E23" s="121" t="str">
        <f>"Jan 31, "&amp;$D$3</f>
        <v>Jan 31, 2018</v>
      </c>
      <c r="F23" s="121" t="str">
        <f>"Apr 30, "&amp;$D$3</f>
        <v>Apr 30, 2018</v>
      </c>
      <c r="G23" s="121" t="str">
        <f>"Jul 31, "&amp;$D$3</f>
        <v>Jul 31, 2018</v>
      </c>
    </row>
    <row r="24" spans="1:9" s="22" customFormat="1" ht="15" customHeight="1" thickBot="1" x14ac:dyDescent="0.25">
      <c r="A24" s="109" t="s">
        <v>360</v>
      </c>
      <c r="B24" s="124"/>
      <c r="C24" s="98" t="s">
        <v>174</v>
      </c>
      <c r="D24" s="115" t="s">
        <v>177</v>
      </c>
      <c r="E24" s="115" t="s">
        <v>177</v>
      </c>
      <c r="F24" s="115" t="s">
        <v>177</v>
      </c>
      <c r="G24" s="115" t="s">
        <v>177</v>
      </c>
    </row>
    <row r="25" spans="1:9" s="22" customFormat="1" ht="15" customHeight="1" thickTop="1" x14ac:dyDescent="0.2">
      <c r="A25" s="126" t="s">
        <v>361</v>
      </c>
      <c r="B25" s="125" t="s">
        <v>178</v>
      </c>
      <c r="C25" s="127" t="s">
        <v>170</v>
      </c>
      <c r="D25" s="117" t="str">
        <f>"Jul - Sep "&amp;$D$3-1</f>
        <v>Jul - Sep 2017</v>
      </c>
      <c r="E25" s="117" t="str">
        <f>"Oct - Dec "&amp;$D$3-1</f>
        <v>Oct - Dec 2017</v>
      </c>
      <c r="F25" s="117" t="str">
        <f>"Jan - Mar "&amp;$D$3</f>
        <v>Jan - Mar 2018</v>
      </c>
      <c r="G25" s="117" t="str">
        <f>"Apr - Jun "&amp;$D$3</f>
        <v>Apr - Jun 2018</v>
      </c>
      <c r="I25" s="225"/>
    </row>
    <row r="26" spans="1:9" s="22" customFormat="1" ht="15" customHeight="1" x14ac:dyDescent="0.2">
      <c r="A26" s="109" t="s">
        <v>362</v>
      </c>
      <c r="B26" s="326" t="s">
        <v>179</v>
      </c>
      <c r="C26" s="98" t="s">
        <v>166</v>
      </c>
      <c r="D26" s="121" t="str">
        <f>"Oct 31, "&amp;$D$3-1</f>
        <v>Oct 31, 2017</v>
      </c>
      <c r="E26" s="121" t="str">
        <f>"Jan 31, "&amp;$D$3</f>
        <v>Jan 31, 2018</v>
      </c>
      <c r="F26" s="121" t="str">
        <f>"Apr 30, "&amp;$D$3</f>
        <v>Apr 30, 2018</v>
      </c>
      <c r="G26" s="121" t="str">
        <f>"Jul 31, "&amp;$D$3</f>
        <v>Jul 31, 2018</v>
      </c>
      <c r="I26" s="225"/>
    </row>
    <row r="27" spans="1:9" s="22" customFormat="1" ht="15" customHeight="1" thickBot="1" x14ac:dyDescent="0.25">
      <c r="A27" s="108" t="s">
        <v>180</v>
      </c>
      <c r="B27" s="110"/>
      <c r="C27" s="98" t="s">
        <v>181</v>
      </c>
      <c r="D27" s="115" t="s">
        <v>182</v>
      </c>
      <c r="E27" s="115" t="s">
        <v>182</v>
      </c>
      <c r="F27" s="115" t="s">
        <v>182</v>
      </c>
      <c r="G27" s="115" t="s">
        <v>182</v>
      </c>
      <c r="I27" s="225"/>
    </row>
    <row r="28" spans="1:9" s="22" customFormat="1" ht="15" customHeight="1" thickTop="1" x14ac:dyDescent="0.2">
      <c r="A28" s="118" t="s">
        <v>363</v>
      </c>
      <c r="B28" s="125" t="s">
        <v>183</v>
      </c>
      <c r="C28" s="119" t="s">
        <v>172</v>
      </c>
      <c r="D28" s="120" t="str">
        <f>"Apr - Jun "&amp;$D$3-1</f>
        <v>Apr - Jun 2017</v>
      </c>
      <c r="E28" s="120" t="str">
        <f>"Jul - Sep "&amp;$D$3-1</f>
        <v>Jul - Sep 2017</v>
      </c>
      <c r="F28" s="120" t="str">
        <f>"Oct - Dec "&amp;$D$3-1</f>
        <v>Oct - Dec 2017</v>
      </c>
      <c r="G28" s="120" t="str">
        <f>"Jan - Mar "&amp;$D$3</f>
        <v>Jan - Mar 2018</v>
      </c>
      <c r="I28" s="225"/>
    </row>
    <row r="29" spans="1:9" s="22" customFormat="1" ht="15" customHeight="1" x14ac:dyDescent="0.2">
      <c r="A29" s="326" t="s">
        <v>184</v>
      </c>
      <c r="B29" s="108"/>
      <c r="C29" s="49" t="s">
        <v>166</v>
      </c>
      <c r="D29" s="121" t="str">
        <f>"Oct 31, "&amp;$D$3-1</f>
        <v>Oct 31, 2017</v>
      </c>
      <c r="E29" s="121" t="str">
        <f>"Jan 31, "&amp;$D$3</f>
        <v>Jan 31, 2018</v>
      </c>
      <c r="F29" s="121" t="str">
        <f>"Apr 30, "&amp;$D$3</f>
        <v>Apr 30, 2018</v>
      </c>
      <c r="G29" s="121" t="str">
        <f>"Jul 31, "&amp;$D$3</f>
        <v>Jul 31, 2018</v>
      </c>
      <c r="I29" s="225"/>
    </row>
    <row r="30" spans="1:9" s="22" customFormat="1" ht="15" customHeight="1" thickBot="1" x14ac:dyDescent="0.25">
      <c r="A30" s="109"/>
      <c r="B30" s="113"/>
      <c r="C30" s="49" t="s">
        <v>167</v>
      </c>
      <c r="D30" s="115" t="s">
        <v>175</v>
      </c>
      <c r="E30" s="115" t="s">
        <v>175</v>
      </c>
      <c r="F30" s="115" t="s">
        <v>175</v>
      </c>
      <c r="G30" s="115" t="s">
        <v>175</v>
      </c>
      <c r="I30" s="225"/>
    </row>
    <row r="31" spans="1:9" ht="15" customHeight="1" thickTop="1" x14ac:dyDescent="0.2">
      <c r="A31" s="128" t="s">
        <v>364</v>
      </c>
      <c r="B31" s="129" t="s">
        <v>176</v>
      </c>
      <c r="C31" s="119" t="s">
        <v>172</v>
      </c>
      <c r="D31" s="120" t="str">
        <f>"Apr - Jun "&amp;$D$3-1</f>
        <v>Apr - Jun 2017</v>
      </c>
      <c r="E31" s="120" t="str">
        <f>"Jul - Sep "&amp;$D$3-1</f>
        <v>Jul - Sep 2017</v>
      </c>
      <c r="F31" s="120" t="str">
        <f>"Oct - Dec "&amp;$D$3-1</f>
        <v>Oct - Dec 2017</v>
      </c>
      <c r="G31" s="120" t="str">
        <f>"Jan - Mar "&amp;$D$3</f>
        <v>Jan - Mar 2018</v>
      </c>
    </row>
    <row r="32" spans="1:9" ht="15" customHeight="1" x14ac:dyDescent="0.2">
      <c r="A32" s="130" t="s">
        <v>365</v>
      </c>
      <c r="B32" s="131"/>
      <c r="C32" s="98" t="s">
        <v>173</v>
      </c>
      <c r="D32" s="121" t="str">
        <f>"Oct 31, "&amp;$D$3-1</f>
        <v>Oct 31, 2017</v>
      </c>
      <c r="E32" s="121" t="str">
        <f>"Jan 31, "&amp;$D$3</f>
        <v>Jan 31, 2018</v>
      </c>
      <c r="F32" s="121" t="str">
        <f>"Apr 30, "&amp;$D$3</f>
        <v>Apr 30, 2018</v>
      </c>
      <c r="G32" s="121" t="str">
        <f>"Jul 31, "&amp;$D$3</f>
        <v>Jul 31, 2018</v>
      </c>
    </row>
    <row r="33" spans="1:9" ht="15" customHeight="1" thickBot="1" x14ac:dyDescent="0.25">
      <c r="A33" s="132"/>
      <c r="B33" s="133"/>
      <c r="C33" s="98" t="s">
        <v>174</v>
      </c>
      <c r="D33" s="115" t="s">
        <v>175</v>
      </c>
      <c r="E33" s="115" t="s">
        <v>175</v>
      </c>
      <c r="F33" s="115" t="s">
        <v>175</v>
      </c>
      <c r="G33" s="115" t="s">
        <v>175</v>
      </c>
    </row>
    <row r="34" spans="1:9" ht="15" customHeight="1" thickTop="1" x14ac:dyDescent="0.2">
      <c r="A34" s="128" t="s">
        <v>366</v>
      </c>
      <c r="B34" s="129" t="s">
        <v>176</v>
      </c>
      <c r="C34" s="119" t="s">
        <v>172</v>
      </c>
      <c r="D34" s="120" t="str">
        <f>"Apr - Jun "&amp;$D$3-1</f>
        <v>Apr - Jun 2017</v>
      </c>
      <c r="E34" s="120" t="str">
        <f>"Jul - Sep "&amp;$D$3-1</f>
        <v>Jul - Sep 2017</v>
      </c>
      <c r="F34" s="120" t="str">
        <f>"Oct - Dec "&amp;$D$3-1</f>
        <v>Oct - Dec 2017</v>
      </c>
      <c r="G34" s="120" t="str">
        <f>"Jan - Mar "&amp;$D$3</f>
        <v>Jan - Mar 2018</v>
      </c>
    </row>
    <row r="35" spans="1:9" ht="15" customHeight="1" x14ac:dyDescent="0.2">
      <c r="A35" s="130"/>
      <c r="B35" s="131"/>
      <c r="C35" s="98" t="s">
        <v>173</v>
      </c>
      <c r="D35" s="121" t="str">
        <f>"Oct 31, "&amp;$D$3-1</f>
        <v>Oct 31, 2017</v>
      </c>
      <c r="E35" s="121" t="str">
        <f>"Jan 31, "&amp;$D$3</f>
        <v>Jan 31, 2018</v>
      </c>
      <c r="F35" s="121" t="str">
        <f>"Apr 30, "&amp;$D$3</f>
        <v>Apr 30, 2018</v>
      </c>
      <c r="G35" s="121" t="str">
        <f>"Jul 31, "&amp;$D$3</f>
        <v>Jul 31, 2018</v>
      </c>
    </row>
    <row r="36" spans="1:9" ht="15" customHeight="1" thickBot="1" x14ac:dyDescent="0.25">
      <c r="A36" s="132"/>
      <c r="B36" s="133"/>
      <c r="C36" s="98" t="s">
        <v>174</v>
      </c>
      <c r="D36" s="135" t="s">
        <v>185</v>
      </c>
      <c r="E36" s="115" t="s">
        <v>185</v>
      </c>
      <c r="F36" s="115" t="s">
        <v>185</v>
      </c>
      <c r="G36" s="115" t="s">
        <v>185</v>
      </c>
    </row>
    <row r="37" spans="1:9" ht="15" customHeight="1" thickTop="1" x14ac:dyDescent="0.2">
      <c r="A37" s="128" t="s">
        <v>367</v>
      </c>
      <c r="B37" s="327" t="s">
        <v>178</v>
      </c>
      <c r="C37" s="119" t="s">
        <v>172</v>
      </c>
      <c r="D37" s="120" t="str">
        <f>"Apr - Jun "&amp;$D$3-1</f>
        <v>Apr - Jun 2017</v>
      </c>
      <c r="E37" s="120" t="str">
        <f>"Jul - Sep "&amp;$D$3-1</f>
        <v>Jul - Sep 2017</v>
      </c>
      <c r="F37" s="120" t="str">
        <f>"Oct - Dec "&amp;$D$3-1</f>
        <v>Oct - Dec 2017</v>
      </c>
      <c r="G37" s="120" t="str">
        <f>"Jan - Mar "&amp;$D$3</f>
        <v>Jan - Mar 2018</v>
      </c>
      <c r="I37" s="225"/>
    </row>
    <row r="38" spans="1:9" ht="15" customHeight="1" x14ac:dyDescent="0.2">
      <c r="A38" s="130" t="s">
        <v>369</v>
      </c>
      <c r="B38" s="328" t="s">
        <v>179</v>
      </c>
      <c r="C38" s="98" t="s">
        <v>173</v>
      </c>
      <c r="D38" s="121" t="str">
        <f>"Oct 31, "&amp;$D$3-1</f>
        <v>Oct 31, 2017</v>
      </c>
      <c r="E38" s="121" t="str">
        <f>"Jan 31, "&amp;$D$3</f>
        <v>Jan 31, 2018</v>
      </c>
      <c r="F38" s="121" t="str">
        <f>"Apr 30, "&amp;$D$3</f>
        <v>Apr 30, 2018</v>
      </c>
      <c r="G38" s="121" t="str">
        <f>"Jul 31, "&amp;$D$3</f>
        <v>Jul 31, 2018</v>
      </c>
      <c r="I38" s="225"/>
    </row>
    <row r="39" spans="1:9" ht="15" customHeight="1" thickBot="1" x14ac:dyDescent="0.25">
      <c r="A39" s="130"/>
      <c r="B39" s="133"/>
      <c r="C39" s="98" t="s">
        <v>174</v>
      </c>
      <c r="D39" s="135" t="s">
        <v>185</v>
      </c>
      <c r="E39" s="115" t="s">
        <v>185</v>
      </c>
      <c r="F39" s="115" t="s">
        <v>185</v>
      </c>
      <c r="G39" s="115" t="s">
        <v>185</v>
      </c>
      <c r="I39" s="225"/>
    </row>
    <row r="40" spans="1:9" ht="15" customHeight="1" thickTop="1" x14ac:dyDescent="0.2">
      <c r="A40" s="128" t="s">
        <v>371</v>
      </c>
      <c r="B40" s="129" t="s">
        <v>178</v>
      </c>
      <c r="C40" s="119" t="s">
        <v>186</v>
      </c>
      <c r="D40" s="136" t="str">
        <f>"Jan - Mar "&amp;$D$3-1</f>
        <v>Jan - Mar 2017</v>
      </c>
      <c r="E40" s="136" t="str">
        <f>"Apr - Jun "&amp;$D$3-1</f>
        <v>Apr - Jun 2017</v>
      </c>
      <c r="F40" s="136" t="str">
        <f>"Jul - Sep "&amp;$D$3-1</f>
        <v>Jul - Sep 2017</v>
      </c>
      <c r="G40" s="136" t="str">
        <f>"Oct - Dec "&amp;$D$3-1</f>
        <v>Oct - Dec 2017</v>
      </c>
      <c r="I40" s="225"/>
    </row>
    <row r="41" spans="1:9" ht="15" customHeight="1" x14ac:dyDescent="0.2">
      <c r="A41" s="130" t="s">
        <v>370</v>
      </c>
      <c r="B41" s="326" t="s">
        <v>179</v>
      </c>
      <c r="C41" s="98" t="s">
        <v>166</v>
      </c>
      <c r="D41" s="121" t="str">
        <f>"Oct 31, "&amp;$D$3-1</f>
        <v>Oct 31, 2017</v>
      </c>
      <c r="E41" s="121" t="str">
        <f>"Jan 31, "&amp;$D$3</f>
        <v>Jan 31, 2018</v>
      </c>
      <c r="F41" s="121" t="str">
        <f>"Apr 30, "&amp;$D$3</f>
        <v>Apr 30, 2018</v>
      </c>
      <c r="G41" s="121" t="str">
        <f>"Jul 31, "&amp;$D$3</f>
        <v>Jul 31, 2018</v>
      </c>
      <c r="I41" s="225"/>
    </row>
    <row r="42" spans="1:9" ht="15" customHeight="1" thickBot="1" x14ac:dyDescent="0.25">
      <c r="A42" s="137"/>
      <c r="B42" s="138"/>
      <c r="C42" s="139" t="s">
        <v>187</v>
      </c>
      <c r="D42" s="116" t="s">
        <v>182</v>
      </c>
      <c r="E42" s="116" t="s">
        <v>182</v>
      </c>
      <c r="F42" s="116" t="s">
        <v>182</v>
      </c>
      <c r="G42" s="116" t="s">
        <v>182</v>
      </c>
      <c r="I42" s="225"/>
    </row>
    <row r="43" spans="1:9" ht="15" customHeight="1" thickTop="1" x14ac:dyDescent="0.2">
      <c r="A43" s="128" t="s">
        <v>368</v>
      </c>
      <c r="B43" s="129" t="s">
        <v>176</v>
      </c>
      <c r="C43" s="119" t="s">
        <v>172</v>
      </c>
      <c r="D43" s="120" t="str">
        <f>"Apr - Jun "&amp;$D$3-1</f>
        <v>Apr - Jun 2017</v>
      </c>
      <c r="E43" s="120" t="str">
        <f>"Jul - Sep "&amp;$D$3-1</f>
        <v>Jul - Sep 2017</v>
      </c>
      <c r="F43" s="120" t="str">
        <f>"Oct - Dec "&amp;$D$3-1</f>
        <v>Oct - Dec 2017</v>
      </c>
      <c r="G43" s="120" t="str">
        <f>"Jan - Mar "&amp;$D$3</f>
        <v>Jan - Mar 2018</v>
      </c>
    </row>
    <row r="44" spans="1:9" ht="15" customHeight="1" x14ac:dyDescent="0.2">
      <c r="A44" s="130" t="s">
        <v>372</v>
      </c>
      <c r="B44" s="131"/>
      <c r="C44" s="98" t="s">
        <v>173</v>
      </c>
      <c r="D44" s="121" t="str">
        <f>"Oct 31, "&amp;$D$3-1</f>
        <v>Oct 31, 2017</v>
      </c>
      <c r="E44" s="121" t="str">
        <f>"Jan 31, "&amp;$D$3</f>
        <v>Jan 31, 2018</v>
      </c>
      <c r="F44" s="121" t="str">
        <f>"Apr 30, "&amp;$D$3</f>
        <v>Apr 30, 2018</v>
      </c>
      <c r="G44" s="121" t="str">
        <f>"Jul 31, "&amp;$D$3</f>
        <v>Jul 31, 2018</v>
      </c>
    </row>
    <row r="45" spans="1:9" ht="15" customHeight="1" thickBot="1" x14ac:dyDescent="0.25">
      <c r="A45" s="130"/>
      <c r="B45" s="133"/>
      <c r="C45" s="98" t="s">
        <v>174</v>
      </c>
      <c r="D45" s="135" t="s">
        <v>185</v>
      </c>
      <c r="E45" s="115" t="s">
        <v>185</v>
      </c>
      <c r="F45" s="115" t="s">
        <v>185</v>
      </c>
      <c r="G45" s="115" t="s">
        <v>185</v>
      </c>
    </row>
    <row r="46" spans="1:9" ht="15" customHeight="1" thickTop="1" x14ac:dyDescent="0.2">
      <c r="A46" s="134" t="s">
        <v>373</v>
      </c>
      <c r="B46" s="129" t="s">
        <v>178</v>
      </c>
      <c r="C46" s="119" t="s">
        <v>172</v>
      </c>
      <c r="D46" s="120" t="str">
        <f>"Apr - Jun "&amp;$D$3-1</f>
        <v>Apr - Jun 2017</v>
      </c>
      <c r="E46" s="120" t="str">
        <f>"Jul - Sep "&amp;$D$3-1</f>
        <v>Jul - Sep 2017</v>
      </c>
      <c r="F46" s="120" t="str">
        <f>"Oct - Dec "&amp;$D$3-1</f>
        <v>Oct - Dec 2017</v>
      </c>
      <c r="G46" s="120" t="str">
        <f>"Jan - Mar "&amp;$D$3</f>
        <v>Jan - Mar 2018</v>
      </c>
    </row>
    <row r="47" spans="1:9" ht="15" customHeight="1" x14ac:dyDescent="0.2">
      <c r="A47" s="130" t="s">
        <v>374</v>
      </c>
      <c r="B47" s="131" t="s">
        <v>176</v>
      </c>
      <c r="C47" s="98" t="s">
        <v>173</v>
      </c>
      <c r="D47" s="121" t="str">
        <f>"Oct 31, "&amp;$D$3-1</f>
        <v>Oct 31, 2017</v>
      </c>
      <c r="E47" s="121" t="str">
        <f>"Jan 31, "&amp;$D$3</f>
        <v>Jan 31, 2018</v>
      </c>
      <c r="F47" s="121" t="str">
        <f>"Apr 30, "&amp;$D$3</f>
        <v>Apr 30, 2018</v>
      </c>
      <c r="G47" s="121" t="str">
        <f>"Jul 31, "&amp;$D$3</f>
        <v>Jul 31, 2018</v>
      </c>
    </row>
    <row r="48" spans="1:9" ht="15" customHeight="1" thickBot="1" x14ac:dyDescent="0.25">
      <c r="A48" s="130" t="s">
        <v>375</v>
      </c>
      <c r="B48" s="133"/>
      <c r="C48" s="98" t="s">
        <v>174</v>
      </c>
      <c r="D48" s="115" t="s">
        <v>175</v>
      </c>
      <c r="E48" s="115" t="s">
        <v>175</v>
      </c>
      <c r="F48" s="115" t="s">
        <v>175</v>
      </c>
      <c r="G48" s="115" t="s">
        <v>175</v>
      </c>
    </row>
    <row r="49" spans="1:9" ht="15" customHeight="1" thickTop="1" x14ac:dyDescent="0.2">
      <c r="A49" s="128" t="s">
        <v>376</v>
      </c>
      <c r="B49" s="140" t="s">
        <v>176</v>
      </c>
      <c r="C49" s="119" t="s">
        <v>172</v>
      </c>
      <c r="D49" s="120" t="str">
        <f>"Apr - Jun "&amp;$D$3-1</f>
        <v>Apr - Jun 2017</v>
      </c>
      <c r="E49" s="120" t="str">
        <f>"Jul - Sep "&amp;$D$3-1</f>
        <v>Jul - Sep 2017</v>
      </c>
      <c r="F49" s="120" t="str">
        <f>"Oct - Dec "&amp;$D$3-1</f>
        <v>Oct - Dec 2017</v>
      </c>
      <c r="G49" s="120" t="str">
        <f>"Jan - Mar "&amp;$D$3</f>
        <v>Jan - Mar 2018</v>
      </c>
    </row>
    <row r="50" spans="1:9" ht="15" customHeight="1" x14ac:dyDescent="0.2">
      <c r="A50" s="130" t="s">
        <v>377</v>
      </c>
      <c r="B50" s="141"/>
      <c r="C50" s="98" t="s">
        <v>173</v>
      </c>
      <c r="D50" s="121" t="str">
        <f>"Oct 31, "&amp;$D$3-1</f>
        <v>Oct 31, 2017</v>
      </c>
      <c r="E50" s="121" t="str">
        <f>"Jan 31, "&amp;$D$3</f>
        <v>Jan 31, 2018</v>
      </c>
      <c r="F50" s="121" t="str">
        <f>"Apr 30, "&amp;$D$3</f>
        <v>Apr 30, 2018</v>
      </c>
      <c r="G50" s="121" t="str">
        <f>"Jul 31, "&amp;$D$3</f>
        <v>Jul 31, 2018</v>
      </c>
    </row>
    <row r="51" spans="1:9" ht="15" customHeight="1" thickBot="1" x14ac:dyDescent="0.25">
      <c r="A51" s="142"/>
      <c r="B51" s="133"/>
      <c r="C51" s="98" t="s">
        <v>174</v>
      </c>
      <c r="D51" s="115" t="s">
        <v>175</v>
      </c>
      <c r="E51" s="115" t="s">
        <v>175</v>
      </c>
      <c r="F51" s="115" t="s">
        <v>175</v>
      </c>
      <c r="G51" s="115" t="s">
        <v>175</v>
      </c>
    </row>
    <row r="52" spans="1:9" ht="15" customHeight="1" thickTop="1" x14ac:dyDescent="0.2">
      <c r="A52" s="128" t="s">
        <v>378</v>
      </c>
      <c r="B52" s="140" t="s">
        <v>176</v>
      </c>
      <c r="C52" s="119" t="s">
        <v>172</v>
      </c>
      <c r="D52" s="120" t="str">
        <f>"Apr - Jun "&amp;$D$3-1</f>
        <v>Apr - Jun 2017</v>
      </c>
      <c r="E52" s="120" t="str">
        <f>"Jul - Sep "&amp;$D$3-1</f>
        <v>Jul - Sep 2017</v>
      </c>
      <c r="F52" s="120" t="str">
        <f>"Oct - Dec "&amp;$D$3-1</f>
        <v>Oct - Dec 2017</v>
      </c>
      <c r="G52" s="120" t="str">
        <f>"Jan - Mar "&amp;$D$3</f>
        <v>Jan - Mar 2018</v>
      </c>
    </row>
    <row r="53" spans="1:9" ht="15" customHeight="1" x14ac:dyDescent="0.2">
      <c r="A53" s="130"/>
      <c r="B53" s="141"/>
      <c r="C53" s="98" t="s">
        <v>173</v>
      </c>
      <c r="D53" s="121" t="str">
        <f>"Oct 31, "&amp;$D$3-1</f>
        <v>Oct 31, 2017</v>
      </c>
      <c r="E53" s="121" t="str">
        <f>"Jan 31, "&amp;$D$3</f>
        <v>Jan 31, 2018</v>
      </c>
      <c r="F53" s="121" t="str">
        <f>"Apr 30, "&amp;$D$3</f>
        <v>Apr 30, 2018</v>
      </c>
      <c r="G53" s="121" t="str">
        <f>"Jul 31, "&amp;$D$3</f>
        <v>Jul 31, 2018</v>
      </c>
    </row>
    <row r="54" spans="1:9" ht="15" customHeight="1" thickBot="1" x14ac:dyDescent="0.25">
      <c r="A54" s="142"/>
      <c r="B54" s="133"/>
      <c r="C54" s="98" t="s">
        <v>174</v>
      </c>
      <c r="D54" s="143" t="s">
        <v>175</v>
      </c>
      <c r="E54" s="143" t="s">
        <v>175</v>
      </c>
      <c r="F54" s="143" t="s">
        <v>175</v>
      </c>
      <c r="G54" s="143" t="s">
        <v>175</v>
      </c>
    </row>
    <row r="55" spans="1:9" ht="15" customHeight="1" thickTop="1" x14ac:dyDescent="0.2">
      <c r="A55" s="128" t="s">
        <v>379</v>
      </c>
      <c r="B55" s="140" t="s">
        <v>188</v>
      </c>
      <c r="C55" s="119" t="s">
        <v>189</v>
      </c>
      <c r="D55" s="144" t="str">
        <f>"Jul "&amp;$D$3-2&amp;" - Jun "&amp;$D$3-1</f>
        <v>Jul 2016 - Jun 2017</v>
      </c>
      <c r="E55" s="144" t="str">
        <f>"Oct "&amp;$D$3-2&amp;" - Sep "&amp;$D$3-1</f>
        <v>Oct 2016 - Sep 2017</v>
      </c>
      <c r="F55" s="144" t="str">
        <f>"Jan "&amp;$D$3-1&amp;" - Dec "&amp;$D$3-1</f>
        <v>Jan 2017 - Dec 2017</v>
      </c>
      <c r="G55" s="144" t="str">
        <f>"Apr "&amp;$D$3-1&amp;" - Mar "&amp;$D$3</f>
        <v>Apr 2017 - Mar 2018</v>
      </c>
      <c r="I55" s="225"/>
    </row>
    <row r="56" spans="1:9" ht="15" customHeight="1" x14ac:dyDescent="0.2">
      <c r="A56" s="132"/>
      <c r="B56" s="131" t="s">
        <v>176</v>
      </c>
      <c r="C56" s="98" t="s">
        <v>173</v>
      </c>
      <c r="D56" s="121" t="str">
        <f>"Oct 31, "&amp;$D$3-1</f>
        <v>Oct 31, 2017</v>
      </c>
      <c r="E56" s="121" t="str">
        <f>"Jan 31, "&amp;$D$3</f>
        <v>Jan 31, 2018</v>
      </c>
      <c r="F56" s="121" t="str">
        <f>"Apr 30, "&amp;$D$3</f>
        <v>Apr 30, 2018</v>
      </c>
      <c r="G56" s="121" t="str">
        <f>"Jul 31, "&amp;$D$3</f>
        <v>Jul 31, 2018</v>
      </c>
      <c r="I56" s="225"/>
    </row>
    <row r="57" spans="1:9" ht="15" customHeight="1" x14ac:dyDescent="0.2">
      <c r="A57" s="145"/>
      <c r="B57" s="133"/>
      <c r="C57" s="98" t="s">
        <v>174</v>
      </c>
      <c r="D57" s="143" t="s">
        <v>175</v>
      </c>
      <c r="E57" s="143" t="s">
        <v>175</v>
      </c>
      <c r="F57" s="143" t="s">
        <v>175</v>
      </c>
      <c r="G57" s="143" t="s">
        <v>175</v>
      </c>
      <c r="I57" s="225"/>
    </row>
    <row r="58" spans="1:9" ht="15" customHeight="1" x14ac:dyDescent="0.2">
      <c r="A58" s="146" t="s">
        <v>190</v>
      </c>
    </row>
    <row r="59" spans="1:9" x14ac:dyDescent="0.2">
      <c r="A59" s="446" t="s">
        <v>472</v>
      </c>
    </row>
  </sheetData>
  <sheetProtection sheet="1" objects="1" scenarios="1"/>
  <mergeCells count="1">
    <mergeCell ref="I8:I9"/>
  </mergeCells>
  <printOptions horizontalCentered="1"/>
  <pageMargins left="0.3" right="0.3" top="0.5" bottom="0.5" header="0.5" footer="0.5"/>
  <pageSetup scale="61" orientation="landscape" r:id="rId1"/>
  <headerFooter alignWithMargins="0"/>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N60"/>
  <sheetViews>
    <sheetView showGridLines="0" workbookViewId="0">
      <pane ySplit="10" topLeftCell="A11" activePane="bottomLeft" state="frozen"/>
      <selection activeCell="A18" sqref="A18"/>
      <selection pane="bottomLeft" activeCell="L18" sqref="L18"/>
    </sheetView>
  </sheetViews>
  <sheetFormatPr defaultRowHeight="12.75" x14ac:dyDescent="0.2"/>
  <cols>
    <col min="1" max="1" width="57.28515625" customWidth="1"/>
    <col min="2" max="2" width="21" bestFit="1" customWidth="1"/>
    <col min="3" max="3" width="19.5703125" bestFit="1" customWidth="1"/>
    <col min="4" max="5" width="18.42578125" hidden="1" customWidth="1"/>
    <col min="6" max="6" width="18.28515625" hidden="1" customWidth="1"/>
    <col min="7" max="7" width="18.140625" bestFit="1" customWidth="1"/>
    <col min="8" max="9" width="18.42578125" bestFit="1" customWidth="1"/>
    <col min="10" max="10" width="18.28515625" customWidth="1"/>
    <col min="11" max="11" width="18.140625" customWidth="1"/>
    <col min="13" max="13" width="11.42578125" customWidth="1"/>
    <col min="261" max="261" width="57.28515625" customWidth="1"/>
    <col min="262" max="262" width="21" bestFit="1" customWidth="1"/>
    <col min="263" max="263" width="19.5703125" bestFit="1" customWidth="1"/>
    <col min="264" max="265" width="18.42578125" bestFit="1" customWidth="1"/>
    <col min="266" max="266" width="18.28515625" bestFit="1" customWidth="1"/>
    <col min="267" max="267" width="18.140625" bestFit="1" customWidth="1"/>
    <col min="517" max="517" width="57.28515625" customWidth="1"/>
    <col min="518" max="518" width="21" bestFit="1" customWidth="1"/>
    <col min="519" max="519" width="19.5703125" bestFit="1" customWidth="1"/>
    <col min="520" max="521" width="18.42578125" bestFit="1" customWidth="1"/>
    <col min="522" max="522" width="18.28515625" bestFit="1" customWidth="1"/>
    <col min="523" max="523" width="18.140625" bestFit="1" customWidth="1"/>
    <col min="773" max="773" width="57.28515625" customWidth="1"/>
    <col min="774" max="774" width="21" bestFit="1" customWidth="1"/>
    <col min="775" max="775" width="19.5703125" bestFit="1" customWidth="1"/>
    <col min="776" max="777" width="18.42578125" bestFit="1" customWidth="1"/>
    <col min="778" max="778" width="18.28515625" bestFit="1" customWidth="1"/>
    <col min="779" max="779" width="18.140625" bestFit="1" customWidth="1"/>
    <col min="1029" max="1029" width="57.28515625" customWidth="1"/>
    <col min="1030" max="1030" width="21" bestFit="1" customWidth="1"/>
    <col min="1031" max="1031" width="19.5703125" bestFit="1" customWidth="1"/>
    <col min="1032" max="1033" width="18.42578125" bestFit="1" customWidth="1"/>
    <col min="1034" max="1034" width="18.28515625" bestFit="1" customWidth="1"/>
    <col min="1035" max="1035" width="18.140625" bestFit="1" customWidth="1"/>
    <col min="1285" max="1285" width="57.28515625" customWidth="1"/>
    <col min="1286" max="1286" width="21" bestFit="1" customWidth="1"/>
    <col min="1287" max="1287" width="19.5703125" bestFit="1" customWidth="1"/>
    <col min="1288" max="1289" width="18.42578125" bestFit="1" customWidth="1"/>
    <col min="1290" max="1290" width="18.28515625" bestFit="1" customWidth="1"/>
    <col min="1291" max="1291" width="18.140625" bestFit="1" customWidth="1"/>
    <col min="1541" max="1541" width="57.28515625" customWidth="1"/>
    <col min="1542" max="1542" width="21" bestFit="1" customWidth="1"/>
    <col min="1543" max="1543" width="19.5703125" bestFit="1" customWidth="1"/>
    <col min="1544" max="1545" width="18.42578125" bestFit="1" customWidth="1"/>
    <col min="1546" max="1546" width="18.28515625" bestFit="1" customWidth="1"/>
    <col min="1547" max="1547" width="18.140625" bestFit="1" customWidth="1"/>
    <col min="1797" max="1797" width="57.28515625" customWidth="1"/>
    <col min="1798" max="1798" width="21" bestFit="1" customWidth="1"/>
    <col min="1799" max="1799" width="19.5703125" bestFit="1" customWidth="1"/>
    <col min="1800" max="1801" width="18.42578125" bestFit="1" customWidth="1"/>
    <col min="1802" max="1802" width="18.28515625" bestFit="1" customWidth="1"/>
    <col min="1803" max="1803" width="18.140625" bestFit="1" customWidth="1"/>
    <col min="2053" max="2053" width="57.28515625" customWidth="1"/>
    <col min="2054" max="2054" width="21" bestFit="1" customWidth="1"/>
    <col min="2055" max="2055" width="19.5703125" bestFit="1" customWidth="1"/>
    <col min="2056" max="2057" width="18.42578125" bestFit="1" customWidth="1"/>
    <col min="2058" max="2058" width="18.28515625" bestFit="1" customWidth="1"/>
    <col min="2059" max="2059" width="18.140625" bestFit="1" customWidth="1"/>
    <col min="2309" max="2309" width="57.28515625" customWidth="1"/>
    <col min="2310" max="2310" width="21" bestFit="1" customWidth="1"/>
    <col min="2311" max="2311" width="19.5703125" bestFit="1" customWidth="1"/>
    <col min="2312" max="2313" width="18.42578125" bestFit="1" customWidth="1"/>
    <col min="2314" max="2314" width="18.28515625" bestFit="1" customWidth="1"/>
    <col min="2315" max="2315" width="18.140625" bestFit="1" customWidth="1"/>
    <col min="2565" max="2565" width="57.28515625" customWidth="1"/>
    <col min="2566" max="2566" width="21" bestFit="1" customWidth="1"/>
    <col min="2567" max="2567" width="19.5703125" bestFit="1" customWidth="1"/>
    <col min="2568" max="2569" width="18.42578125" bestFit="1" customWidth="1"/>
    <col min="2570" max="2570" width="18.28515625" bestFit="1" customWidth="1"/>
    <col min="2571" max="2571" width="18.140625" bestFit="1" customWidth="1"/>
    <col min="2821" max="2821" width="57.28515625" customWidth="1"/>
    <col min="2822" max="2822" width="21" bestFit="1" customWidth="1"/>
    <col min="2823" max="2823" width="19.5703125" bestFit="1" customWidth="1"/>
    <col min="2824" max="2825" width="18.42578125" bestFit="1" customWidth="1"/>
    <col min="2826" max="2826" width="18.28515625" bestFit="1" customWidth="1"/>
    <col min="2827" max="2827" width="18.140625" bestFit="1" customWidth="1"/>
    <col min="3077" max="3077" width="57.28515625" customWidth="1"/>
    <col min="3078" max="3078" width="21" bestFit="1" customWidth="1"/>
    <col min="3079" max="3079" width="19.5703125" bestFit="1" customWidth="1"/>
    <col min="3080" max="3081" width="18.42578125" bestFit="1" customWidth="1"/>
    <col min="3082" max="3082" width="18.28515625" bestFit="1" customWidth="1"/>
    <col min="3083" max="3083" width="18.140625" bestFit="1" customWidth="1"/>
    <col min="3333" max="3333" width="57.28515625" customWidth="1"/>
    <col min="3334" max="3334" width="21" bestFit="1" customWidth="1"/>
    <col min="3335" max="3335" width="19.5703125" bestFit="1" customWidth="1"/>
    <col min="3336" max="3337" width="18.42578125" bestFit="1" customWidth="1"/>
    <col min="3338" max="3338" width="18.28515625" bestFit="1" customWidth="1"/>
    <col min="3339" max="3339" width="18.140625" bestFit="1" customWidth="1"/>
    <col min="3589" max="3589" width="57.28515625" customWidth="1"/>
    <col min="3590" max="3590" width="21" bestFit="1" customWidth="1"/>
    <col min="3591" max="3591" width="19.5703125" bestFit="1" customWidth="1"/>
    <col min="3592" max="3593" width="18.42578125" bestFit="1" customWidth="1"/>
    <col min="3594" max="3594" width="18.28515625" bestFit="1" customWidth="1"/>
    <col min="3595" max="3595" width="18.140625" bestFit="1" customWidth="1"/>
    <col min="3845" max="3845" width="57.28515625" customWidth="1"/>
    <col min="3846" max="3846" width="21" bestFit="1" customWidth="1"/>
    <col min="3847" max="3847" width="19.5703125" bestFit="1" customWidth="1"/>
    <col min="3848" max="3849" width="18.42578125" bestFit="1" customWidth="1"/>
    <col min="3850" max="3850" width="18.28515625" bestFit="1" customWidth="1"/>
    <col min="3851" max="3851" width="18.140625" bestFit="1" customWidth="1"/>
    <col min="4101" max="4101" width="57.28515625" customWidth="1"/>
    <col min="4102" max="4102" width="21" bestFit="1" customWidth="1"/>
    <col min="4103" max="4103" width="19.5703125" bestFit="1" customWidth="1"/>
    <col min="4104" max="4105" width="18.42578125" bestFit="1" customWidth="1"/>
    <col min="4106" max="4106" width="18.28515625" bestFit="1" customWidth="1"/>
    <col min="4107" max="4107" width="18.140625" bestFit="1" customWidth="1"/>
    <col min="4357" max="4357" width="57.28515625" customWidth="1"/>
    <col min="4358" max="4358" width="21" bestFit="1" customWidth="1"/>
    <col min="4359" max="4359" width="19.5703125" bestFit="1" customWidth="1"/>
    <col min="4360" max="4361" width="18.42578125" bestFit="1" customWidth="1"/>
    <col min="4362" max="4362" width="18.28515625" bestFit="1" customWidth="1"/>
    <col min="4363" max="4363" width="18.140625" bestFit="1" customWidth="1"/>
    <col min="4613" max="4613" width="57.28515625" customWidth="1"/>
    <col min="4614" max="4614" width="21" bestFit="1" customWidth="1"/>
    <col min="4615" max="4615" width="19.5703125" bestFit="1" customWidth="1"/>
    <col min="4616" max="4617" width="18.42578125" bestFit="1" customWidth="1"/>
    <col min="4618" max="4618" width="18.28515625" bestFit="1" customWidth="1"/>
    <col min="4619" max="4619" width="18.140625" bestFit="1" customWidth="1"/>
    <col min="4869" max="4869" width="57.28515625" customWidth="1"/>
    <col min="4870" max="4870" width="21" bestFit="1" customWidth="1"/>
    <col min="4871" max="4871" width="19.5703125" bestFit="1" customWidth="1"/>
    <col min="4872" max="4873" width="18.42578125" bestFit="1" customWidth="1"/>
    <col min="4874" max="4874" width="18.28515625" bestFit="1" customWidth="1"/>
    <col min="4875" max="4875" width="18.140625" bestFit="1" customWidth="1"/>
    <col min="5125" max="5125" width="57.28515625" customWidth="1"/>
    <col min="5126" max="5126" width="21" bestFit="1" customWidth="1"/>
    <col min="5127" max="5127" width="19.5703125" bestFit="1" customWidth="1"/>
    <col min="5128" max="5129" width="18.42578125" bestFit="1" customWidth="1"/>
    <col min="5130" max="5130" width="18.28515625" bestFit="1" customWidth="1"/>
    <col min="5131" max="5131" width="18.140625" bestFit="1" customWidth="1"/>
    <col min="5381" max="5381" width="57.28515625" customWidth="1"/>
    <col min="5382" max="5382" width="21" bestFit="1" customWidth="1"/>
    <col min="5383" max="5383" width="19.5703125" bestFit="1" customWidth="1"/>
    <col min="5384" max="5385" width="18.42578125" bestFit="1" customWidth="1"/>
    <col min="5386" max="5386" width="18.28515625" bestFit="1" customWidth="1"/>
    <col min="5387" max="5387" width="18.140625" bestFit="1" customWidth="1"/>
    <col min="5637" max="5637" width="57.28515625" customWidth="1"/>
    <col min="5638" max="5638" width="21" bestFit="1" customWidth="1"/>
    <col min="5639" max="5639" width="19.5703125" bestFit="1" customWidth="1"/>
    <col min="5640" max="5641" width="18.42578125" bestFit="1" customWidth="1"/>
    <col min="5642" max="5642" width="18.28515625" bestFit="1" customWidth="1"/>
    <col min="5643" max="5643" width="18.140625" bestFit="1" customWidth="1"/>
    <col min="5893" max="5893" width="57.28515625" customWidth="1"/>
    <col min="5894" max="5894" width="21" bestFit="1" customWidth="1"/>
    <col min="5895" max="5895" width="19.5703125" bestFit="1" customWidth="1"/>
    <col min="5896" max="5897" width="18.42578125" bestFit="1" customWidth="1"/>
    <col min="5898" max="5898" width="18.28515625" bestFit="1" customWidth="1"/>
    <col min="5899" max="5899" width="18.140625" bestFit="1" customWidth="1"/>
    <col min="6149" max="6149" width="57.28515625" customWidth="1"/>
    <col min="6150" max="6150" width="21" bestFit="1" customWidth="1"/>
    <col min="6151" max="6151" width="19.5703125" bestFit="1" customWidth="1"/>
    <col min="6152" max="6153" width="18.42578125" bestFit="1" customWidth="1"/>
    <col min="6154" max="6154" width="18.28515625" bestFit="1" customWidth="1"/>
    <col min="6155" max="6155" width="18.140625" bestFit="1" customWidth="1"/>
    <col min="6405" max="6405" width="57.28515625" customWidth="1"/>
    <col min="6406" max="6406" width="21" bestFit="1" customWidth="1"/>
    <col min="6407" max="6407" width="19.5703125" bestFit="1" customWidth="1"/>
    <col min="6408" max="6409" width="18.42578125" bestFit="1" customWidth="1"/>
    <col min="6410" max="6410" width="18.28515625" bestFit="1" customWidth="1"/>
    <col min="6411" max="6411" width="18.140625" bestFit="1" customWidth="1"/>
    <col min="6661" max="6661" width="57.28515625" customWidth="1"/>
    <col min="6662" max="6662" width="21" bestFit="1" customWidth="1"/>
    <col min="6663" max="6663" width="19.5703125" bestFit="1" customWidth="1"/>
    <col min="6664" max="6665" width="18.42578125" bestFit="1" customWidth="1"/>
    <col min="6666" max="6666" width="18.28515625" bestFit="1" customWidth="1"/>
    <col min="6667" max="6667" width="18.140625" bestFit="1" customWidth="1"/>
    <col min="6917" max="6917" width="57.28515625" customWidth="1"/>
    <col min="6918" max="6918" width="21" bestFit="1" customWidth="1"/>
    <col min="6919" max="6919" width="19.5703125" bestFit="1" customWidth="1"/>
    <col min="6920" max="6921" width="18.42578125" bestFit="1" customWidth="1"/>
    <col min="6922" max="6922" width="18.28515625" bestFit="1" customWidth="1"/>
    <col min="6923" max="6923" width="18.140625" bestFit="1" customWidth="1"/>
    <col min="7173" max="7173" width="57.28515625" customWidth="1"/>
    <col min="7174" max="7174" width="21" bestFit="1" customWidth="1"/>
    <col min="7175" max="7175" width="19.5703125" bestFit="1" customWidth="1"/>
    <col min="7176" max="7177" width="18.42578125" bestFit="1" customWidth="1"/>
    <col min="7178" max="7178" width="18.28515625" bestFit="1" customWidth="1"/>
    <col min="7179" max="7179" width="18.140625" bestFit="1" customWidth="1"/>
    <col min="7429" max="7429" width="57.28515625" customWidth="1"/>
    <col min="7430" max="7430" width="21" bestFit="1" customWidth="1"/>
    <col min="7431" max="7431" width="19.5703125" bestFit="1" customWidth="1"/>
    <col min="7432" max="7433" width="18.42578125" bestFit="1" customWidth="1"/>
    <col min="7434" max="7434" width="18.28515625" bestFit="1" customWidth="1"/>
    <col min="7435" max="7435" width="18.140625" bestFit="1" customWidth="1"/>
    <col min="7685" max="7685" width="57.28515625" customWidth="1"/>
    <col min="7686" max="7686" width="21" bestFit="1" customWidth="1"/>
    <col min="7687" max="7687" width="19.5703125" bestFit="1" customWidth="1"/>
    <col min="7688" max="7689" width="18.42578125" bestFit="1" customWidth="1"/>
    <col min="7690" max="7690" width="18.28515625" bestFit="1" customWidth="1"/>
    <col min="7691" max="7691" width="18.140625" bestFit="1" customWidth="1"/>
    <col min="7941" max="7941" width="57.28515625" customWidth="1"/>
    <col min="7942" max="7942" width="21" bestFit="1" customWidth="1"/>
    <col min="7943" max="7943" width="19.5703125" bestFit="1" customWidth="1"/>
    <col min="7944" max="7945" width="18.42578125" bestFit="1" customWidth="1"/>
    <col min="7946" max="7946" width="18.28515625" bestFit="1" customWidth="1"/>
    <col min="7947" max="7947" width="18.140625" bestFit="1" customWidth="1"/>
    <col min="8197" max="8197" width="57.28515625" customWidth="1"/>
    <col min="8198" max="8198" width="21" bestFit="1" customWidth="1"/>
    <col min="8199" max="8199" width="19.5703125" bestFit="1" customWidth="1"/>
    <col min="8200" max="8201" width="18.42578125" bestFit="1" customWidth="1"/>
    <col min="8202" max="8202" width="18.28515625" bestFit="1" customWidth="1"/>
    <col min="8203" max="8203" width="18.140625" bestFit="1" customWidth="1"/>
    <col min="8453" max="8453" width="57.28515625" customWidth="1"/>
    <col min="8454" max="8454" width="21" bestFit="1" customWidth="1"/>
    <col min="8455" max="8455" width="19.5703125" bestFit="1" customWidth="1"/>
    <col min="8456" max="8457" width="18.42578125" bestFit="1" customWidth="1"/>
    <col min="8458" max="8458" width="18.28515625" bestFit="1" customWidth="1"/>
    <col min="8459" max="8459" width="18.140625" bestFit="1" customWidth="1"/>
    <col min="8709" max="8709" width="57.28515625" customWidth="1"/>
    <col min="8710" max="8710" width="21" bestFit="1" customWidth="1"/>
    <col min="8711" max="8711" width="19.5703125" bestFit="1" customWidth="1"/>
    <col min="8712" max="8713" width="18.42578125" bestFit="1" customWidth="1"/>
    <col min="8714" max="8714" width="18.28515625" bestFit="1" customWidth="1"/>
    <col min="8715" max="8715" width="18.140625" bestFit="1" customWidth="1"/>
    <col min="8965" max="8965" width="57.28515625" customWidth="1"/>
    <col min="8966" max="8966" width="21" bestFit="1" customWidth="1"/>
    <col min="8967" max="8967" width="19.5703125" bestFit="1" customWidth="1"/>
    <col min="8968" max="8969" width="18.42578125" bestFit="1" customWidth="1"/>
    <col min="8970" max="8970" width="18.28515625" bestFit="1" customWidth="1"/>
    <col min="8971" max="8971" width="18.140625" bestFit="1" customWidth="1"/>
    <col min="9221" max="9221" width="57.28515625" customWidth="1"/>
    <col min="9222" max="9222" width="21" bestFit="1" customWidth="1"/>
    <col min="9223" max="9223" width="19.5703125" bestFit="1" customWidth="1"/>
    <col min="9224" max="9225" width="18.42578125" bestFit="1" customWidth="1"/>
    <col min="9226" max="9226" width="18.28515625" bestFit="1" customWidth="1"/>
    <col min="9227" max="9227" width="18.140625" bestFit="1" customWidth="1"/>
    <col min="9477" max="9477" width="57.28515625" customWidth="1"/>
    <col min="9478" max="9478" width="21" bestFit="1" customWidth="1"/>
    <col min="9479" max="9479" width="19.5703125" bestFit="1" customWidth="1"/>
    <col min="9480" max="9481" width="18.42578125" bestFit="1" customWidth="1"/>
    <col min="9482" max="9482" width="18.28515625" bestFit="1" customWidth="1"/>
    <col min="9483" max="9483" width="18.140625" bestFit="1" customWidth="1"/>
    <col min="9733" max="9733" width="57.28515625" customWidth="1"/>
    <col min="9734" max="9734" width="21" bestFit="1" customWidth="1"/>
    <col min="9735" max="9735" width="19.5703125" bestFit="1" customWidth="1"/>
    <col min="9736" max="9737" width="18.42578125" bestFit="1" customWidth="1"/>
    <col min="9738" max="9738" width="18.28515625" bestFit="1" customWidth="1"/>
    <col min="9739" max="9739" width="18.140625" bestFit="1" customWidth="1"/>
    <col min="9989" max="9989" width="57.28515625" customWidth="1"/>
    <col min="9990" max="9990" width="21" bestFit="1" customWidth="1"/>
    <col min="9991" max="9991" width="19.5703125" bestFit="1" customWidth="1"/>
    <col min="9992" max="9993" width="18.42578125" bestFit="1" customWidth="1"/>
    <col min="9994" max="9994" width="18.28515625" bestFit="1" customWidth="1"/>
    <col min="9995" max="9995" width="18.140625" bestFit="1" customWidth="1"/>
    <col min="10245" max="10245" width="57.28515625" customWidth="1"/>
    <col min="10246" max="10246" width="21" bestFit="1" customWidth="1"/>
    <col min="10247" max="10247" width="19.5703125" bestFit="1" customWidth="1"/>
    <col min="10248" max="10249" width="18.42578125" bestFit="1" customWidth="1"/>
    <col min="10250" max="10250" width="18.28515625" bestFit="1" customWidth="1"/>
    <col min="10251" max="10251" width="18.140625" bestFit="1" customWidth="1"/>
    <col min="10501" max="10501" width="57.28515625" customWidth="1"/>
    <col min="10502" max="10502" width="21" bestFit="1" customWidth="1"/>
    <col min="10503" max="10503" width="19.5703125" bestFit="1" customWidth="1"/>
    <col min="10504" max="10505" width="18.42578125" bestFit="1" customWidth="1"/>
    <col min="10506" max="10506" width="18.28515625" bestFit="1" customWidth="1"/>
    <col min="10507" max="10507" width="18.140625" bestFit="1" customWidth="1"/>
    <col min="10757" max="10757" width="57.28515625" customWidth="1"/>
    <col min="10758" max="10758" width="21" bestFit="1" customWidth="1"/>
    <col min="10759" max="10759" width="19.5703125" bestFit="1" customWidth="1"/>
    <col min="10760" max="10761" width="18.42578125" bestFit="1" customWidth="1"/>
    <col min="10762" max="10762" width="18.28515625" bestFit="1" customWidth="1"/>
    <col min="10763" max="10763" width="18.140625" bestFit="1" customWidth="1"/>
    <col min="11013" max="11013" width="57.28515625" customWidth="1"/>
    <col min="11014" max="11014" width="21" bestFit="1" customWidth="1"/>
    <col min="11015" max="11015" width="19.5703125" bestFit="1" customWidth="1"/>
    <col min="11016" max="11017" width="18.42578125" bestFit="1" customWidth="1"/>
    <col min="11018" max="11018" width="18.28515625" bestFit="1" customWidth="1"/>
    <col min="11019" max="11019" width="18.140625" bestFit="1" customWidth="1"/>
    <col min="11269" max="11269" width="57.28515625" customWidth="1"/>
    <col min="11270" max="11270" width="21" bestFit="1" customWidth="1"/>
    <col min="11271" max="11271" width="19.5703125" bestFit="1" customWidth="1"/>
    <col min="11272" max="11273" width="18.42578125" bestFit="1" customWidth="1"/>
    <col min="11274" max="11274" width="18.28515625" bestFit="1" customWidth="1"/>
    <col min="11275" max="11275" width="18.140625" bestFit="1" customWidth="1"/>
    <col min="11525" max="11525" width="57.28515625" customWidth="1"/>
    <col min="11526" max="11526" width="21" bestFit="1" customWidth="1"/>
    <col min="11527" max="11527" width="19.5703125" bestFit="1" customWidth="1"/>
    <col min="11528" max="11529" width="18.42578125" bestFit="1" customWidth="1"/>
    <col min="11530" max="11530" width="18.28515625" bestFit="1" customWidth="1"/>
    <col min="11531" max="11531" width="18.140625" bestFit="1" customWidth="1"/>
    <col min="11781" max="11781" width="57.28515625" customWidth="1"/>
    <col min="11782" max="11782" width="21" bestFit="1" customWidth="1"/>
    <col min="11783" max="11783" width="19.5703125" bestFit="1" customWidth="1"/>
    <col min="11784" max="11785" width="18.42578125" bestFit="1" customWidth="1"/>
    <col min="11786" max="11786" width="18.28515625" bestFit="1" customWidth="1"/>
    <col min="11787" max="11787" width="18.140625" bestFit="1" customWidth="1"/>
    <col min="12037" max="12037" width="57.28515625" customWidth="1"/>
    <col min="12038" max="12038" width="21" bestFit="1" customWidth="1"/>
    <col min="12039" max="12039" width="19.5703125" bestFit="1" customWidth="1"/>
    <col min="12040" max="12041" width="18.42578125" bestFit="1" customWidth="1"/>
    <col min="12042" max="12042" width="18.28515625" bestFit="1" customWidth="1"/>
    <col min="12043" max="12043" width="18.140625" bestFit="1" customWidth="1"/>
    <col min="12293" max="12293" width="57.28515625" customWidth="1"/>
    <col min="12294" max="12294" width="21" bestFit="1" customWidth="1"/>
    <col min="12295" max="12295" width="19.5703125" bestFit="1" customWidth="1"/>
    <col min="12296" max="12297" width="18.42578125" bestFit="1" customWidth="1"/>
    <col min="12298" max="12298" width="18.28515625" bestFit="1" customWidth="1"/>
    <col min="12299" max="12299" width="18.140625" bestFit="1" customWidth="1"/>
    <col min="12549" max="12549" width="57.28515625" customWidth="1"/>
    <col min="12550" max="12550" width="21" bestFit="1" customWidth="1"/>
    <col min="12551" max="12551" width="19.5703125" bestFit="1" customWidth="1"/>
    <col min="12552" max="12553" width="18.42578125" bestFit="1" customWidth="1"/>
    <col min="12554" max="12554" width="18.28515625" bestFit="1" customWidth="1"/>
    <col min="12555" max="12555" width="18.140625" bestFit="1" customWidth="1"/>
    <col min="12805" max="12805" width="57.28515625" customWidth="1"/>
    <col min="12806" max="12806" width="21" bestFit="1" customWidth="1"/>
    <col min="12807" max="12807" width="19.5703125" bestFit="1" customWidth="1"/>
    <col min="12808" max="12809" width="18.42578125" bestFit="1" customWidth="1"/>
    <col min="12810" max="12810" width="18.28515625" bestFit="1" customWidth="1"/>
    <col min="12811" max="12811" width="18.140625" bestFit="1" customWidth="1"/>
    <col min="13061" max="13061" width="57.28515625" customWidth="1"/>
    <col min="13062" max="13062" width="21" bestFit="1" customWidth="1"/>
    <col min="13063" max="13063" width="19.5703125" bestFit="1" customWidth="1"/>
    <col min="13064" max="13065" width="18.42578125" bestFit="1" customWidth="1"/>
    <col min="13066" max="13066" width="18.28515625" bestFit="1" customWidth="1"/>
    <col min="13067" max="13067" width="18.140625" bestFit="1" customWidth="1"/>
    <col min="13317" max="13317" width="57.28515625" customWidth="1"/>
    <col min="13318" max="13318" width="21" bestFit="1" customWidth="1"/>
    <col min="13319" max="13319" width="19.5703125" bestFit="1" customWidth="1"/>
    <col min="13320" max="13321" width="18.42578125" bestFit="1" customWidth="1"/>
    <col min="13322" max="13322" width="18.28515625" bestFit="1" customWidth="1"/>
    <col min="13323" max="13323" width="18.140625" bestFit="1" customWidth="1"/>
    <col min="13573" max="13573" width="57.28515625" customWidth="1"/>
    <col min="13574" max="13574" width="21" bestFit="1" customWidth="1"/>
    <col min="13575" max="13575" width="19.5703125" bestFit="1" customWidth="1"/>
    <col min="13576" max="13577" width="18.42578125" bestFit="1" customWidth="1"/>
    <col min="13578" max="13578" width="18.28515625" bestFit="1" customWidth="1"/>
    <col min="13579" max="13579" width="18.140625" bestFit="1" customWidth="1"/>
    <col min="13829" max="13829" width="57.28515625" customWidth="1"/>
    <col min="13830" max="13830" width="21" bestFit="1" customWidth="1"/>
    <col min="13831" max="13831" width="19.5703125" bestFit="1" customWidth="1"/>
    <col min="13832" max="13833" width="18.42578125" bestFit="1" customWidth="1"/>
    <col min="13834" max="13834" width="18.28515625" bestFit="1" customWidth="1"/>
    <col min="13835" max="13835" width="18.140625" bestFit="1" customWidth="1"/>
    <col min="14085" max="14085" width="57.28515625" customWidth="1"/>
    <col min="14086" max="14086" width="21" bestFit="1" customWidth="1"/>
    <col min="14087" max="14087" width="19.5703125" bestFit="1" customWidth="1"/>
    <col min="14088" max="14089" width="18.42578125" bestFit="1" customWidth="1"/>
    <col min="14090" max="14090" width="18.28515625" bestFit="1" customWidth="1"/>
    <col min="14091" max="14091" width="18.140625" bestFit="1" customWidth="1"/>
    <col min="14341" max="14341" width="57.28515625" customWidth="1"/>
    <col min="14342" max="14342" width="21" bestFit="1" customWidth="1"/>
    <col min="14343" max="14343" width="19.5703125" bestFit="1" customWidth="1"/>
    <col min="14344" max="14345" width="18.42578125" bestFit="1" customWidth="1"/>
    <col min="14346" max="14346" width="18.28515625" bestFit="1" customWidth="1"/>
    <col min="14347" max="14347" width="18.140625" bestFit="1" customWidth="1"/>
    <col min="14597" max="14597" width="57.28515625" customWidth="1"/>
    <col min="14598" max="14598" width="21" bestFit="1" customWidth="1"/>
    <col min="14599" max="14599" width="19.5703125" bestFit="1" customWidth="1"/>
    <col min="14600" max="14601" width="18.42578125" bestFit="1" customWidth="1"/>
    <col min="14602" max="14602" width="18.28515625" bestFit="1" customWidth="1"/>
    <col min="14603" max="14603" width="18.140625" bestFit="1" customWidth="1"/>
    <col min="14853" max="14853" width="57.28515625" customWidth="1"/>
    <col min="14854" max="14854" width="21" bestFit="1" customWidth="1"/>
    <col min="14855" max="14855" width="19.5703125" bestFit="1" customWidth="1"/>
    <col min="14856" max="14857" width="18.42578125" bestFit="1" customWidth="1"/>
    <col min="14858" max="14858" width="18.28515625" bestFit="1" customWidth="1"/>
    <col min="14859" max="14859" width="18.140625" bestFit="1" customWidth="1"/>
    <col min="15109" max="15109" width="57.28515625" customWidth="1"/>
    <col min="15110" max="15110" width="21" bestFit="1" customWidth="1"/>
    <col min="15111" max="15111" width="19.5703125" bestFit="1" customWidth="1"/>
    <col min="15112" max="15113" width="18.42578125" bestFit="1" customWidth="1"/>
    <col min="15114" max="15114" width="18.28515625" bestFit="1" customWidth="1"/>
    <col min="15115" max="15115" width="18.140625" bestFit="1" customWidth="1"/>
    <col min="15365" max="15365" width="57.28515625" customWidth="1"/>
    <col min="15366" max="15366" width="21" bestFit="1" customWidth="1"/>
    <col min="15367" max="15367" width="19.5703125" bestFit="1" customWidth="1"/>
    <col min="15368" max="15369" width="18.42578125" bestFit="1" customWidth="1"/>
    <col min="15370" max="15370" width="18.28515625" bestFit="1" customWidth="1"/>
    <col min="15371" max="15371" width="18.140625" bestFit="1" customWidth="1"/>
    <col min="15621" max="15621" width="57.28515625" customWidth="1"/>
    <col min="15622" max="15622" width="21" bestFit="1" customWidth="1"/>
    <col min="15623" max="15623" width="19.5703125" bestFit="1" customWidth="1"/>
    <col min="15624" max="15625" width="18.42578125" bestFit="1" customWidth="1"/>
    <col min="15626" max="15626" width="18.28515625" bestFit="1" customWidth="1"/>
    <col min="15627" max="15627" width="18.140625" bestFit="1" customWidth="1"/>
    <col min="15877" max="15877" width="57.28515625" customWidth="1"/>
    <col min="15878" max="15878" width="21" bestFit="1" customWidth="1"/>
    <col min="15879" max="15879" width="19.5703125" bestFit="1" customWidth="1"/>
    <col min="15880" max="15881" width="18.42578125" bestFit="1" customWidth="1"/>
    <col min="15882" max="15882" width="18.28515625" bestFit="1" customWidth="1"/>
    <col min="15883" max="15883" width="18.140625" bestFit="1" customWidth="1"/>
    <col min="16133" max="16133" width="57.28515625" customWidth="1"/>
    <col min="16134" max="16134" width="21" bestFit="1" customWidth="1"/>
    <col min="16135" max="16135" width="19.5703125" bestFit="1" customWidth="1"/>
    <col min="16136" max="16137" width="18.42578125" bestFit="1" customWidth="1"/>
    <col min="16138" max="16138" width="18.28515625" bestFit="1" customWidth="1"/>
    <col min="16139" max="16139" width="18.140625" bestFit="1" customWidth="1"/>
  </cols>
  <sheetData>
    <row r="1" spans="1:13" ht="15.75" x14ac:dyDescent="0.25">
      <c r="A1" s="88" t="s">
        <v>450</v>
      </c>
      <c r="B1" s="89"/>
      <c r="C1" s="89"/>
      <c r="D1" s="89"/>
      <c r="E1" s="89"/>
      <c r="F1" s="89"/>
      <c r="G1" s="89"/>
      <c r="H1" s="89"/>
      <c r="I1" s="89"/>
      <c r="J1" s="89"/>
      <c r="K1" s="89"/>
    </row>
    <row r="2" spans="1:13" ht="15.75" x14ac:dyDescent="0.25">
      <c r="A2" s="88"/>
      <c r="B2" s="89"/>
      <c r="C2" s="89"/>
      <c r="D2" s="89"/>
      <c r="E2" s="89"/>
      <c r="F2" s="89"/>
      <c r="G2" s="89"/>
      <c r="H2" s="89"/>
      <c r="I2" s="89"/>
      <c r="J2" s="89"/>
      <c r="K2" s="89"/>
    </row>
    <row r="3" spans="1:13" ht="15.75" x14ac:dyDescent="0.25">
      <c r="A3" s="90"/>
      <c r="B3" s="91"/>
      <c r="C3" s="92"/>
    </row>
    <row r="4" spans="1:13" s="22" customFormat="1" ht="20.100000000000001" customHeight="1" x14ac:dyDescent="0.2">
      <c r="A4" s="93" t="s">
        <v>445</v>
      </c>
      <c r="E4" s="94"/>
      <c r="F4" s="94"/>
      <c r="G4" s="148">
        <f>H4-1</f>
        <v>2017</v>
      </c>
      <c r="H4" s="148">
        <f>'Set-Up Worksheet'!F3</f>
        <v>2018</v>
      </c>
      <c r="I4" s="430"/>
      <c r="J4" s="94"/>
      <c r="K4" s="94"/>
    </row>
    <row r="5" spans="1:13" s="30" customFormat="1" ht="20.100000000000001" customHeight="1" x14ac:dyDescent="0.2">
      <c r="A5" s="439" t="s">
        <v>449</v>
      </c>
      <c r="B5" s="96"/>
      <c r="C5" s="97" t="s">
        <v>192</v>
      </c>
      <c r="D5" s="97" t="s">
        <v>154</v>
      </c>
      <c r="E5" s="97" t="s">
        <v>155</v>
      </c>
      <c r="F5" s="97" t="s">
        <v>156</v>
      </c>
      <c r="G5" s="97" t="s">
        <v>157</v>
      </c>
      <c r="H5" s="414" t="s">
        <v>154</v>
      </c>
      <c r="I5" s="97" t="s">
        <v>155</v>
      </c>
      <c r="J5" s="422" t="s">
        <v>156</v>
      </c>
      <c r="K5" s="97" t="s">
        <v>157</v>
      </c>
    </row>
    <row r="6" spans="1:13" s="22" customFormat="1" ht="15" customHeight="1" x14ac:dyDescent="0.2">
      <c r="A6" s="95" t="s">
        <v>158</v>
      </c>
      <c r="C6" s="98" t="s">
        <v>159</v>
      </c>
      <c r="D6" s="99" t="str">
        <f>"Jul - Sep "&amp;$G$4-1</f>
        <v>Jul - Sep 2016</v>
      </c>
      <c r="E6" s="99" t="str">
        <f>"Oct - Dec "&amp;$G$4-1</f>
        <v>Oct - Dec 2016</v>
      </c>
      <c r="F6" s="99" t="str">
        <f>"Jan - Mar "&amp;$G$4</f>
        <v>Jan - Mar 2017</v>
      </c>
      <c r="G6" s="440" t="str">
        <f>"Apr - Jun "&amp;$G$4</f>
        <v>Apr - Jun 2017</v>
      </c>
      <c r="H6" s="441" t="str">
        <f>"Jul - Sep "&amp;$H$4-1</f>
        <v>Jul - Sep 2017</v>
      </c>
      <c r="I6" s="440" t="str">
        <f>"Oct - Dec "&amp;$H$4-1</f>
        <v>Oct - Dec 2017</v>
      </c>
      <c r="J6" s="442" t="str">
        <f>"Jan - Mar "&amp;$H$4</f>
        <v>Jan - Mar 2018</v>
      </c>
      <c r="K6" s="440" t="str">
        <f>"Apr - Jun "&amp;$H$4</f>
        <v>Apr - Jun 2018</v>
      </c>
    </row>
    <row r="7" spans="1:13" s="22" customFormat="1" ht="15" customHeight="1" x14ac:dyDescent="0.2">
      <c r="A7" s="439" t="s">
        <v>448</v>
      </c>
      <c r="C7" s="443" t="s">
        <v>471</v>
      </c>
      <c r="D7" s="99"/>
      <c r="E7" s="99"/>
      <c r="F7" s="99"/>
      <c r="G7" s="99" t="str">
        <f>"Aug 17, "&amp;$G$4</f>
        <v>Aug 17, 2017</v>
      </c>
      <c r="H7" s="415" t="str">
        <f>"Nov 17, "&amp;$H$4-1</f>
        <v>Nov 17, 2017</v>
      </c>
      <c r="I7" s="99" t="str">
        <f>"Feb 17, "&amp;$H$4</f>
        <v>Feb 17, 2018</v>
      </c>
      <c r="J7" s="423" t="str">
        <f>"May 17, "&amp;$H$4</f>
        <v>May 17, 2018</v>
      </c>
      <c r="K7" s="99" t="str">
        <f>"Aug 17, "&amp;$H$4</f>
        <v>Aug 17, 2018</v>
      </c>
    </row>
    <row r="8" spans="1:13" s="22" customFormat="1" ht="15" customHeight="1" x14ac:dyDescent="0.2">
      <c r="A8" s="95" t="s">
        <v>160</v>
      </c>
      <c r="C8" s="100" t="s">
        <v>161</v>
      </c>
      <c r="D8" s="101" t="str">
        <f>"Nov 30, "&amp;$G$4-1</f>
        <v>Nov 30, 2016</v>
      </c>
      <c r="E8" s="101" t="str">
        <f>IF(OR($G$4=2012,$G$4=2016,$G$4=2020,$G$4=2024),"Feb 29, ","Feb 28, ")&amp;$G$4</f>
        <v>Feb 28, 2017</v>
      </c>
      <c r="F8" s="101" t="str">
        <f>"May 31, "&amp;$G$4</f>
        <v>May 31, 2017</v>
      </c>
      <c r="G8" s="101" t="str">
        <f>"Aug 31, "&amp;$G$4</f>
        <v>Aug 31, 2017</v>
      </c>
      <c r="H8" s="416" t="str">
        <f>"Nov 30, "&amp;$H$4-1</f>
        <v>Nov 30, 2017</v>
      </c>
      <c r="I8" s="101" t="str">
        <f>IF(OR($H$4=2012,$H$4=2016,$H$4=2020,$H$4=2024),"Feb 29, ","Feb 28, ")&amp;$H$4</f>
        <v>Feb 28, 2018</v>
      </c>
      <c r="J8" s="424" t="str">
        <f>"May 31, "&amp;$H$4</f>
        <v>May 31, 2018</v>
      </c>
      <c r="K8" s="101" t="str">
        <f>"Aug 31, "&amp;$H$4</f>
        <v>Aug 31, 2018</v>
      </c>
    </row>
    <row r="9" spans="1:13" s="22" customFormat="1" ht="15" customHeight="1" x14ac:dyDescent="0.2">
      <c r="C9" s="102"/>
      <c r="D9" s="103"/>
      <c r="E9" s="103"/>
      <c r="F9" s="103"/>
      <c r="G9" s="103"/>
      <c r="H9" s="103"/>
      <c r="I9" s="433"/>
      <c r="J9" s="103"/>
      <c r="K9" s="103"/>
      <c r="M9" s="561" t="s">
        <v>381</v>
      </c>
    </row>
    <row r="10" spans="1:13" s="22" customFormat="1" ht="20.100000000000001" customHeight="1" thickBot="1" x14ac:dyDescent="0.25">
      <c r="A10" s="97" t="s">
        <v>162</v>
      </c>
      <c r="B10" s="97" t="s">
        <v>163</v>
      </c>
      <c r="C10" s="97" t="s">
        <v>153</v>
      </c>
      <c r="D10" s="104" t="s">
        <v>191</v>
      </c>
      <c r="E10" s="105"/>
      <c r="F10" s="105"/>
      <c r="G10" s="104" t="s">
        <v>191</v>
      </c>
      <c r="H10" s="434"/>
      <c r="I10" s="434"/>
      <c r="J10" s="105"/>
      <c r="K10" s="106"/>
      <c r="M10" s="561"/>
    </row>
    <row r="11" spans="1:13" s="22" customFormat="1" ht="15" hidden="1" customHeight="1" x14ac:dyDescent="0.2">
      <c r="A11" s="107" t="s">
        <v>351</v>
      </c>
      <c r="B11" s="108" t="s">
        <v>164</v>
      </c>
      <c r="C11" s="81" t="s">
        <v>165</v>
      </c>
      <c r="D11" s="149" t="str">
        <f>"Oct "&amp;$G$4-2&amp;" - Sep "&amp;$G$4-1</f>
        <v>Oct 2015 - Sep 2016</v>
      </c>
      <c r="E11" s="149" t="str">
        <f>"Jan "&amp;$G$4-1&amp;" - Dec "&amp;$G$4-1</f>
        <v>Jan 2016 - Dec 2016</v>
      </c>
      <c r="F11" s="149" t="str">
        <f>"Apr "&amp;$G$4-1&amp;" - Mar "&amp;$G$4</f>
        <v>Apr 2016 - Mar 2017</v>
      </c>
      <c r="G11" s="149" t="str">
        <f>"Jul "&amp;$G$4-1&amp;" - Jun "&amp;$G$4</f>
        <v>Jul 2016 - Jun 2017</v>
      </c>
      <c r="H11" s="149" t="str">
        <f>"Oct "&amp;$H$4-2&amp;" - Sep "&amp;$H$4-1</f>
        <v>Oct 2016 - Sep 2017</v>
      </c>
      <c r="I11" s="149" t="str">
        <f>"Jan "&amp;$H$4-1&amp;" - Dec "&amp;$H$4-1</f>
        <v>Jan 2017 - Dec 2017</v>
      </c>
      <c r="J11" s="149" t="str">
        <f>"Apr "&amp;$H$4-1&amp;" - Mar "&amp;$H$4</f>
        <v>Apr 2017 - Mar 2018</v>
      </c>
      <c r="K11" s="149" t="str">
        <f>"Jul "&amp;$H$4-1&amp;" - Jun "&amp;$H$4</f>
        <v>Jul 2017 - Jun 2018</v>
      </c>
      <c r="M11" s="225" t="s">
        <v>380</v>
      </c>
    </row>
    <row r="12" spans="1:13" s="22" customFormat="1" ht="15" hidden="1" customHeight="1" x14ac:dyDescent="0.2">
      <c r="A12" s="109" t="s">
        <v>350</v>
      </c>
      <c r="B12" s="110"/>
      <c r="C12" s="98" t="s">
        <v>166</v>
      </c>
      <c r="D12" s="111" t="str">
        <f>"Oct 30, "&amp;$G$4-1</f>
        <v>Oct 30, 2016</v>
      </c>
      <c r="E12" s="111" t="str">
        <f>"Jan 30, "&amp;$G$4</f>
        <v>Jan 30, 2017</v>
      </c>
      <c r="F12" s="111" t="str">
        <f>"Apr 30, "&amp;$G$4</f>
        <v>Apr 30, 2017</v>
      </c>
      <c r="G12" s="111" t="str">
        <f>"Jul 31, "&amp;$G$4</f>
        <v>Jul 31, 2017</v>
      </c>
      <c r="H12" s="111" t="str">
        <f>"Oct 31, "&amp;$H$4-1</f>
        <v>Oct 31, 2017</v>
      </c>
      <c r="I12" s="111" t="str">
        <f>"Jan 31, "&amp;$H$4</f>
        <v>Jan 31, 2018</v>
      </c>
      <c r="J12" s="111" t="str">
        <f>"Apr 30, "&amp;$H$4</f>
        <v>Apr 30, 2018</v>
      </c>
      <c r="K12" s="111" t="str">
        <f>"Jul 31, "&amp;$H$4</f>
        <v>Jul 31, 2018</v>
      </c>
      <c r="M12" s="225" t="s">
        <v>380</v>
      </c>
    </row>
    <row r="13" spans="1:13" s="22" customFormat="1" ht="15" hidden="1" customHeight="1" thickBot="1" x14ac:dyDescent="0.25">
      <c r="A13" s="112"/>
      <c r="B13" s="113"/>
      <c r="C13" s="114" t="s">
        <v>167</v>
      </c>
      <c r="D13" s="115" t="s">
        <v>168</v>
      </c>
      <c r="E13" s="116" t="s">
        <v>168</v>
      </c>
      <c r="F13" s="116" t="s">
        <v>168</v>
      </c>
      <c r="G13" s="116" t="s">
        <v>168</v>
      </c>
      <c r="H13" s="115" t="s">
        <v>168</v>
      </c>
      <c r="I13" s="116" t="s">
        <v>168</v>
      </c>
      <c r="J13" s="116" t="s">
        <v>168</v>
      </c>
      <c r="K13" s="116" t="s">
        <v>168</v>
      </c>
      <c r="M13" s="225" t="s">
        <v>380</v>
      </c>
    </row>
    <row r="14" spans="1:13" s="22" customFormat="1" ht="15" hidden="1" customHeight="1" thickTop="1" x14ac:dyDescent="0.2">
      <c r="A14" s="107" t="s">
        <v>352</v>
      </c>
      <c r="B14" s="108" t="s">
        <v>169</v>
      </c>
      <c r="C14" s="100" t="s">
        <v>170</v>
      </c>
      <c r="D14" s="117" t="str">
        <f>"Jul - Sep "&amp;$G$4-1</f>
        <v>Jul - Sep 2016</v>
      </c>
      <c r="E14" s="117" t="str">
        <f>"Oct - Dec "&amp;$G$4-1</f>
        <v>Oct - Dec 2016</v>
      </c>
      <c r="F14" s="117" t="str">
        <f>"Jan - Mar "&amp;$G$4</f>
        <v>Jan - Mar 2017</v>
      </c>
      <c r="G14" s="117" t="str">
        <f>"Apr - Jun "&amp;$G$4</f>
        <v>Apr - Jun 2017</v>
      </c>
      <c r="H14" s="117" t="str">
        <f>"Jul - Sep "&amp;$H$4-1</f>
        <v>Jul - Sep 2017</v>
      </c>
      <c r="I14" s="117" t="str">
        <f>"Oct - Dec "&amp;$H$4-1</f>
        <v>Oct - Dec 2017</v>
      </c>
      <c r="J14" s="117" t="str">
        <f>"Jan - Mar "&amp;$H$4</f>
        <v>Jan - Mar 2018</v>
      </c>
      <c r="K14" s="117" t="str">
        <f>"Apr - Jun "&amp;$H$4</f>
        <v>Apr - Jun 2018</v>
      </c>
      <c r="M14" s="225" t="s">
        <v>380</v>
      </c>
    </row>
    <row r="15" spans="1:13" s="22" customFormat="1" ht="15" hidden="1" customHeight="1" x14ac:dyDescent="0.2">
      <c r="A15" s="109" t="s">
        <v>353</v>
      </c>
      <c r="B15" s="110"/>
      <c r="C15" s="98" t="s">
        <v>171</v>
      </c>
      <c r="D15" s="111" t="str">
        <f>"Oct 30, "&amp;$G$4-1</f>
        <v>Oct 30, 2016</v>
      </c>
      <c r="E15" s="111" t="str">
        <f>"Jan 30, "&amp;$G$4</f>
        <v>Jan 30, 2017</v>
      </c>
      <c r="F15" s="111" t="str">
        <f>"Apr 30, "&amp;$G$4</f>
        <v>Apr 30, 2017</v>
      </c>
      <c r="G15" s="111" t="str">
        <f>"Jul 30, "&amp;$G$4</f>
        <v>Jul 30, 2017</v>
      </c>
      <c r="H15" s="111" t="str">
        <f>"Oct 30, "&amp;$H$4-1</f>
        <v>Oct 30, 2017</v>
      </c>
      <c r="I15" s="111" t="str">
        <f>"Jan 30, "&amp;$H$4</f>
        <v>Jan 30, 2018</v>
      </c>
      <c r="J15" s="111" t="str">
        <f>"Apr 30, "&amp;$H$4</f>
        <v>Apr 30, 2018</v>
      </c>
      <c r="K15" s="111" t="str">
        <f>"Jul 30, "&amp;$H$4</f>
        <v>Jul 30, 2018</v>
      </c>
      <c r="M15" s="225" t="s">
        <v>380</v>
      </c>
    </row>
    <row r="16" spans="1:13" s="22" customFormat="1" ht="15" hidden="1" customHeight="1" thickBot="1" x14ac:dyDescent="0.25">
      <c r="A16" s="109"/>
      <c r="B16" s="113"/>
      <c r="C16" s="98" t="s">
        <v>167</v>
      </c>
      <c r="D16" s="115" t="s">
        <v>168</v>
      </c>
      <c r="E16" s="116" t="s">
        <v>168</v>
      </c>
      <c r="F16" s="116" t="s">
        <v>168</v>
      </c>
      <c r="G16" s="116" t="s">
        <v>168</v>
      </c>
      <c r="H16" s="115" t="s">
        <v>168</v>
      </c>
      <c r="I16" s="431" t="s">
        <v>168</v>
      </c>
      <c r="J16" s="116" t="s">
        <v>168</v>
      </c>
      <c r="K16" s="116" t="s">
        <v>168</v>
      </c>
      <c r="M16" s="225" t="s">
        <v>380</v>
      </c>
    </row>
    <row r="17" spans="1:14" s="22" customFormat="1" ht="15" customHeight="1" thickTop="1" x14ac:dyDescent="0.2">
      <c r="A17" s="122" t="s">
        <v>352</v>
      </c>
      <c r="B17" s="125" t="s">
        <v>169</v>
      </c>
      <c r="C17" s="119" t="s">
        <v>172</v>
      </c>
      <c r="D17" s="120" t="str">
        <f>"Apr - Jun "&amp;$G$4-1</f>
        <v>Apr - Jun 2016</v>
      </c>
      <c r="E17" s="120" t="str">
        <f>"Jul - Sep "&amp;$G$4-1</f>
        <v>Jul - Sep 2016</v>
      </c>
      <c r="F17" s="120" t="str">
        <f>"Oct - Dec "&amp;$G$4-1</f>
        <v>Oct - Dec 2016</v>
      </c>
      <c r="G17" s="435" t="str">
        <f>"Jan - Mar "&amp;$G$4</f>
        <v>Jan - Mar 2017</v>
      </c>
      <c r="H17" s="437" t="str">
        <f>"Apr - Jun "&amp;$H$4-1</f>
        <v>Apr - Jun 2017</v>
      </c>
      <c r="I17" s="435" t="str">
        <f>"Jul - Sep "&amp;$H$4-1</f>
        <v>Jul - Sep 2017</v>
      </c>
      <c r="J17" s="438" t="str">
        <f>"Oct - Dec "&amp;$H$4-1</f>
        <v>Oct - Dec 2017</v>
      </c>
      <c r="K17" s="435" t="str">
        <f>"Jan - Mar "&amp;$H$4</f>
        <v>Jan - Mar 2018</v>
      </c>
    </row>
    <row r="18" spans="1:14" s="22" customFormat="1" ht="15" customHeight="1" x14ac:dyDescent="0.2">
      <c r="A18" s="109" t="s">
        <v>354</v>
      </c>
      <c r="B18" s="108"/>
      <c r="C18" s="98" t="s">
        <v>173</v>
      </c>
      <c r="D18" s="121" t="str">
        <f>"Oct 31, "&amp;$G$4-1</f>
        <v>Oct 31, 2016</v>
      </c>
      <c r="E18" s="121" t="str">
        <f>"Jan 31, "&amp;$G$4</f>
        <v>Jan 31, 2017</v>
      </c>
      <c r="F18" s="121" t="str">
        <f>"Apr 30, "&amp;$G$4</f>
        <v>Apr 30, 2017</v>
      </c>
      <c r="G18" s="121" t="str">
        <f>"Jul 31, "&amp;$G$4</f>
        <v>Jul 31, 2017</v>
      </c>
      <c r="H18" s="418" t="str">
        <f>"Oct 31, "&amp;$H$4-1</f>
        <v>Oct 31, 2017</v>
      </c>
      <c r="I18" s="121" t="str">
        <f>"Jan 31, "&amp;$H$4</f>
        <v>Jan 31, 2018</v>
      </c>
      <c r="J18" s="426" t="str">
        <f>"Apr 30, "&amp;$H$4</f>
        <v>Apr 30, 2018</v>
      </c>
      <c r="K18" s="121" t="str">
        <f>"Jul 31, "&amp;$H$4</f>
        <v>Jul 31, 2018</v>
      </c>
      <c r="N18" s="34"/>
    </row>
    <row r="19" spans="1:14" s="22" customFormat="1" ht="15" customHeight="1" thickBot="1" x14ac:dyDescent="0.25">
      <c r="A19" s="109"/>
      <c r="B19" s="113"/>
      <c r="C19" s="98" t="s">
        <v>174</v>
      </c>
      <c r="D19" s="135" t="s">
        <v>177</v>
      </c>
      <c r="E19" s="135" t="s">
        <v>177</v>
      </c>
      <c r="F19" s="135" t="s">
        <v>177</v>
      </c>
      <c r="G19" s="135" t="s">
        <v>177</v>
      </c>
      <c r="H19" s="419" t="s">
        <v>177</v>
      </c>
      <c r="I19" s="135" t="s">
        <v>177</v>
      </c>
      <c r="J19" s="427" t="s">
        <v>177</v>
      </c>
      <c r="K19" s="135" t="s">
        <v>177</v>
      </c>
      <c r="N19" s="200"/>
    </row>
    <row r="20" spans="1:14" s="22" customFormat="1" ht="15" customHeight="1" thickTop="1" x14ac:dyDescent="0.2">
      <c r="A20" s="122" t="s">
        <v>355</v>
      </c>
      <c r="B20" s="108" t="s">
        <v>176</v>
      </c>
      <c r="C20" s="119" t="s">
        <v>172</v>
      </c>
      <c r="D20" s="120" t="str">
        <f>"Apr - Jun "&amp;$G$4-1</f>
        <v>Apr - Jun 2016</v>
      </c>
      <c r="E20" s="120" t="str">
        <f>"Jul - Sep "&amp;$G$4-1</f>
        <v>Jul - Sep 2016</v>
      </c>
      <c r="F20" s="120" t="str">
        <f>"Oct - Dec "&amp;$G$4-1</f>
        <v>Oct - Dec 2016</v>
      </c>
      <c r="G20" s="120" t="str">
        <f>"Jan - Mar "&amp;$G$4</f>
        <v>Jan - Mar 2017</v>
      </c>
      <c r="H20" s="417" t="str">
        <f>"Apr - Jun "&amp;$H$4-1</f>
        <v>Apr - Jun 2017</v>
      </c>
      <c r="I20" s="120" t="str">
        <f>"Jul - Sep "&amp;$H$4-1</f>
        <v>Jul - Sep 2017</v>
      </c>
      <c r="J20" s="425" t="str">
        <f>"Oct - Dec "&amp;$H$4-1</f>
        <v>Oct - Dec 2017</v>
      </c>
      <c r="K20" s="120" t="str">
        <f>"Jan - Mar "&amp;$H$4</f>
        <v>Jan - Mar 2018</v>
      </c>
    </row>
    <row r="21" spans="1:14" s="22" customFormat="1" ht="15" customHeight="1" x14ac:dyDescent="0.2">
      <c r="A21" s="123" t="s">
        <v>357</v>
      </c>
      <c r="B21" s="108"/>
      <c r="C21" s="98" t="s">
        <v>173</v>
      </c>
      <c r="D21" s="121" t="str">
        <f>"Oct 31, "&amp;$G$4-1</f>
        <v>Oct 31, 2016</v>
      </c>
      <c r="E21" s="121" t="str">
        <f>"Jan 31, "&amp;$G$4</f>
        <v>Jan 31, 2017</v>
      </c>
      <c r="F21" s="121" t="str">
        <f>"Apr 30, "&amp;$G$4</f>
        <v>Apr 30, 2017</v>
      </c>
      <c r="G21" s="121" t="str">
        <f>"Jul 31, "&amp;$G$4</f>
        <v>Jul 31, 2017</v>
      </c>
      <c r="H21" s="418" t="str">
        <f>"Oct 31, "&amp;$H$4-1</f>
        <v>Oct 31, 2017</v>
      </c>
      <c r="I21" s="121" t="str">
        <f>"Jan 31, "&amp;$H$4</f>
        <v>Jan 31, 2018</v>
      </c>
      <c r="J21" s="426" t="str">
        <f>"Apr 30, "&amp;$H$4</f>
        <v>Apr 30, 2018</v>
      </c>
      <c r="K21" s="121" t="str">
        <f>"Jul 31, "&amp;$H$4</f>
        <v>Jul 31, 2018</v>
      </c>
    </row>
    <row r="22" spans="1:14" s="22" customFormat="1" ht="15" customHeight="1" thickBot="1" x14ac:dyDescent="0.25">
      <c r="A22" s="109" t="s">
        <v>356</v>
      </c>
      <c r="B22" s="124"/>
      <c r="C22" s="98" t="s">
        <v>174</v>
      </c>
      <c r="D22" s="115" t="s">
        <v>175</v>
      </c>
      <c r="E22" s="115" t="s">
        <v>175</v>
      </c>
      <c r="F22" s="115" t="s">
        <v>175</v>
      </c>
      <c r="G22" s="115" t="s">
        <v>175</v>
      </c>
      <c r="H22" s="420" t="s">
        <v>175</v>
      </c>
      <c r="I22" s="115" t="s">
        <v>175</v>
      </c>
      <c r="J22" s="428" t="s">
        <v>175</v>
      </c>
      <c r="K22" s="115" t="s">
        <v>175</v>
      </c>
    </row>
    <row r="23" spans="1:14" s="22" customFormat="1" ht="15" customHeight="1" thickTop="1" x14ac:dyDescent="0.2">
      <c r="A23" s="122" t="s">
        <v>358</v>
      </c>
      <c r="B23" s="125" t="s">
        <v>176</v>
      </c>
      <c r="C23" s="119" t="s">
        <v>172</v>
      </c>
      <c r="D23" s="120" t="str">
        <f>"Apr - Jun "&amp;$G$4-1</f>
        <v>Apr - Jun 2016</v>
      </c>
      <c r="E23" s="120" t="str">
        <f>"Jul - Sep "&amp;$G$4-1</f>
        <v>Jul - Sep 2016</v>
      </c>
      <c r="F23" s="120" t="str">
        <f>"Oct - Dec "&amp;$G$4-1</f>
        <v>Oct - Dec 2016</v>
      </c>
      <c r="G23" s="120" t="str">
        <f>"Jan - Mar "&amp;$G$4</f>
        <v>Jan - Mar 2017</v>
      </c>
      <c r="H23" s="417" t="str">
        <f>"Apr - Jun "&amp;$H$4-1</f>
        <v>Apr - Jun 2017</v>
      </c>
      <c r="I23" s="120" t="str">
        <f>"Jul - Sep "&amp;$H$4-1</f>
        <v>Jul - Sep 2017</v>
      </c>
      <c r="J23" s="425" t="str">
        <f>"Oct - Dec "&amp;$H$4-1</f>
        <v>Oct - Dec 2017</v>
      </c>
      <c r="K23" s="120" t="str">
        <f>"Jan - Mar "&amp;$H$4</f>
        <v>Jan - Mar 2018</v>
      </c>
    </row>
    <row r="24" spans="1:14" s="22" customFormat="1" ht="15" customHeight="1" x14ac:dyDescent="0.2">
      <c r="A24" s="109" t="s">
        <v>359</v>
      </c>
      <c r="B24" s="110"/>
      <c r="C24" s="98" t="s">
        <v>173</v>
      </c>
      <c r="D24" s="121" t="str">
        <f>"Oct 31, "&amp;$G$4-1</f>
        <v>Oct 31, 2016</v>
      </c>
      <c r="E24" s="121" t="str">
        <f>"Jan 31, "&amp;$G$4</f>
        <v>Jan 31, 2017</v>
      </c>
      <c r="F24" s="121" t="str">
        <f>"Apr 30, "&amp;$G$4</f>
        <v>Apr 30, 2017</v>
      </c>
      <c r="G24" s="121" t="str">
        <f>"Jul 31, "&amp;$G$4</f>
        <v>Jul 31, 2017</v>
      </c>
      <c r="H24" s="418" t="str">
        <f>"Oct 31, "&amp;$H$4-1</f>
        <v>Oct 31, 2017</v>
      </c>
      <c r="I24" s="121" t="str">
        <f>"Jan 31, "&amp;$H$4</f>
        <v>Jan 31, 2018</v>
      </c>
      <c r="J24" s="426" t="str">
        <f>"Apr 30, "&amp;$H$4</f>
        <v>Apr 30, 2018</v>
      </c>
      <c r="K24" s="121" t="str">
        <f>"Jul 31, "&amp;$H$4</f>
        <v>Jul 31, 2018</v>
      </c>
    </row>
    <row r="25" spans="1:14" s="22" customFormat="1" ht="15" customHeight="1" thickBot="1" x14ac:dyDescent="0.25">
      <c r="A25" s="109" t="s">
        <v>360</v>
      </c>
      <c r="B25" s="124"/>
      <c r="C25" s="98" t="s">
        <v>174</v>
      </c>
      <c r="D25" s="115" t="s">
        <v>177</v>
      </c>
      <c r="E25" s="115" t="s">
        <v>177</v>
      </c>
      <c r="F25" s="115" t="s">
        <v>177</v>
      </c>
      <c r="G25" s="115" t="s">
        <v>177</v>
      </c>
      <c r="H25" s="420" t="s">
        <v>177</v>
      </c>
      <c r="I25" s="121" t="s">
        <v>177</v>
      </c>
      <c r="J25" s="428" t="s">
        <v>177</v>
      </c>
      <c r="K25" s="115" t="s">
        <v>177</v>
      </c>
    </row>
    <row r="26" spans="1:14" s="22" customFormat="1" ht="15" hidden="1" customHeight="1" thickTop="1" x14ac:dyDescent="0.2">
      <c r="A26" s="126" t="s">
        <v>361</v>
      </c>
      <c r="B26" s="125" t="s">
        <v>178</v>
      </c>
      <c r="C26" s="127" t="s">
        <v>170</v>
      </c>
      <c r="D26" s="117" t="str">
        <f>"Jul - Sep "&amp;$G$4-1</f>
        <v>Jul - Sep 2016</v>
      </c>
      <c r="E26" s="117" t="str">
        <f>"Oct - Dec "&amp;$G$4-1</f>
        <v>Oct - Dec 2016</v>
      </c>
      <c r="F26" s="117" t="str">
        <f>"Jan - Mar "&amp;$G$4</f>
        <v>Jan - Mar 2017</v>
      </c>
      <c r="G26" s="117" t="str">
        <f>"Apr - Jun "&amp;$G$4</f>
        <v>Apr - Jun 2017</v>
      </c>
      <c r="H26" s="117" t="str">
        <f>"Jul - Sep "&amp;$H$4-1</f>
        <v>Jul - Sep 2017</v>
      </c>
      <c r="I26" s="436" t="str">
        <f>"Oct - Dec "&amp;$H$4-1</f>
        <v>Oct - Dec 2017</v>
      </c>
      <c r="J26" s="117" t="str">
        <f>"Jan - Mar "&amp;$H$4</f>
        <v>Jan - Mar 2018</v>
      </c>
      <c r="K26" s="117" t="str">
        <f>"Apr - Jun "&amp;$H$4</f>
        <v>Apr - Jun 2018</v>
      </c>
      <c r="M26" s="225" t="s">
        <v>380</v>
      </c>
    </row>
    <row r="27" spans="1:14" s="22" customFormat="1" ht="15" hidden="1" customHeight="1" x14ac:dyDescent="0.2">
      <c r="A27" s="109" t="s">
        <v>362</v>
      </c>
      <c r="B27" s="323" t="s">
        <v>179</v>
      </c>
      <c r="C27" s="98" t="s">
        <v>166</v>
      </c>
      <c r="D27" s="121" t="str">
        <f>"Oct 31, "&amp;$G$4-1</f>
        <v>Oct 31, 2016</v>
      </c>
      <c r="E27" s="121" t="str">
        <f>"Jan 31, "&amp;$G$4</f>
        <v>Jan 31, 2017</v>
      </c>
      <c r="F27" s="121" t="str">
        <f>"Apr 30, "&amp;$G$4</f>
        <v>Apr 30, 2017</v>
      </c>
      <c r="G27" s="121" t="str">
        <f>"Jul 31, "&amp;$G$4</f>
        <v>Jul 31, 2017</v>
      </c>
      <c r="H27" s="121" t="str">
        <f>"Oct 31, "&amp;$H$4-1</f>
        <v>Oct 31, 2017</v>
      </c>
      <c r="I27" s="121" t="str">
        <f>"Jan 31, "&amp;$H$4</f>
        <v>Jan 31, 2018</v>
      </c>
      <c r="J27" s="121" t="str">
        <f>"Apr 30, "&amp;$H$4</f>
        <v>Apr 30, 2018</v>
      </c>
      <c r="K27" s="121" t="str">
        <f>"Jul 31, "&amp;$H$4</f>
        <v>Jul 31, 2018</v>
      </c>
      <c r="M27" s="225" t="s">
        <v>380</v>
      </c>
    </row>
    <row r="28" spans="1:14" s="22" customFormat="1" ht="15" hidden="1" customHeight="1" thickBot="1" x14ac:dyDescent="0.25">
      <c r="A28" s="108" t="s">
        <v>180</v>
      </c>
      <c r="B28" s="110"/>
      <c r="C28" s="98" t="s">
        <v>181</v>
      </c>
      <c r="D28" s="115" t="s">
        <v>182</v>
      </c>
      <c r="E28" s="115" t="s">
        <v>182</v>
      </c>
      <c r="F28" s="115" t="s">
        <v>182</v>
      </c>
      <c r="G28" s="115" t="s">
        <v>182</v>
      </c>
      <c r="H28" s="115" t="s">
        <v>182</v>
      </c>
      <c r="I28" s="115" t="s">
        <v>182</v>
      </c>
      <c r="J28" s="115" t="s">
        <v>182</v>
      </c>
      <c r="K28" s="115" t="s">
        <v>182</v>
      </c>
      <c r="M28" s="225" t="s">
        <v>380</v>
      </c>
    </row>
    <row r="29" spans="1:14" s="22" customFormat="1" ht="15" hidden="1" customHeight="1" thickTop="1" x14ac:dyDescent="0.2">
      <c r="A29" s="118" t="s">
        <v>363</v>
      </c>
      <c r="B29" s="125" t="s">
        <v>183</v>
      </c>
      <c r="C29" s="119" t="s">
        <v>172</v>
      </c>
      <c r="D29" s="120" t="str">
        <f>"Apr - Jun "&amp;$G$4-1</f>
        <v>Apr - Jun 2016</v>
      </c>
      <c r="E29" s="120" t="str">
        <f>"Jul - Sep "&amp;$G$4-1</f>
        <v>Jul - Sep 2016</v>
      </c>
      <c r="F29" s="120" t="str">
        <f>"Oct - Dec "&amp;$G$4-1</f>
        <v>Oct - Dec 2016</v>
      </c>
      <c r="G29" s="120" t="str">
        <f>"Jan - Mar "&amp;$G$4</f>
        <v>Jan - Mar 2017</v>
      </c>
      <c r="H29" s="120" t="str">
        <f>"Apr - Jun "&amp;$H$4-1</f>
        <v>Apr - Jun 2017</v>
      </c>
      <c r="I29" s="120" t="str">
        <f>"Jul - Sep "&amp;$H$4-1</f>
        <v>Jul - Sep 2017</v>
      </c>
      <c r="J29" s="120" t="str">
        <f>"Oct - Dec "&amp;$H$4-1</f>
        <v>Oct - Dec 2017</v>
      </c>
      <c r="K29" s="120" t="str">
        <f>"Jan - Mar "&amp;$H$4</f>
        <v>Jan - Mar 2018</v>
      </c>
      <c r="M29" s="225" t="s">
        <v>380</v>
      </c>
    </row>
    <row r="30" spans="1:14" s="22" customFormat="1" ht="15" hidden="1" customHeight="1" x14ac:dyDescent="0.2">
      <c r="A30" s="323" t="s">
        <v>184</v>
      </c>
      <c r="B30" s="108"/>
      <c r="C30" s="49" t="s">
        <v>166</v>
      </c>
      <c r="D30" s="121" t="str">
        <f>"Oct 31, "&amp;$G$4-1</f>
        <v>Oct 31, 2016</v>
      </c>
      <c r="E30" s="121" t="str">
        <f>"Jan 31, "&amp;$G$4</f>
        <v>Jan 31, 2017</v>
      </c>
      <c r="F30" s="121" t="str">
        <f>"Apr 30, "&amp;$G$4</f>
        <v>Apr 30, 2017</v>
      </c>
      <c r="G30" s="121" t="str">
        <f>"Jul 31, "&amp;$G$4</f>
        <v>Jul 31, 2017</v>
      </c>
      <c r="H30" s="121" t="str">
        <f>"Oct 31, "&amp;$H$4-1</f>
        <v>Oct 31, 2017</v>
      </c>
      <c r="I30" s="121" t="str">
        <f>"Jan 31, "&amp;$H$4</f>
        <v>Jan 31, 2018</v>
      </c>
      <c r="J30" s="121" t="str">
        <f>"Apr 30, "&amp;$H$4</f>
        <v>Apr 30, 2018</v>
      </c>
      <c r="K30" s="121" t="str">
        <f>"Jul 31, "&amp;$H$4</f>
        <v>Jul 31, 2018</v>
      </c>
      <c r="M30" s="225" t="s">
        <v>380</v>
      </c>
    </row>
    <row r="31" spans="1:14" s="22" customFormat="1" ht="15" hidden="1" customHeight="1" thickBot="1" x14ac:dyDescent="0.25">
      <c r="A31" s="109"/>
      <c r="B31" s="113"/>
      <c r="C31" s="49" t="s">
        <v>167</v>
      </c>
      <c r="D31" s="115" t="s">
        <v>175</v>
      </c>
      <c r="E31" s="115" t="s">
        <v>175</v>
      </c>
      <c r="F31" s="115" t="s">
        <v>175</v>
      </c>
      <c r="G31" s="115" t="s">
        <v>175</v>
      </c>
      <c r="H31" s="115" t="s">
        <v>175</v>
      </c>
      <c r="I31" s="121" t="s">
        <v>175</v>
      </c>
      <c r="J31" s="115" t="s">
        <v>175</v>
      </c>
      <c r="K31" s="115" t="s">
        <v>175</v>
      </c>
      <c r="M31" s="225" t="s">
        <v>380</v>
      </c>
    </row>
    <row r="32" spans="1:14" ht="15" customHeight="1" thickTop="1" x14ac:dyDescent="0.2">
      <c r="A32" s="126" t="s">
        <v>361</v>
      </c>
      <c r="B32" s="129" t="s">
        <v>176</v>
      </c>
      <c r="C32" s="119" t="s">
        <v>172</v>
      </c>
      <c r="D32" s="120" t="str">
        <f>"Apr - Jun "&amp;$G$4-1</f>
        <v>Apr - Jun 2016</v>
      </c>
      <c r="E32" s="120" t="str">
        <f>"Jul - Sep "&amp;$G$4-1</f>
        <v>Jul - Sep 2016</v>
      </c>
      <c r="F32" s="120" t="str">
        <f>"Oct - Dec "&amp;$G$4-1</f>
        <v>Oct - Dec 2016</v>
      </c>
      <c r="G32" s="120" t="str">
        <f>"Jan - Mar "&amp;$G$4</f>
        <v>Jan - Mar 2017</v>
      </c>
      <c r="H32" s="417" t="str">
        <f>"Apr - Jun "&amp;$H$4-1</f>
        <v>Apr - Jun 2017</v>
      </c>
      <c r="I32" s="435" t="str">
        <f>"Jul - Sep "&amp;$H$4-1</f>
        <v>Jul - Sep 2017</v>
      </c>
      <c r="J32" s="425" t="str">
        <f>"Oct - Dec "&amp;$H$4-1</f>
        <v>Oct - Dec 2017</v>
      </c>
      <c r="K32" s="120" t="str">
        <f>"Jan - Mar "&amp;$H$4</f>
        <v>Jan - Mar 2018</v>
      </c>
    </row>
    <row r="33" spans="1:13" ht="15" customHeight="1" x14ac:dyDescent="0.2">
      <c r="A33" s="130" t="s">
        <v>364</v>
      </c>
      <c r="B33" s="131"/>
      <c r="C33" s="98" t="s">
        <v>173</v>
      </c>
      <c r="D33" s="121" t="str">
        <f>"Oct 31, "&amp;$G$4-1</f>
        <v>Oct 31, 2016</v>
      </c>
      <c r="E33" s="121" t="str">
        <f>"Jan 31, "&amp;$G$4</f>
        <v>Jan 31, 2017</v>
      </c>
      <c r="F33" s="121" t="str">
        <f>"Apr 30, "&amp;$G$4</f>
        <v>Apr 30, 2017</v>
      </c>
      <c r="G33" s="121" t="str">
        <f>"Jul 31, "&amp;$G$4</f>
        <v>Jul 31, 2017</v>
      </c>
      <c r="H33" s="418" t="str">
        <f>"Oct 31, "&amp;$H$4-1</f>
        <v>Oct 31, 2017</v>
      </c>
      <c r="I33" s="121" t="str">
        <f>"Jan 31, "&amp;$H$4</f>
        <v>Jan 31, 2018</v>
      </c>
      <c r="J33" s="426" t="str">
        <f>"Apr 30, "&amp;$H$4</f>
        <v>Apr 30, 2018</v>
      </c>
      <c r="K33" s="121" t="str">
        <f>"Jul 31, "&amp;$H$4</f>
        <v>Jul 31, 2018</v>
      </c>
    </row>
    <row r="34" spans="1:13" ht="15" customHeight="1" thickBot="1" x14ac:dyDescent="0.25">
      <c r="A34" s="132" t="s">
        <v>365</v>
      </c>
      <c r="B34" s="133"/>
      <c r="C34" s="98" t="s">
        <v>174</v>
      </c>
      <c r="D34" s="115" t="s">
        <v>175</v>
      </c>
      <c r="E34" s="115" t="s">
        <v>175</v>
      </c>
      <c r="F34" s="115" t="s">
        <v>175</v>
      </c>
      <c r="G34" s="115" t="s">
        <v>175</v>
      </c>
      <c r="H34" s="420" t="s">
        <v>175</v>
      </c>
      <c r="I34" s="115" t="s">
        <v>175</v>
      </c>
      <c r="J34" s="428" t="s">
        <v>175</v>
      </c>
      <c r="K34" s="115" t="s">
        <v>175</v>
      </c>
    </row>
    <row r="35" spans="1:13" ht="15" customHeight="1" thickTop="1" x14ac:dyDescent="0.2">
      <c r="A35" s="128" t="s">
        <v>366</v>
      </c>
      <c r="B35" s="129" t="s">
        <v>176</v>
      </c>
      <c r="C35" s="119" t="s">
        <v>172</v>
      </c>
      <c r="D35" s="120" t="str">
        <f>"Apr - Jun "&amp;$G$4-1</f>
        <v>Apr - Jun 2016</v>
      </c>
      <c r="E35" s="120" t="str">
        <f>"Jul - Sep "&amp;$G$4-1</f>
        <v>Jul - Sep 2016</v>
      </c>
      <c r="F35" s="120" t="str">
        <f>"Oct - Dec "&amp;$G$4-1</f>
        <v>Oct - Dec 2016</v>
      </c>
      <c r="G35" s="120" t="str">
        <f>"Jan - Mar "&amp;$G$4</f>
        <v>Jan - Mar 2017</v>
      </c>
      <c r="H35" s="417" t="str">
        <f>"Apr - Jun "&amp;$H$4-1</f>
        <v>Apr - Jun 2017</v>
      </c>
      <c r="I35" s="120" t="str">
        <f>"Jul - Sep "&amp;$H$4-1</f>
        <v>Jul - Sep 2017</v>
      </c>
      <c r="J35" s="425" t="str">
        <f>"Oct - Dec "&amp;$H$4-1</f>
        <v>Oct - Dec 2017</v>
      </c>
      <c r="K35" s="120" t="str">
        <f>"Jan - Mar "&amp;$H$4</f>
        <v>Jan - Mar 2018</v>
      </c>
    </row>
    <row r="36" spans="1:13" ht="15" customHeight="1" x14ac:dyDescent="0.2">
      <c r="A36" s="130"/>
      <c r="B36" s="131"/>
      <c r="C36" s="98" t="s">
        <v>173</v>
      </c>
      <c r="D36" s="121" t="str">
        <f>"Oct 31, "&amp;$G$4-1</f>
        <v>Oct 31, 2016</v>
      </c>
      <c r="E36" s="121" t="str">
        <f>"Jan 31, "&amp;$G$4</f>
        <v>Jan 31, 2017</v>
      </c>
      <c r="F36" s="121" t="str">
        <f>"Apr 30, "&amp;$G$4</f>
        <v>Apr 30, 2017</v>
      </c>
      <c r="G36" s="121" t="str">
        <f>"Jul 31, "&amp;$G$4</f>
        <v>Jul 31, 2017</v>
      </c>
      <c r="H36" s="418" t="str">
        <f>"Oct 31, "&amp;$H$4-1</f>
        <v>Oct 31, 2017</v>
      </c>
      <c r="I36" s="121" t="str">
        <f>"Jan 31, "&amp;$H$4</f>
        <v>Jan 31, 2018</v>
      </c>
      <c r="J36" s="426" t="str">
        <f>"Apr 30, "&amp;$H$4</f>
        <v>Apr 30, 2018</v>
      </c>
      <c r="K36" s="121" t="str">
        <f>"Jul 31, "&amp;$H$4</f>
        <v>Jul 31, 2018</v>
      </c>
    </row>
    <row r="37" spans="1:13" ht="15" customHeight="1" thickBot="1" x14ac:dyDescent="0.25">
      <c r="A37" s="132"/>
      <c r="B37" s="133"/>
      <c r="C37" s="98" t="s">
        <v>174</v>
      </c>
      <c r="D37" s="135" t="s">
        <v>185</v>
      </c>
      <c r="E37" s="115" t="s">
        <v>185</v>
      </c>
      <c r="F37" s="115" t="s">
        <v>185</v>
      </c>
      <c r="G37" s="115" t="s">
        <v>185</v>
      </c>
      <c r="H37" s="419" t="s">
        <v>185</v>
      </c>
      <c r="I37" s="121" t="s">
        <v>185</v>
      </c>
      <c r="J37" s="428" t="s">
        <v>185</v>
      </c>
      <c r="K37" s="115" t="s">
        <v>185</v>
      </c>
    </row>
    <row r="38" spans="1:13" ht="15" hidden="1" customHeight="1" thickTop="1" x14ac:dyDescent="0.2">
      <c r="A38" s="128" t="s">
        <v>367</v>
      </c>
      <c r="B38" s="327" t="s">
        <v>178</v>
      </c>
      <c r="C38" s="119" t="s">
        <v>172</v>
      </c>
      <c r="D38" s="120" t="str">
        <f>"Apr - Jun "&amp;$G$4-1</f>
        <v>Apr - Jun 2016</v>
      </c>
      <c r="E38" s="120" t="str">
        <f>"Jul - Sep "&amp;$G$4-1</f>
        <v>Jul - Sep 2016</v>
      </c>
      <c r="F38" s="120" t="str">
        <f>"Oct - Dec "&amp;$G$4-1</f>
        <v>Oct - Dec 2016</v>
      </c>
      <c r="G38" s="120" t="str">
        <f>"Jan - Mar "&amp;$G$4</f>
        <v>Jan - Mar 2017</v>
      </c>
      <c r="H38" s="120" t="str">
        <f>"Apr - Jun "&amp;$H$4-1</f>
        <v>Apr - Jun 2017</v>
      </c>
      <c r="I38" s="435" t="str">
        <f>"Jul - Sep "&amp;$H$4-1</f>
        <v>Jul - Sep 2017</v>
      </c>
      <c r="J38" s="120" t="str">
        <f>"Oct - Dec "&amp;$H$4-1</f>
        <v>Oct - Dec 2017</v>
      </c>
      <c r="K38" s="120" t="str">
        <f>"Jan - Mar "&amp;$H$4</f>
        <v>Jan - Mar 2018</v>
      </c>
      <c r="M38" s="225" t="s">
        <v>380</v>
      </c>
    </row>
    <row r="39" spans="1:13" ht="15" hidden="1" customHeight="1" x14ac:dyDescent="0.2">
      <c r="A39" s="130" t="s">
        <v>369</v>
      </c>
      <c r="B39" s="328" t="s">
        <v>179</v>
      </c>
      <c r="C39" s="98" t="s">
        <v>173</v>
      </c>
      <c r="D39" s="121" t="str">
        <f>"Oct 31, "&amp;$G$4-1</f>
        <v>Oct 31, 2016</v>
      </c>
      <c r="E39" s="121" t="str">
        <f>"Jan 31, "&amp;$G$4</f>
        <v>Jan 31, 2017</v>
      </c>
      <c r="F39" s="121" t="str">
        <f>"Apr 30, "&amp;$G$4</f>
        <v>Apr 30, 2017</v>
      </c>
      <c r="G39" s="121" t="str">
        <f>"Jul 31, "&amp;$G$4</f>
        <v>Jul 31, 2017</v>
      </c>
      <c r="H39" s="121" t="str">
        <f>"Oct 31, "&amp;$H$4-1</f>
        <v>Oct 31, 2017</v>
      </c>
      <c r="I39" s="121" t="str">
        <f>"Jan 31, "&amp;$H$4</f>
        <v>Jan 31, 2018</v>
      </c>
      <c r="J39" s="121" t="str">
        <f>"Apr 30, "&amp;$H$4</f>
        <v>Apr 30, 2018</v>
      </c>
      <c r="K39" s="121" t="str">
        <f>"Jul 31, "&amp;$H$4</f>
        <v>Jul 31, 2018</v>
      </c>
      <c r="M39" s="225" t="s">
        <v>380</v>
      </c>
    </row>
    <row r="40" spans="1:13" ht="15" hidden="1" customHeight="1" thickBot="1" x14ac:dyDescent="0.25">
      <c r="A40" s="130"/>
      <c r="B40" s="133"/>
      <c r="C40" s="98" t="s">
        <v>174</v>
      </c>
      <c r="D40" s="135" t="s">
        <v>185</v>
      </c>
      <c r="E40" s="115" t="s">
        <v>185</v>
      </c>
      <c r="F40" s="115" t="s">
        <v>185</v>
      </c>
      <c r="G40" s="115" t="s">
        <v>185</v>
      </c>
      <c r="H40" s="135" t="s">
        <v>185</v>
      </c>
      <c r="I40" s="115" t="s">
        <v>185</v>
      </c>
      <c r="J40" s="115" t="s">
        <v>185</v>
      </c>
      <c r="K40" s="115" t="s">
        <v>185</v>
      </c>
      <c r="M40" s="225" t="s">
        <v>380</v>
      </c>
    </row>
    <row r="41" spans="1:13" ht="15" hidden="1" customHeight="1" thickTop="1" x14ac:dyDescent="0.2">
      <c r="A41" s="128" t="s">
        <v>371</v>
      </c>
      <c r="B41" s="129" t="s">
        <v>178</v>
      </c>
      <c r="C41" s="119" t="s">
        <v>186</v>
      </c>
      <c r="D41" s="136" t="str">
        <f>"Jan - Mar "&amp;$G$4-1</f>
        <v>Jan - Mar 2016</v>
      </c>
      <c r="E41" s="136" t="str">
        <f>"Apr - Jun "&amp;$G$4-1</f>
        <v>Apr - Jun 2016</v>
      </c>
      <c r="F41" s="136" t="str">
        <f>"Jul - Sep "&amp;$G$4-1</f>
        <v>Jul - Sep 2016</v>
      </c>
      <c r="G41" s="136" t="str">
        <f>"Oct - Dec "&amp;$G$4-1</f>
        <v>Oct - Dec 2016</v>
      </c>
      <c r="H41" s="136" t="str">
        <f>"Jan - Mar "&amp;$H$4-1</f>
        <v>Jan - Mar 2017</v>
      </c>
      <c r="I41" s="136" t="str">
        <f>"Apr - Jun "&amp;$H$4-1</f>
        <v>Apr - Jun 2017</v>
      </c>
      <c r="J41" s="136" t="str">
        <f>"Jul - Sep "&amp;$H$4-1</f>
        <v>Jul - Sep 2017</v>
      </c>
      <c r="K41" s="136" t="str">
        <f>"Oct - Dec "&amp;$H$4-1</f>
        <v>Oct - Dec 2017</v>
      </c>
      <c r="M41" s="225" t="s">
        <v>380</v>
      </c>
    </row>
    <row r="42" spans="1:13" ht="15" hidden="1" customHeight="1" x14ac:dyDescent="0.2">
      <c r="A42" s="130" t="s">
        <v>370</v>
      </c>
      <c r="B42" s="323" t="s">
        <v>179</v>
      </c>
      <c r="C42" s="98" t="s">
        <v>166</v>
      </c>
      <c r="D42" s="121" t="str">
        <f>"Oct 31, "&amp;$G$4-1</f>
        <v>Oct 31, 2016</v>
      </c>
      <c r="E42" s="121" t="str">
        <f>"Jan 31, "&amp;$G$4</f>
        <v>Jan 31, 2017</v>
      </c>
      <c r="F42" s="121" t="str">
        <f>"Apr 30, "&amp;$G$4</f>
        <v>Apr 30, 2017</v>
      </c>
      <c r="G42" s="121" t="str">
        <f>"Jul 31, "&amp;$G$4</f>
        <v>Jul 31, 2017</v>
      </c>
      <c r="H42" s="121" t="str">
        <f>"Oct 31, "&amp;$H$4-1</f>
        <v>Oct 31, 2017</v>
      </c>
      <c r="I42" s="121" t="str">
        <f>"Jan 31, "&amp;$H$4</f>
        <v>Jan 31, 2018</v>
      </c>
      <c r="J42" s="121" t="str">
        <f>"Apr 30, "&amp;$H$4</f>
        <v>Apr 30, 2018</v>
      </c>
      <c r="K42" s="121" t="str">
        <f>"Jul 31, "&amp;$H$4</f>
        <v>Jul 31, 2018</v>
      </c>
      <c r="M42" s="225" t="s">
        <v>380</v>
      </c>
    </row>
    <row r="43" spans="1:13" ht="15" hidden="1" customHeight="1" thickBot="1" x14ac:dyDescent="0.25">
      <c r="A43" s="137"/>
      <c r="B43" s="138"/>
      <c r="C43" s="139" t="s">
        <v>187</v>
      </c>
      <c r="D43" s="116" t="s">
        <v>182</v>
      </c>
      <c r="E43" s="116" t="s">
        <v>182</v>
      </c>
      <c r="F43" s="116" t="s">
        <v>182</v>
      </c>
      <c r="G43" s="116" t="s">
        <v>182</v>
      </c>
      <c r="H43" s="116" t="s">
        <v>182</v>
      </c>
      <c r="I43" s="431" t="s">
        <v>182</v>
      </c>
      <c r="J43" s="116" t="s">
        <v>182</v>
      </c>
      <c r="K43" s="116" t="s">
        <v>182</v>
      </c>
      <c r="M43" s="225" t="s">
        <v>380</v>
      </c>
    </row>
    <row r="44" spans="1:13" ht="15" customHeight="1" thickTop="1" x14ac:dyDescent="0.2">
      <c r="A44" s="128" t="s">
        <v>368</v>
      </c>
      <c r="B44" s="129" t="s">
        <v>176</v>
      </c>
      <c r="C44" s="119" t="s">
        <v>172</v>
      </c>
      <c r="D44" s="120" t="str">
        <f>"Apr - Jun "&amp;$G$4-1</f>
        <v>Apr - Jun 2016</v>
      </c>
      <c r="E44" s="120" t="str">
        <f>"Jul - Sep "&amp;$G$4-1</f>
        <v>Jul - Sep 2016</v>
      </c>
      <c r="F44" s="120" t="str">
        <f>"Oct - Dec "&amp;$G$4-1</f>
        <v>Oct - Dec 2016</v>
      </c>
      <c r="G44" s="120" t="str">
        <f>"Jan - Mar "&amp;$G$4</f>
        <v>Jan - Mar 2017</v>
      </c>
      <c r="H44" s="417" t="str">
        <f>"Apr - Jun "&amp;$H$4-1</f>
        <v>Apr - Jun 2017</v>
      </c>
      <c r="I44" s="435" t="str">
        <f>"Jul - Sep "&amp;$H$4-1</f>
        <v>Jul - Sep 2017</v>
      </c>
      <c r="J44" s="425" t="str">
        <f>"Oct - Dec "&amp;$H$4-1</f>
        <v>Oct - Dec 2017</v>
      </c>
      <c r="K44" s="120" t="str">
        <f>"Jan - Mar "&amp;$H$4</f>
        <v>Jan - Mar 2018</v>
      </c>
    </row>
    <row r="45" spans="1:13" ht="15" customHeight="1" x14ac:dyDescent="0.2">
      <c r="A45" s="130" t="s">
        <v>372</v>
      </c>
      <c r="B45" s="131"/>
      <c r="C45" s="98" t="s">
        <v>173</v>
      </c>
      <c r="D45" s="121" t="str">
        <f>"Oct 31, "&amp;$G$4-1</f>
        <v>Oct 31, 2016</v>
      </c>
      <c r="E45" s="121" t="str">
        <f>"Jan 31, "&amp;$G$4</f>
        <v>Jan 31, 2017</v>
      </c>
      <c r="F45" s="121" t="str">
        <f>"Apr 30, "&amp;$G$4</f>
        <v>Apr 30, 2017</v>
      </c>
      <c r="G45" s="121" t="str">
        <f>"Jul 31, "&amp;$G$4</f>
        <v>Jul 31, 2017</v>
      </c>
      <c r="H45" s="418" t="str">
        <f>"Oct 31, "&amp;$H$4-1</f>
        <v>Oct 31, 2017</v>
      </c>
      <c r="I45" s="121" t="str">
        <f>"Jan 31, "&amp;$H$4</f>
        <v>Jan 31, 2018</v>
      </c>
      <c r="J45" s="426" t="str">
        <f>"Apr 30, "&amp;$H$4</f>
        <v>Apr 30, 2018</v>
      </c>
      <c r="K45" s="121" t="str">
        <f>"Jul 31, "&amp;$H$4</f>
        <v>Jul 31, 2018</v>
      </c>
    </row>
    <row r="46" spans="1:13" ht="15" customHeight="1" thickBot="1" x14ac:dyDescent="0.25">
      <c r="A46" s="130"/>
      <c r="B46" s="133"/>
      <c r="C46" s="98" t="s">
        <v>174</v>
      </c>
      <c r="D46" s="135" t="s">
        <v>185</v>
      </c>
      <c r="E46" s="115" t="s">
        <v>185</v>
      </c>
      <c r="F46" s="115" t="s">
        <v>185</v>
      </c>
      <c r="G46" s="115" t="s">
        <v>185</v>
      </c>
      <c r="H46" s="419" t="s">
        <v>185</v>
      </c>
      <c r="I46" s="115" t="s">
        <v>185</v>
      </c>
      <c r="J46" s="428" t="s">
        <v>185</v>
      </c>
      <c r="K46" s="115" t="s">
        <v>185</v>
      </c>
    </row>
    <row r="47" spans="1:13" ht="15" customHeight="1" thickTop="1" x14ac:dyDescent="0.2">
      <c r="A47" s="134" t="s">
        <v>373</v>
      </c>
      <c r="B47" s="129" t="s">
        <v>178</v>
      </c>
      <c r="C47" s="119" t="s">
        <v>172</v>
      </c>
      <c r="D47" s="120" t="str">
        <f>"Apr - Jun "&amp;$G$4-1</f>
        <v>Apr - Jun 2016</v>
      </c>
      <c r="E47" s="120" t="str">
        <f>"Jul - Sep "&amp;$G$4-1</f>
        <v>Jul - Sep 2016</v>
      </c>
      <c r="F47" s="120" t="str">
        <f>"Oct - Dec "&amp;$G$4-1</f>
        <v>Oct - Dec 2016</v>
      </c>
      <c r="G47" s="120" t="str">
        <f>"Jan - Mar "&amp;$G$4</f>
        <v>Jan - Mar 2017</v>
      </c>
      <c r="H47" s="417" t="str">
        <f>"Apr - Jun "&amp;$H$4-1</f>
        <v>Apr - Jun 2017</v>
      </c>
      <c r="I47" s="120" t="str">
        <f>"Jul - Sep "&amp;$H$4-1</f>
        <v>Jul - Sep 2017</v>
      </c>
      <c r="J47" s="425" t="str">
        <f>"Oct - Dec "&amp;$H$4-1</f>
        <v>Oct - Dec 2017</v>
      </c>
      <c r="K47" s="120" t="str">
        <f>"Jan - Mar "&amp;$H$4</f>
        <v>Jan - Mar 2018</v>
      </c>
    </row>
    <row r="48" spans="1:13" ht="15" customHeight="1" x14ac:dyDescent="0.2">
      <c r="A48" s="130" t="s">
        <v>374</v>
      </c>
      <c r="B48" s="131" t="s">
        <v>176</v>
      </c>
      <c r="C48" s="98" t="s">
        <v>173</v>
      </c>
      <c r="D48" s="121" t="str">
        <f>"Oct 31, "&amp;$G$4-1</f>
        <v>Oct 31, 2016</v>
      </c>
      <c r="E48" s="121" t="str">
        <f>"Jan 31, "&amp;$G$4</f>
        <v>Jan 31, 2017</v>
      </c>
      <c r="F48" s="121" t="str">
        <f>"Apr 30, "&amp;$G$4</f>
        <v>Apr 30, 2017</v>
      </c>
      <c r="G48" s="121" t="str">
        <f>"Jul 31, "&amp;$G$4</f>
        <v>Jul 31, 2017</v>
      </c>
      <c r="H48" s="418" t="str">
        <f>"Oct 31, "&amp;$H$4-1</f>
        <v>Oct 31, 2017</v>
      </c>
      <c r="I48" s="121" t="str">
        <f>"Jan 31, "&amp;$H$4</f>
        <v>Jan 31, 2018</v>
      </c>
      <c r="J48" s="426" t="str">
        <f>"Apr 30, "&amp;$H$4</f>
        <v>Apr 30, 2018</v>
      </c>
      <c r="K48" s="121" t="str">
        <f>"Jul 31, "&amp;$H$4</f>
        <v>Jul 31, 2018</v>
      </c>
    </row>
    <row r="49" spans="1:13" ht="15" customHeight="1" thickBot="1" x14ac:dyDescent="0.25">
      <c r="A49" s="130" t="s">
        <v>375</v>
      </c>
      <c r="B49" s="133"/>
      <c r="C49" s="98" t="s">
        <v>174</v>
      </c>
      <c r="D49" s="115" t="s">
        <v>175</v>
      </c>
      <c r="E49" s="115" t="s">
        <v>175</v>
      </c>
      <c r="F49" s="115" t="s">
        <v>175</v>
      </c>
      <c r="G49" s="115" t="s">
        <v>175</v>
      </c>
      <c r="H49" s="420" t="s">
        <v>175</v>
      </c>
      <c r="I49" s="115" t="s">
        <v>175</v>
      </c>
      <c r="J49" s="428" t="s">
        <v>175</v>
      </c>
      <c r="K49" s="115" t="s">
        <v>175</v>
      </c>
    </row>
    <row r="50" spans="1:13" ht="15" customHeight="1" thickTop="1" x14ac:dyDescent="0.2">
      <c r="A50" s="128" t="s">
        <v>376</v>
      </c>
      <c r="B50" s="140" t="s">
        <v>176</v>
      </c>
      <c r="C50" s="119" t="s">
        <v>172</v>
      </c>
      <c r="D50" s="120" t="str">
        <f>"Apr - Jun "&amp;$G$4-1</f>
        <v>Apr - Jun 2016</v>
      </c>
      <c r="E50" s="120" t="str">
        <f>"Jul - Sep "&amp;$G$4-1</f>
        <v>Jul - Sep 2016</v>
      </c>
      <c r="F50" s="120" t="str">
        <f>"Oct - Dec "&amp;$G$4-1</f>
        <v>Oct - Dec 2016</v>
      </c>
      <c r="G50" s="120" t="str">
        <f>"Jan - Mar "&amp;$G$4</f>
        <v>Jan - Mar 2017</v>
      </c>
      <c r="H50" s="417" t="str">
        <f>"Apr - Jun "&amp;$H$4-1</f>
        <v>Apr - Jun 2017</v>
      </c>
      <c r="I50" s="120" t="str">
        <f>"Jul - Sep "&amp;$H$4-1</f>
        <v>Jul - Sep 2017</v>
      </c>
      <c r="J50" s="425" t="str">
        <f>"Oct - Dec "&amp;$H$4-1</f>
        <v>Oct - Dec 2017</v>
      </c>
      <c r="K50" s="120" t="str">
        <f>"Jan - Mar "&amp;$H$4</f>
        <v>Jan - Mar 2018</v>
      </c>
    </row>
    <row r="51" spans="1:13" ht="15" customHeight="1" x14ac:dyDescent="0.2">
      <c r="A51" s="130" t="s">
        <v>377</v>
      </c>
      <c r="B51" s="141"/>
      <c r="C51" s="98" t="s">
        <v>173</v>
      </c>
      <c r="D51" s="121" t="str">
        <f>"Oct 31, "&amp;$G$4-1</f>
        <v>Oct 31, 2016</v>
      </c>
      <c r="E51" s="121" t="str">
        <f>"Jan 31, "&amp;$G$4</f>
        <v>Jan 31, 2017</v>
      </c>
      <c r="F51" s="121" t="str">
        <f>"Apr 30, "&amp;$G$4</f>
        <v>Apr 30, 2017</v>
      </c>
      <c r="G51" s="121" t="str">
        <f>"Jul 31, "&amp;$G$4</f>
        <v>Jul 31, 2017</v>
      </c>
      <c r="H51" s="418" t="str">
        <f>"Oct 31, "&amp;$H$4-1</f>
        <v>Oct 31, 2017</v>
      </c>
      <c r="I51" s="121" t="str">
        <f>"Jan 31, "&amp;$H$4</f>
        <v>Jan 31, 2018</v>
      </c>
      <c r="J51" s="426" t="str">
        <f>"Apr 30, "&amp;$H$4</f>
        <v>Apr 30, 2018</v>
      </c>
      <c r="K51" s="121" t="str">
        <f>"Jul 31, "&amp;$H$4</f>
        <v>Jul 31, 2018</v>
      </c>
    </row>
    <row r="52" spans="1:13" ht="15" customHeight="1" thickBot="1" x14ac:dyDescent="0.25">
      <c r="A52" s="142"/>
      <c r="B52" s="133"/>
      <c r="C52" s="98" t="s">
        <v>174</v>
      </c>
      <c r="D52" s="115" t="s">
        <v>175</v>
      </c>
      <c r="E52" s="115" t="s">
        <v>175</v>
      </c>
      <c r="F52" s="115" t="s">
        <v>175</v>
      </c>
      <c r="G52" s="115" t="s">
        <v>175</v>
      </c>
      <c r="H52" s="420" t="s">
        <v>175</v>
      </c>
      <c r="I52" s="115" t="s">
        <v>175</v>
      </c>
      <c r="J52" s="428" t="s">
        <v>175</v>
      </c>
      <c r="K52" s="115" t="s">
        <v>175</v>
      </c>
    </row>
    <row r="53" spans="1:13" ht="15" customHeight="1" thickTop="1" x14ac:dyDescent="0.2">
      <c r="A53" s="128" t="s">
        <v>378</v>
      </c>
      <c r="B53" s="140" t="s">
        <v>176</v>
      </c>
      <c r="C53" s="119" t="s">
        <v>172</v>
      </c>
      <c r="D53" s="120" t="str">
        <f>"Apr - Jun "&amp;$G$4-1</f>
        <v>Apr - Jun 2016</v>
      </c>
      <c r="E53" s="120" t="str">
        <f>"Jul - Sep "&amp;$G$4-1</f>
        <v>Jul - Sep 2016</v>
      </c>
      <c r="F53" s="120" t="str">
        <f>"Oct - Dec "&amp;$G$4-1</f>
        <v>Oct - Dec 2016</v>
      </c>
      <c r="G53" s="120" t="str">
        <f>"Jan - Mar "&amp;$G$4</f>
        <v>Jan - Mar 2017</v>
      </c>
      <c r="H53" s="417" t="str">
        <f>"Apr - Jun "&amp;$H$4-1</f>
        <v>Apr - Jun 2017</v>
      </c>
      <c r="I53" s="120" t="str">
        <f>"Jul - Sep "&amp;$H$4-1</f>
        <v>Jul - Sep 2017</v>
      </c>
      <c r="J53" s="425" t="str">
        <f>"Oct - Dec "&amp;$H$4-1</f>
        <v>Oct - Dec 2017</v>
      </c>
      <c r="K53" s="120" t="str">
        <f>"Jan - Mar "&amp;$H$4</f>
        <v>Jan - Mar 2018</v>
      </c>
    </row>
    <row r="54" spans="1:13" ht="15" customHeight="1" x14ac:dyDescent="0.2">
      <c r="A54" s="130"/>
      <c r="B54" s="141"/>
      <c r="C54" s="98" t="s">
        <v>173</v>
      </c>
      <c r="D54" s="121" t="str">
        <f>"Oct 31, "&amp;$G$4-1</f>
        <v>Oct 31, 2016</v>
      </c>
      <c r="E54" s="121" t="str">
        <f>"Jan 31, "&amp;$G$4</f>
        <v>Jan 31, 2017</v>
      </c>
      <c r="F54" s="121" t="str">
        <f>"Apr 30, "&amp;$G$4</f>
        <v>Apr 30, 2017</v>
      </c>
      <c r="G54" s="121" t="str">
        <f>"Jul 31, "&amp;$G$4</f>
        <v>Jul 31, 2017</v>
      </c>
      <c r="H54" s="418" t="str">
        <f>"Oct 31, "&amp;$H$4-1</f>
        <v>Oct 31, 2017</v>
      </c>
      <c r="I54" s="121" t="str">
        <f>"Jan 31, "&amp;$H$4</f>
        <v>Jan 31, 2018</v>
      </c>
      <c r="J54" s="426" t="str">
        <f>"Apr 30, "&amp;$H$4</f>
        <v>Apr 30, 2018</v>
      </c>
      <c r="K54" s="121" t="str">
        <f>"Jul 31, "&amp;$H$4</f>
        <v>Jul 31, 2018</v>
      </c>
    </row>
    <row r="55" spans="1:13" ht="15" customHeight="1" thickBot="1" x14ac:dyDescent="0.25">
      <c r="A55" s="142"/>
      <c r="B55" s="133"/>
      <c r="C55" s="98" t="s">
        <v>174</v>
      </c>
      <c r="D55" s="143" t="s">
        <v>175</v>
      </c>
      <c r="E55" s="143" t="s">
        <v>175</v>
      </c>
      <c r="F55" s="143" t="s">
        <v>175</v>
      </c>
      <c r="G55" s="143" t="s">
        <v>175</v>
      </c>
      <c r="H55" s="421" t="s">
        <v>175</v>
      </c>
      <c r="I55" s="121" t="s">
        <v>175</v>
      </c>
      <c r="J55" s="429" t="s">
        <v>175</v>
      </c>
      <c r="K55" s="143" t="s">
        <v>175</v>
      </c>
    </row>
    <row r="56" spans="1:13" ht="15" customHeight="1" thickTop="1" x14ac:dyDescent="0.2">
      <c r="A56" s="128" t="s">
        <v>379</v>
      </c>
      <c r="B56" s="140" t="s">
        <v>188</v>
      </c>
      <c r="C56" s="119" t="s">
        <v>189</v>
      </c>
      <c r="D56" s="144" t="str">
        <f>"Jul "&amp;$G$4-2&amp;" - Jun "&amp;$G$4-1</f>
        <v>Jul 2015 - Jun 2016</v>
      </c>
      <c r="E56" s="144" t="str">
        <f>"Oct "&amp;$G$4-2&amp;" - Sep "&amp;$G$4-1</f>
        <v>Oct 2015 - Sep 2016</v>
      </c>
      <c r="F56" s="144" t="str">
        <f>"Jan "&amp;$G$4-1&amp;" - Dec "&amp;$G$4-1</f>
        <v>Jan 2016 - Dec 2016</v>
      </c>
      <c r="G56" s="144" t="str">
        <f>"Apr "&amp;$G$4-1&amp;" - Mar "&amp;$G$4</f>
        <v>Apr 2016 - Mar 2017</v>
      </c>
      <c r="H56" s="144" t="str">
        <f>"Jul "&amp;$H$4-2&amp;" - Jun "&amp;$H$4-1</f>
        <v>Jul 2016 - Jun 2017</v>
      </c>
      <c r="I56" s="144" t="str">
        <f>"Oct "&amp;$H$4-2&amp;" - Sep "&amp;$H$4-1</f>
        <v>Oct 2016 - Sep 2017</v>
      </c>
      <c r="J56" s="144" t="str">
        <f>"Jan "&amp;$H$4-1&amp;" - Dec "&amp;$H$4-1</f>
        <v>Jan 2017 - Dec 2017</v>
      </c>
      <c r="K56" s="144" t="str">
        <f>"Apr "&amp;$H$4-1&amp;" - Mar "&amp;$H$4</f>
        <v>Apr 2017 - Mar 2018</v>
      </c>
      <c r="M56" s="225"/>
    </row>
    <row r="57" spans="1:13" ht="15" customHeight="1" x14ac:dyDescent="0.2">
      <c r="A57" s="132"/>
      <c r="B57" s="131" t="s">
        <v>176</v>
      </c>
      <c r="C57" s="98" t="s">
        <v>173</v>
      </c>
      <c r="D57" s="121" t="str">
        <f>"Oct 31, "&amp;$G$4-1</f>
        <v>Oct 31, 2016</v>
      </c>
      <c r="E57" s="121" t="str">
        <f>"Jan 31, "&amp;$G$4</f>
        <v>Jan 31, 2017</v>
      </c>
      <c r="F57" s="121" t="str">
        <f>"Apr 30, "&amp;$G$4</f>
        <v>Apr 30, 2017</v>
      </c>
      <c r="G57" s="121" t="str">
        <f>"Jul 31, "&amp;$G$4</f>
        <v>Jul 31, 2017</v>
      </c>
      <c r="H57" s="121" t="str">
        <f>"Oct 31, "&amp;$H$4-1</f>
        <v>Oct 31, 2017</v>
      </c>
      <c r="I57" s="121" t="str">
        <f>"Jan 31, "&amp;$H$4</f>
        <v>Jan 31, 2018</v>
      </c>
      <c r="J57" s="121" t="str">
        <f>"Apr 30, "&amp;$H$4</f>
        <v>Apr 30, 2018</v>
      </c>
      <c r="K57" s="121" t="str">
        <f>"Jul 31, "&amp;$H$4</f>
        <v>Jul 31, 2018</v>
      </c>
      <c r="M57" s="225"/>
    </row>
    <row r="58" spans="1:13" ht="15" customHeight="1" x14ac:dyDescent="0.2">
      <c r="A58" s="145"/>
      <c r="B58" s="133"/>
      <c r="C58" s="98" t="s">
        <v>174</v>
      </c>
      <c r="D58" s="143" t="s">
        <v>175</v>
      </c>
      <c r="E58" s="143" t="s">
        <v>175</v>
      </c>
      <c r="F58" s="143" t="s">
        <v>175</v>
      </c>
      <c r="G58" s="143" t="s">
        <v>175</v>
      </c>
      <c r="H58" s="143" t="s">
        <v>175</v>
      </c>
      <c r="I58" s="143" t="s">
        <v>175</v>
      </c>
      <c r="J58" s="143" t="s">
        <v>175</v>
      </c>
      <c r="K58" s="143" t="s">
        <v>175</v>
      </c>
      <c r="M58" s="225"/>
    </row>
    <row r="59" spans="1:13" ht="15" customHeight="1" x14ac:dyDescent="0.2">
      <c r="A59" s="146" t="s">
        <v>190</v>
      </c>
    </row>
    <row r="60" spans="1:13" x14ac:dyDescent="0.2">
      <c r="A60" s="446" t="s">
        <v>472</v>
      </c>
    </row>
  </sheetData>
  <sheetProtection sheet="1" objects="1" scenarios="1"/>
  <autoFilter ref="L10:M60">
    <filterColumn colId="1">
      <filters blank="1"/>
    </filterColumn>
  </autoFilter>
  <mergeCells count="1">
    <mergeCell ref="M9:M10"/>
  </mergeCells>
  <printOptions horizontalCentered="1"/>
  <pageMargins left="0.3" right="0.3" top="0.5" bottom="0.5" header="0.5" footer="0.5"/>
  <pageSetup scale="71" orientation="landscape" r:id="rId1"/>
  <headerFooter alignWithMargins="0"/>
  <drawing r:id="rId2"/>
  <legacyDrawing r:id="rId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V111"/>
  <sheetViews>
    <sheetView showGridLines="0" zoomScale="80" zoomScaleNormal="80" workbookViewId="0">
      <pane xSplit="1" ySplit="5" topLeftCell="B58" activePane="bottomRight" state="frozen"/>
      <selection activeCell="B6" sqref="B6"/>
      <selection pane="topRight" activeCell="B6" sqref="B6"/>
      <selection pane="bottomLeft" activeCell="B6" sqref="B6"/>
      <selection pane="bottomRight" activeCell="B65" sqref="B65"/>
    </sheetView>
  </sheetViews>
  <sheetFormatPr defaultRowHeight="14.25" x14ac:dyDescent="0.2"/>
  <cols>
    <col min="1" max="1" width="21.5703125" style="247" customWidth="1"/>
    <col min="2" max="2" width="43.5703125" style="246" customWidth="1"/>
    <col min="3" max="3" width="12.42578125" style="289" customWidth="1"/>
    <col min="4" max="11" width="15.5703125" style="246" customWidth="1"/>
    <col min="12" max="16" width="16.42578125" style="246" customWidth="1"/>
    <col min="17" max="18" width="16.42578125" style="246" hidden="1" customWidth="1"/>
    <col min="19" max="20" width="16.42578125" style="246" customWidth="1"/>
    <col min="21" max="21" width="16.42578125" style="246" hidden="1" customWidth="1"/>
    <col min="22" max="22" width="16.42578125" style="246" customWidth="1"/>
    <col min="23" max="16384" width="9.140625" style="246"/>
  </cols>
  <sheetData>
    <row r="1" spans="1:22" ht="20.100000000000001" customHeight="1" x14ac:dyDescent="0.2">
      <c r="A1" s="388" t="s">
        <v>422</v>
      </c>
      <c r="B1" s="389"/>
      <c r="C1" s="389"/>
      <c r="D1" s="389"/>
      <c r="E1" s="389"/>
      <c r="F1" s="389"/>
      <c r="G1" s="389"/>
      <c r="H1" s="389"/>
      <c r="I1" s="389"/>
      <c r="J1" s="389"/>
      <c r="K1" s="389"/>
      <c r="L1" s="389"/>
      <c r="M1" s="389"/>
      <c r="N1" s="389"/>
      <c r="O1" s="389"/>
      <c r="P1" s="389"/>
      <c r="Q1" s="389"/>
      <c r="R1" s="389"/>
      <c r="S1" s="389"/>
      <c r="T1" s="389"/>
      <c r="U1" s="389"/>
      <c r="V1" s="389"/>
    </row>
    <row r="2" spans="1:22" ht="24.95" customHeight="1" x14ac:dyDescent="0.2">
      <c r="A2" s="244" t="s">
        <v>297</v>
      </c>
      <c r="B2" s="245"/>
      <c r="C2" s="245"/>
      <c r="D2" s="245"/>
      <c r="E2" s="245"/>
      <c r="F2" s="245"/>
      <c r="G2" s="245"/>
      <c r="H2" s="245"/>
      <c r="I2" s="245"/>
      <c r="J2" s="245"/>
      <c r="K2" s="245"/>
      <c r="L2" s="245"/>
      <c r="M2" s="245"/>
      <c r="N2" s="245"/>
      <c r="O2" s="245"/>
      <c r="P2" s="245"/>
      <c r="Q2" s="304"/>
      <c r="R2" s="305"/>
      <c r="S2" s="244"/>
      <c r="T2" s="244"/>
      <c r="U2" s="305"/>
      <c r="V2" s="245"/>
    </row>
    <row r="3" spans="1:22" s="302" customFormat="1" ht="24.95" customHeight="1" thickBot="1" x14ac:dyDescent="0.25">
      <c r="A3" s="302">
        <v>1</v>
      </c>
      <c r="B3" s="302">
        <v>2</v>
      </c>
      <c r="C3" s="302">
        <v>3</v>
      </c>
      <c r="D3" s="302">
        <v>4</v>
      </c>
      <c r="E3" s="302">
        <v>5</v>
      </c>
      <c r="F3" s="302">
        <v>6</v>
      </c>
      <c r="G3" s="302">
        <v>7</v>
      </c>
      <c r="H3" s="302">
        <v>8</v>
      </c>
      <c r="I3" s="302">
        <v>9</v>
      </c>
      <c r="J3" s="302">
        <v>10</v>
      </c>
      <c r="K3" s="302">
        <v>11</v>
      </c>
      <c r="L3" s="302">
        <v>12</v>
      </c>
      <c r="M3" s="302">
        <v>13</v>
      </c>
      <c r="N3" s="302">
        <v>14</v>
      </c>
      <c r="O3" s="302">
        <v>15</v>
      </c>
      <c r="P3" s="302">
        <v>16</v>
      </c>
      <c r="Q3" s="302">
        <v>17</v>
      </c>
      <c r="R3" s="302">
        <v>18</v>
      </c>
      <c r="S3" s="302">
        <v>19</v>
      </c>
      <c r="T3" s="302">
        <v>20</v>
      </c>
      <c r="U3" s="303">
        <v>21</v>
      </c>
      <c r="V3" s="302">
        <v>22</v>
      </c>
    </row>
    <row r="4" spans="1:22" ht="24.95" customHeight="1" thickTop="1" x14ac:dyDescent="0.2">
      <c r="B4" s="245"/>
      <c r="C4" s="245"/>
      <c r="D4" s="248" t="s">
        <v>265</v>
      </c>
      <c r="E4" s="249"/>
      <c r="F4" s="250"/>
      <c r="G4" s="250"/>
      <c r="H4" s="250"/>
      <c r="I4" s="250"/>
      <c r="J4" s="250"/>
      <c r="K4" s="251"/>
      <c r="L4" s="252" t="s">
        <v>266</v>
      </c>
      <c r="M4" s="253"/>
      <c r="N4" s="254"/>
      <c r="O4" s="252" t="s">
        <v>267</v>
      </c>
      <c r="P4" s="253"/>
      <c r="Q4" s="253"/>
      <c r="R4" s="253"/>
      <c r="S4" s="253"/>
      <c r="T4" s="253"/>
      <c r="U4" s="253"/>
      <c r="V4" s="254"/>
    </row>
    <row r="5" spans="1:22" ht="71.25" customHeight="1" thickBot="1" x14ac:dyDescent="0.25">
      <c r="A5" s="255" t="s">
        <v>268</v>
      </c>
      <c r="B5" s="255" t="s">
        <v>293</v>
      </c>
      <c r="C5" s="255" t="s">
        <v>269</v>
      </c>
      <c r="D5" s="256" t="s">
        <v>270</v>
      </c>
      <c r="E5" s="257" t="s">
        <v>271</v>
      </c>
      <c r="F5" s="257" t="s">
        <v>272</v>
      </c>
      <c r="G5" s="257" t="s">
        <v>273</v>
      </c>
      <c r="H5" s="257" t="s">
        <v>274</v>
      </c>
      <c r="I5" s="257" t="s">
        <v>275</v>
      </c>
      <c r="J5" s="258" t="s">
        <v>276</v>
      </c>
      <c r="K5" s="259" t="s">
        <v>277</v>
      </c>
      <c r="L5" s="260" t="s">
        <v>278</v>
      </c>
      <c r="M5" s="261" t="s">
        <v>279</v>
      </c>
      <c r="N5" s="262" t="s">
        <v>280</v>
      </c>
      <c r="O5" s="263" t="s">
        <v>271</v>
      </c>
      <c r="P5" s="264" t="s">
        <v>272</v>
      </c>
      <c r="Q5" s="265" t="s">
        <v>273</v>
      </c>
      <c r="R5" s="266" t="s">
        <v>274</v>
      </c>
      <c r="S5" s="266" t="s">
        <v>281</v>
      </c>
      <c r="T5" s="266" t="s">
        <v>282</v>
      </c>
      <c r="U5" s="266" t="s">
        <v>283</v>
      </c>
      <c r="V5" s="267" t="s">
        <v>284</v>
      </c>
    </row>
    <row r="6" spans="1:22" ht="24.95" customHeight="1" thickTop="1" x14ac:dyDescent="0.2">
      <c r="A6" s="268" t="s">
        <v>50</v>
      </c>
      <c r="B6" s="269" t="s">
        <v>14</v>
      </c>
      <c r="C6" s="270" t="s">
        <v>285</v>
      </c>
      <c r="D6" s="271">
        <v>154151</v>
      </c>
      <c r="E6" s="271">
        <v>5331</v>
      </c>
      <c r="F6" s="271">
        <v>29904</v>
      </c>
      <c r="G6" s="271">
        <v>2392</v>
      </c>
      <c r="H6" s="271">
        <v>5438</v>
      </c>
      <c r="I6" s="271">
        <v>87069</v>
      </c>
      <c r="J6" s="271">
        <v>24017</v>
      </c>
      <c r="K6" s="271">
        <f>SUM(F6:I6)</f>
        <v>124803</v>
      </c>
      <c r="L6" s="272">
        <v>8.7999999999999995E-2</v>
      </c>
      <c r="M6" s="272">
        <v>0.21299999999999999</v>
      </c>
      <c r="N6" s="273">
        <v>0.17599999999999999</v>
      </c>
      <c r="O6" s="274">
        <f>L6*E6</f>
        <v>469.12799999999999</v>
      </c>
      <c r="P6" s="275">
        <f>L6*F6</f>
        <v>2631.5519999999997</v>
      </c>
      <c r="Q6" s="275">
        <f>L6*G6</f>
        <v>210.49599999999998</v>
      </c>
      <c r="R6" s="275">
        <f>M6*H6</f>
        <v>1158.2939999999999</v>
      </c>
      <c r="S6" s="275">
        <f>SUM(Q6:R6)</f>
        <v>1368.79</v>
      </c>
      <c r="T6" s="275">
        <f t="shared" ref="T6:T37" si="0">M6*I6</f>
        <v>18545.697</v>
      </c>
      <c r="U6" s="275">
        <f>SUM(S6:T6)</f>
        <v>19914.487000000001</v>
      </c>
      <c r="V6" s="275">
        <f>SUM(P6,U6)</f>
        <v>22546.039000000001</v>
      </c>
    </row>
    <row r="7" spans="1:22" ht="24.95" customHeight="1" x14ac:dyDescent="0.2">
      <c r="A7" s="276" t="s">
        <v>123</v>
      </c>
      <c r="B7" s="277" t="s">
        <v>292</v>
      </c>
      <c r="C7" s="278" t="s">
        <v>286</v>
      </c>
      <c r="D7" s="279">
        <v>37209</v>
      </c>
      <c r="E7" s="279">
        <v>1087</v>
      </c>
      <c r="F7" s="279">
        <v>6852</v>
      </c>
      <c r="G7" s="279">
        <v>465</v>
      </c>
      <c r="H7" s="279">
        <v>878</v>
      </c>
      <c r="I7" s="279">
        <v>21538</v>
      </c>
      <c r="J7" s="279">
        <v>6389</v>
      </c>
      <c r="K7" s="279">
        <f t="shared" ref="K7:K70" si="1">SUM(F7:I7)</f>
        <v>29733</v>
      </c>
      <c r="L7" s="280">
        <v>7.5999999999999998E-2</v>
      </c>
      <c r="M7" s="280">
        <v>0.19500000000000001</v>
      </c>
      <c r="N7" s="281">
        <v>0.16200000000000001</v>
      </c>
      <c r="O7" s="282">
        <f t="shared" ref="O7:O70" si="2">L7*E7</f>
        <v>82.611999999999995</v>
      </c>
      <c r="P7" s="283">
        <f t="shared" ref="P7:P70" si="3">L7*F7</f>
        <v>520.75199999999995</v>
      </c>
      <c r="Q7" s="275">
        <f t="shared" ref="Q7:Q38" si="4">L7*G7</f>
        <v>35.339999999999996</v>
      </c>
      <c r="R7" s="283">
        <f t="shared" ref="R7:R70" si="5">M7*H7</f>
        <v>171.21</v>
      </c>
      <c r="S7" s="275">
        <f t="shared" ref="S7:S70" si="6">SUM(Q7:R7)</f>
        <v>206.55</v>
      </c>
      <c r="T7" s="283">
        <f t="shared" si="0"/>
        <v>4199.91</v>
      </c>
      <c r="U7" s="283">
        <f t="shared" ref="U7:U70" si="7">SUM(S7:T7)</f>
        <v>4406.46</v>
      </c>
      <c r="V7" s="283">
        <f t="shared" ref="V7:V70" si="8">SUM(P7,U7)</f>
        <v>4927.2119999999995</v>
      </c>
    </row>
    <row r="8" spans="1:22" ht="24.95" customHeight="1" x14ac:dyDescent="0.2">
      <c r="A8" s="276" t="s">
        <v>124</v>
      </c>
      <c r="B8" s="277" t="s">
        <v>292</v>
      </c>
      <c r="C8" s="278" t="s">
        <v>286</v>
      </c>
      <c r="D8" s="279">
        <v>10874</v>
      </c>
      <c r="E8" s="279">
        <v>260</v>
      </c>
      <c r="F8" s="279">
        <v>1775</v>
      </c>
      <c r="G8" s="279">
        <v>132</v>
      </c>
      <c r="H8" s="279">
        <v>260</v>
      </c>
      <c r="I8" s="279">
        <v>5918</v>
      </c>
      <c r="J8" s="279">
        <v>2529</v>
      </c>
      <c r="K8" s="279">
        <f t="shared" si="1"/>
        <v>8085</v>
      </c>
      <c r="L8" s="280">
        <v>8.6999999999999994E-2</v>
      </c>
      <c r="M8" s="280">
        <v>0.216</v>
      </c>
      <c r="N8" s="281">
        <v>0.182</v>
      </c>
      <c r="O8" s="282">
        <f t="shared" si="2"/>
        <v>22.619999999999997</v>
      </c>
      <c r="P8" s="283">
        <f t="shared" si="3"/>
        <v>154.42499999999998</v>
      </c>
      <c r="Q8" s="275">
        <f t="shared" si="4"/>
        <v>11.484</v>
      </c>
      <c r="R8" s="283">
        <f t="shared" si="5"/>
        <v>56.16</v>
      </c>
      <c r="S8" s="275">
        <f t="shared" si="6"/>
        <v>67.643999999999991</v>
      </c>
      <c r="T8" s="283">
        <f t="shared" si="0"/>
        <v>1278.288</v>
      </c>
      <c r="U8" s="283">
        <f t="shared" si="7"/>
        <v>1345.932</v>
      </c>
      <c r="V8" s="283">
        <f t="shared" si="8"/>
        <v>1500.357</v>
      </c>
    </row>
    <row r="9" spans="1:22" ht="24.95" customHeight="1" x14ac:dyDescent="0.2">
      <c r="A9" s="276" t="s">
        <v>114</v>
      </c>
      <c r="B9" s="277" t="s">
        <v>21</v>
      </c>
      <c r="C9" s="278" t="s">
        <v>286</v>
      </c>
      <c r="D9" s="279">
        <v>26635</v>
      </c>
      <c r="E9" s="279">
        <v>803</v>
      </c>
      <c r="F9" s="279">
        <v>4770</v>
      </c>
      <c r="G9" s="279">
        <v>340</v>
      </c>
      <c r="H9" s="279">
        <v>764</v>
      </c>
      <c r="I9" s="279">
        <v>15836</v>
      </c>
      <c r="J9" s="279">
        <v>4122</v>
      </c>
      <c r="K9" s="279">
        <f t="shared" si="1"/>
        <v>21710</v>
      </c>
      <c r="L9" s="280">
        <v>8.5000000000000006E-2</v>
      </c>
      <c r="M9" s="280">
        <v>0.23100000000000001</v>
      </c>
      <c r="N9" s="281">
        <v>0.192</v>
      </c>
      <c r="O9" s="282">
        <f t="shared" si="2"/>
        <v>68.25500000000001</v>
      </c>
      <c r="P9" s="283">
        <f t="shared" si="3"/>
        <v>405.45000000000005</v>
      </c>
      <c r="Q9" s="275">
        <f t="shared" si="4"/>
        <v>28.900000000000002</v>
      </c>
      <c r="R9" s="283">
        <f t="shared" si="5"/>
        <v>176.48400000000001</v>
      </c>
      <c r="S9" s="275">
        <f t="shared" si="6"/>
        <v>205.38400000000001</v>
      </c>
      <c r="T9" s="283">
        <f t="shared" si="0"/>
        <v>3658.116</v>
      </c>
      <c r="U9" s="283">
        <f t="shared" si="7"/>
        <v>3863.5</v>
      </c>
      <c r="V9" s="283">
        <f t="shared" si="8"/>
        <v>4268.95</v>
      </c>
    </row>
    <row r="10" spans="1:22" ht="24.95" customHeight="1" x14ac:dyDescent="0.2">
      <c r="A10" s="276" t="s">
        <v>125</v>
      </c>
      <c r="B10" s="277" t="s">
        <v>292</v>
      </c>
      <c r="C10" s="278" t="s">
        <v>286</v>
      </c>
      <c r="D10" s="279">
        <v>27468</v>
      </c>
      <c r="E10" s="279">
        <v>758</v>
      </c>
      <c r="F10" s="279">
        <v>4489</v>
      </c>
      <c r="G10" s="279">
        <v>279</v>
      </c>
      <c r="H10" s="279">
        <v>553</v>
      </c>
      <c r="I10" s="279">
        <v>15281</v>
      </c>
      <c r="J10" s="279">
        <v>6108</v>
      </c>
      <c r="K10" s="279">
        <f t="shared" si="1"/>
        <v>20602</v>
      </c>
      <c r="L10" s="280">
        <v>7.5999999999999998E-2</v>
      </c>
      <c r="M10" s="280">
        <v>0.19700000000000001</v>
      </c>
      <c r="N10" s="281">
        <v>0.16700000000000001</v>
      </c>
      <c r="O10" s="282">
        <f t="shared" si="2"/>
        <v>57.607999999999997</v>
      </c>
      <c r="P10" s="283">
        <f t="shared" si="3"/>
        <v>341.16399999999999</v>
      </c>
      <c r="Q10" s="275">
        <f t="shared" si="4"/>
        <v>21.204000000000001</v>
      </c>
      <c r="R10" s="283">
        <f t="shared" si="5"/>
        <v>108.941</v>
      </c>
      <c r="S10" s="275">
        <f t="shared" si="6"/>
        <v>130.14500000000001</v>
      </c>
      <c r="T10" s="283">
        <f t="shared" si="0"/>
        <v>3010.357</v>
      </c>
      <c r="U10" s="283">
        <f t="shared" si="7"/>
        <v>3140.502</v>
      </c>
      <c r="V10" s="283">
        <f t="shared" si="8"/>
        <v>3481.6660000000002</v>
      </c>
    </row>
    <row r="11" spans="1:22" ht="24.95" customHeight="1" x14ac:dyDescent="0.2">
      <c r="A11" s="276" t="s">
        <v>126</v>
      </c>
      <c r="B11" s="277" t="s">
        <v>292</v>
      </c>
      <c r="C11" s="278" t="s">
        <v>286</v>
      </c>
      <c r="D11" s="279">
        <v>17842</v>
      </c>
      <c r="E11" s="279">
        <v>442</v>
      </c>
      <c r="F11" s="279">
        <v>2459</v>
      </c>
      <c r="G11" s="279">
        <v>196</v>
      </c>
      <c r="H11" s="279">
        <v>451</v>
      </c>
      <c r="I11" s="279">
        <v>10853</v>
      </c>
      <c r="J11" s="279">
        <v>3441</v>
      </c>
      <c r="K11" s="279">
        <f t="shared" si="1"/>
        <v>13959</v>
      </c>
      <c r="L11" s="280">
        <v>8.2000000000000003E-2</v>
      </c>
      <c r="M11" s="280">
        <v>0.21099999999999999</v>
      </c>
      <c r="N11" s="281">
        <v>0.182</v>
      </c>
      <c r="O11" s="282">
        <f t="shared" si="2"/>
        <v>36.244</v>
      </c>
      <c r="P11" s="283">
        <f t="shared" si="3"/>
        <v>201.63800000000001</v>
      </c>
      <c r="Q11" s="275">
        <f t="shared" si="4"/>
        <v>16.071999999999999</v>
      </c>
      <c r="R11" s="283">
        <f t="shared" si="5"/>
        <v>95.161000000000001</v>
      </c>
      <c r="S11" s="275">
        <f t="shared" si="6"/>
        <v>111.233</v>
      </c>
      <c r="T11" s="283">
        <f t="shared" si="0"/>
        <v>2289.9829999999997</v>
      </c>
      <c r="U11" s="283">
        <f t="shared" si="7"/>
        <v>2401.2159999999999</v>
      </c>
      <c r="V11" s="283">
        <f t="shared" si="8"/>
        <v>2602.8539999999998</v>
      </c>
    </row>
    <row r="12" spans="1:22" ht="24.95" customHeight="1" x14ac:dyDescent="0.2">
      <c r="A12" s="276" t="s">
        <v>74</v>
      </c>
      <c r="B12" s="277" t="s">
        <v>17</v>
      </c>
      <c r="C12" s="278" t="s">
        <v>286</v>
      </c>
      <c r="D12" s="279">
        <v>48010</v>
      </c>
      <c r="E12" s="279">
        <v>1548</v>
      </c>
      <c r="F12" s="279">
        <v>8751</v>
      </c>
      <c r="G12" s="279">
        <v>554</v>
      </c>
      <c r="H12" s="279">
        <v>1036</v>
      </c>
      <c r="I12" s="279">
        <v>26140</v>
      </c>
      <c r="J12" s="279">
        <v>9981</v>
      </c>
      <c r="K12" s="279">
        <f t="shared" si="1"/>
        <v>36481</v>
      </c>
      <c r="L12" s="280">
        <v>8.5000000000000006E-2</v>
      </c>
      <c r="M12" s="280">
        <v>0.20300000000000001</v>
      </c>
      <c r="N12" s="281">
        <v>0.17</v>
      </c>
      <c r="O12" s="282">
        <f t="shared" si="2"/>
        <v>131.58000000000001</v>
      </c>
      <c r="P12" s="283">
        <f t="shared" si="3"/>
        <v>743.83500000000004</v>
      </c>
      <c r="Q12" s="275">
        <f t="shared" si="4"/>
        <v>47.09</v>
      </c>
      <c r="R12" s="283">
        <f t="shared" si="5"/>
        <v>210.30800000000002</v>
      </c>
      <c r="S12" s="275">
        <f t="shared" si="6"/>
        <v>257.39800000000002</v>
      </c>
      <c r="T12" s="283">
        <f t="shared" si="0"/>
        <v>5306.42</v>
      </c>
      <c r="U12" s="283">
        <f t="shared" si="7"/>
        <v>5563.8180000000002</v>
      </c>
      <c r="V12" s="283">
        <f t="shared" si="8"/>
        <v>6307.6530000000002</v>
      </c>
    </row>
    <row r="13" spans="1:22" ht="24.95" customHeight="1" x14ac:dyDescent="0.2">
      <c r="A13" s="284" t="s">
        <v>75</v>
      </c>
      <c r="B13" s="285" t="s">
        <v>17</v>
      </c>
      <c r="C13" s="286" t="s">
        <v>286</v>
      </c>
      <c r="D13" s="279">
        <v>20450</v>
      </c>
      <c r="E13" s="279">
        <v>586</v>
      </c>
      <c r="F13" s="279">
        <v>3508</v>
      </c>
      <c r="G13" s="279">
        <v>215</v>
      </c>
      <c r="H13" s="279">
        <v>419</v>
      </c>
      <c r="I13" s="279">
        <v>12042</v>
      </c>
      <c r="J13" s="279">
        <v>3680</v>
      </c>
      <c r="K13" s="279">
        <f t="shared" si="1"/>
        <v>16184</v>
      </c>
      <c r="L13" s="280">
        <v>8.6999999999999994E-2</v>
      </c>
      <c r="M13" s="280">
        <v>0.248</v>
      </c>
      <c r="N13" s="281">
        <v>0.20599999999999999</v>
      </c>
      <c r="O13" s="282">
        <f t="shared" si="2"/>
        <v>50.981999999999999</v>
      </c>
      <c r="P13" s="283">
        <f t="shared" si="3"/>
        <v>305.19599999999997</v>
      </c>
      <c r="Q13" s="275">
        <f t="shared" si="4"/>
        <v>18.704999999999998</v>
      </c>
      <c r="R13" s="283">
        <f t="shared" si="5"/>
        <v>103.91200000000001</v>
      </c>
      <c r="S13" s="275">
        <f t="shared" si="6"/>
        <v>122.617</v>
      </c>
      <c r="T13" s="283">
        <f t="shared" si="0"/>
        <v>2986.4160000000002</v>
      </c>
      <c r="U13" s="283">
        <f t="shared" si="7"/>
        <v>3109.0330000000004</v>
      </c>
      <c r="V13" s="283">
        <f t="shared" si="8"/>
        <v>3414.2290000000003</v>
      </c>
    </row>
    <row r="14" spans="1:22" ht="24.95" customHeight="1" x14ac:dyDescent="0.2">
      <c r="A14" s="284" t="s">
        <v>93</v>
      </c>
      <c r="B14" s="285" t="s">
        <v>18</v>
      </c>
      <c r="C14" s="286" t="s">
        <v>286</v>
      </c>
      <c r="D14" s="279">
        <v>35226</v>
      </c>
      <c r="E14" s="279">
        <v>1078</v>
      </c>
      <c r="F14" s="279">
        <v>6648</v>
      </c>
      <c r="G14" s="279">
        <v>455</v>
      </c>
      <c r="H14" s="279">
        <v>906</v>
      </c>
      <c r="I14" s="279">
        <v>19979</v>
      </c>
      <c r="J14" s="279">
        <v>6160</v>
      </c>
      <c r="K14" s="279">
        <f t="shared" si="1"/>
        <v>27988</v>
      </c>
      <c r="L14" s="280">
        <v>8.5999999999999993E-2</v>
      </c>
      <c r="M14" s="280">
        <v>0.21199999999999999</v>
      </c>
      <c r="N14" s="281">
        <v>0.17699999999999999</v>
      </c>
      <c r="O14" s="282">
        <f t="shared" si="2"/>
        <v>92.707999999999998</v>
      </c>
      <c r="P14" s="283">
        <f t="shared" si="3"/>
        <v>571.72799999999995</v>
      </c>
      <c r="Q14" s="275">
        <f t="shared" si="4"/>
        <v>39.129999999999995</v>
      </c>
      <c r="R14" s="283">
        <f t="shared" si="5"/>
        <v>192.072</v>
      </c>
      <c r="S14" s="275">
        <f t="shared" si="6"/>
        <v>231.202</v>
      </c>
      <c r="T14" s="283">
        <f t="shared" si="0"/>
        <v>4235.5479999999998</v>
      </c>
      <c r="U14" s="283">
        <f t="shared" si="7"/>
        <v>4466.75</v>
      </c>
      <c r="V14" s="283">
        <f t="shared" si="8"/>
        <v>5038.4780000000001</v>
      </c>
    </row>
    <row r="15" spans="1:22" ht="24.95" customHeight="1" x14ac:dyDescent="0.2">
      <c r="A15" s="284" t="s">
        <v>69</v>
      </c>
      <c r="B15" s="285" t="s">
        <v>16</v>
      </c>
      <c r="C15" s="286" t="s">
        <v>286</v>
      </c>
      <c r="D15" s="279">
        <v>114882</v>
      </c>
      <c r="E15" s="279">
        <v>3187</v>
      </c>
      <c r="F15" s="279">
        <v>17605</v>
      </c>
      <c r="G15" s="279">
        <v>1018</v>
      </c>
      <c r="H15" s="279">
        <v>2076</v>
      </c>
      <c r="I15" s="279">
        <v>61680</v>
      </c>
      <c r="J15" s="279">
        <v>29316</v>
      </c>
      <c r="K15" s="279">
        <f t="shared" si="1"/>
        <v>82379</v>
      </c>
      <c r="L15" s="280">
        <v>7.8E-2</v>
      </c>
      <c r="M15" s="280">
        <v>0.2</v>
      </c>
      <c r="N15" s="281">
        <v>0.17</v>
      </c>
      <c r="O15" s="282">
        <f t="shared" si="2"/>
        <v>248.58600000000001</v>
      </c>
      <c r="P15" s="283">
        <f t="shared" si="3"/>
        <v>1373.19</v>
      </c>
      <c r="Q15" s="275">
        <f t="shared" si="4"/>
        <v>79.403999999999996</v>
      </c>
      <c r="R15" s="283">
        <f t="shared" si="5"/>
        <v>415.20000000000005</v>
      </c>
      <c r="S15" s="275">
        <f t="shared" si="6"/>
        <v>494.60400000000004</v>
      </c>
      <c r="T15" s="283">
        <f t="shared" si="0"/>
        <v>12336</v>
      </c>
      <c r="U15" s="283">
        <f t="shared" si="7"/>
        <v>12830.603999999999</v>
      </c>
      <c r="V15" s="283">
        <f t="shared" si="8"/>
        <v>14203.794</v>
      </c>
    </row>
    <row r="16" spans="1:22" ht="24.95" customHeight="1" x14ac:dyDescent="0.2">
      <c r="A16" s="284" t="s">
        <v>127</v>
      </c>
      <c r="B16" s="285" t="s">
        <v>292</v>
      </c>
      <c r="C16" s="286" t="s">
        <v>285</v>
      </c>
      <c r="D16" s="279">
        <v>248578</v>
      </c>
      <c r="E16" s="279">
        <v>7837</v>
      </c>
      <c r="F16" s="279">
        <v>41423</v>
      </c>
      <c r="G16" s="279">
        <v>2884</v>
      </c>
      <c r="H16" s="279">
        <v>5859</v>
      </c>
      <c r="I16" s="279">
        <v>147277</v>
      </c>
      <c r="J16" s="279">
        <v>43298</v>
      </c>
      <c r="K16" s="279">
        <f t="shared" si="1"/>
        <v>197443</v>
      </c>
      <c r="L16" s="280">
        <v>7.6999999999999999E-2</v>
      </c>
      <c r="M16" s="280">
        <v>0.185</v>
      </c>
      <c r="N16" s="281">
        <v>0.158</v>
      </c>
      <c r="O16" s="282">
        <f t="shared" si="2"/>
        <v>603.44899999999996</v>
      </c>
      <c r="P16" s="283">
        <f t="shared" si="3"/>
        <v>3189.5709999999999</v>
      </c>
      <c r="Q16" s="275">
        <f t="shared" si="4"/>
        <v>222.06799999999998</v>
      </c>
      <c r="R16" s="283">
        <f t="shared" si="5"/>
        <v>1083.915</v>
      </c>
      <c r="S16" s="275">
        <f t="shared" si="6"/>
        <v>1305.9829999999999</v>
      </c>
      <c r="T16" s="283">
        <f t="shared" si="0"/>
        <v>27246.244999999999</v>
      </c>
      <c r="U16" s="283">
        <f t="shared" si="7"/>
        <v>28552.227999999999</v>
      </c>
      <c r="V16" s="283">
        <f t="shared" si="8"/>
        <v>31741.798999999999</v>
      </c>
    </row>
    <row r="17" spans="1:22" ht="24.95" customHeight="1" x14ac:dyDescent="0.2">
      <c r="A17" s="284" t="s">
        <v>106</v>
      </c>
      <c r="B17" s="285" t="s">
        <v>20</v>
      </c>
      <c r="C17" s="286" t="s">
        <v>286</v>
      </c>
      <c r="D17" s="279">
        <v>89604</v>
      </c>
      <c r="E17" s="279">
        <v>2609</v>
      </c>
      <c r="F17" s="279">
        <v>16406</v>
      </c>
      <c r="G17" s="279">
        <v>1702</v>
      </c>
      <c r="H17" s="279">
        <v>2811</v>
      </c>
      <c r="I17" s="279">
        <v>50316</v>
      </c>
      <c r="J17" s="279">
        <v>15760</v>
      </c>
      <c r="K17" s="279">
        <f t="shared" si="1"/>
        <v>71235</v>
      </c>
      <c r="L17" s="280">
        <v>0.08</v>
      </c>
      <c r="M17" s="280">
        <v>0.187</v>
      </c>
      <c r="N17" s="281">
        <v>0.156</v>
      </c>
      <c r="O17" s="282">
        <f t="shared" si="2"/>
        <v>208.72</v>
      </c>
      <c r="P17" s="283">
        <f t="shared" si="3"/>
        <v>1312.48</v>
      </c>
      <c r="Q17" s="275">
        <f t="shared" si="4"/>
        <v>136.16</v>
      </c>
      <c r="R17" s="283">
        <f t="shared" si="5"/>
        <v>525.65700000000004</v>
      </c>
      <c r="S17" s="275">
        <f t="shared" si="6"/>
        <v>661.81700000000001</v>
      </c>
      <c r="T17" s="283">
        <f t="shared" si="0"/>
        <v>9409.0920000000006</v>
      </c>
      <c r="U17" s="283">
        <f t="shared" si="7"/>
        <v>10070.909</v>
      </c>
      <c r="V17" s="283">
        <f t="shared" si="8"/>
        <v>11383.388999999999</v>
      </c>
    </row>
    <row r="18" spans="1:22" ht="24.95" customHeight="1" x14ac:dyDescent="0.2">
      <c r="A18" s="284" t="s">
        <v>51</v>
      </c>
      <c r="B18" s="285" t="s">
        <v>14</v>
      </c>
      <c r="C18" s="286" t="s">
        <v>285</v>
      </c>
      <c r="D18" s="279">
        <v>186531</v>
      </c>
      <c r="E18" s="279">
        <v>7146</v>
      </c>
      <c r="F18" s="279">
        <v>41700</v>
      </c>
      <c r="G18" s="279">
        <v>2533</v>
      </c>
      <c r="H18" s="279">
        <v>5009</v>
      </c>
      <c r="I18" s="279">
        <v>107427</v>
      </c>
      <c r="J18" s="279">
        <v>22716</v>
      </c>
      <c r="K18" s="279">
        <f t="shared" si="1"/>
        <v>156669</v>
      </c>
      <c r="L18" s="280">
        <v>8.1000000000000003E-2</v>
      </c>
      <c r="M18" s="280">
        <v>0.20899999999999999</v>
      </c>
      <c r="N18" s="281">
        <v>0.16800000000000001</v>
      </c>
      <c r="O18" s="282">
        <f t="shared" si="2"/>
        <v>578.82600000000002</v>
      </c>
      <c r="P18" s="283">
        <f t="shared" si="3"/>
        <v>3377.7000000000003</v>
      </c>
      <c r="Q18" s="275">
        <f t="shared" si="4"/>
        <v>205.173</v>
      </c>
      <c r="R18" s="283">
        <f t="shared" si="5"/>
        <v>1046.8809999999999</v>
      </c>
      <c r="S18" s="275">
        <f t="shared" si="6"/>
        <v>1252.0539999999999</v>
      </c>
      <c r="T18" s="283">
        <f t="shared" si="0"/>
        <v>22452.242999999999</v>
      </c>
      <c r="U18" s="283">
        <f t="shared" si="7"/>
        <v>23704.296999999999</v>
      </c>
      <c r="V18" s="283">
        <f t="shared" si="8"/>
        <v>27081.996999999999</v>
      </c>
    </row>
    <row r="19" spans="1:22" ht="24.95" customHeight="1" x14ac:dyDescent="0.2">
      <c r="A19" s="284" t="s">
        <v>128</v>
      </c>
      <c r="B19" s="285" t="s">
        <v>292</v>
      </c>
      <c r="C19" s="286" t="s">
        <v>286</v>
      </c>
      <c r="D19" s="279">
        <v>82362</v>
      </c>
      <c r="E19" s="279">
        <v>2395</v>
      </c>
      <c r="F19" s="279">
        <v>15188</v>
      </c>
      <c r="G19" s="279">
        <v>1099</v>
      </c>
      <c r="H19" s="279">
        <v>2348</v>
      </c>
      <c r="I19" s="279">
        <v>47273</v>
      </c>
      <c r="J19" s="279">
        <v>14059</v>
      </c>
      <c r="K19" s="279">
        <f t="shared" si="1"/>
        <v>65908</v>
      </c>
      <c r="L19" s="280">
        <v>7.6999999999999999E-2</v>
      </c>
      <c r="M19" s="280">
        <v>0.186</v>
      </c>
      <c r="N19" s="281">
        <v>0.156</v>
      </c>
      <c r="O19" s="282">
        <f t="shared" si="2"/>
        <v>184.41499999999999</v>
      </c>
      <c r="P19" s="283">
        <f t="shared" si="3"/>
        <v>1169.4759999999999</v>
      </c>
      <c r="Q19" s="275">
        <f t="shared" si="4"/>
        <v>84.623000000000005</v>
      </c>
      <c r="R19" s="283">
        <f t="shared" si="5"/>
        <v>436.72800000000001</v>
      </c>
      <c r="S19" s="275">
        <f t="shared" si="6"/>
        <v>521.351</v>
      </c>
      <c r="T19" s="283">
        <f t="shared" si="0"/>
        <v>8792.7780000000002</v>
      </c>
      <c r="U19" s="283">
        <f t="shared" si="7"/>
        <v>9314.1290000000008</v>
      </c>
      <c r="V19" s="283">
        <f t="shared" si="8"/>
        <v>10483.605000000001</v>
      </c>
    </row>
    <row r="20" spans="1:22" ht="24.95" customHeight="1" x14ac:dyDescent="0.2">
      <c r="A20" s="284" t="s">
        <v>76</v>
      </c>
      <c r="B20" s="285" t="s">
        <v>17</v>
      </c>
      <c r="C20" s="286" t="s">
        <v>286</v>
      </c>
      <c r="D20" s="279">
        <v>9802</v>
      </c>
      <c r="E20" s="279">
        <v>239</v>
      </c>
      <c r="F20" s="279">
        <v>1944</v>
      </c>
      <c r="G20" s="279">
        <v>141</v>
      </c>
      <c r="H20" s="279">
        <v>251</v>
      </c>
      <c r="I20" s="279">
        <v>5766</v>
      </c>
      <c r="J20" s="279">
        <v>1461</v>
      </c>
      <c r="K20" s="279">
        <f t="shared" si="1"/>
        <v>8102</v>
      </c>
      <c r="L20" s="280">
        <v>6.8000000000000005E-2</v>
      </c>
      <c r="M20" s="280">
        <v>0.19500000000000001</v>
      </c>
      <c r="N20" s="281">
        <v>0.156</v>
      </c>
      <c r="O20" s="282">
        <f t="shared" si="2"/>
        <v>16.252000000000002</v>
      </c>
      <c r="P20" s="283">
        <f t="shared" si="3"/>
        <v>132.19200000000001</v>
      </c>
      <c r="Q20" s="275">
        <f t="shared" si="4"/>
        <v>9.588000000000001</v>
      </c>
      <c r="R20" s="283">
        <f t="shared" si="5"/>
        <v>48.945</v>
      </c>
      <c r="S20" s="275">
        <f t="shared" si="6"/>
        <v>58.533000000000001</v>
      </c>
      <c r="T20" s="283">
        <f t="shared" si="0"/>
        <v>1124.3700000000001</v>
      </c>
      <c r="U20" s="283">
        <f t="shared" si="7"/>
        <v>1182.903</v>
      </c>
      <c r="V20" s="283">
        <f t="shared" si="8"/>
        <v>1315.095</v>
      </c>
    </row>
    <row r="21" spans="1:22" ht="24.95" customHeight="1" x14ac:dyDescent="0.2">
      <c r="A21" s="284" t="s">
        <v>70</v>
      </c>
      <c r="B21" s="285" t="s">
        <v>16</v>
      </c>
      <c r="C21" s="286" t="s">
        <v>286</v>
      </c>
      <c r="D21" s="279">
        <v>69138</v>
      </c>
      <c r="E21" s="279">
        <v>1865</v>
      </c>
      <c r="F21" s="279">
        <v>10642</v>
      </c>
      <c r="G21" s="279">
        <v>790</v>
      </c>
      <c r="H21" s="279">
        <v>1501</v>
      </c>
      <c r="I21" s="279">
        <v>39709</v>
      </c>
      <c r="J21" s="279">
        <v>14631</v>
      </c>
      <c r="K21" s="279">
        <f t="shared" si="1"/>
        <v>52642</v>
      </c>
      <c r="L21" s="280">
        <v>7.3999999999999996E-2</v>
      </c>
      <c r="M21" s="280">
        <v>0.188</v>
      </c>
      <c r="N21" s="281">
        <v>0.161</v>
      </c>
      <c r="O21" s="282">
        <f t="shared" si="2"/>
        <v>138.01</v>
      </c>
      <c r="P21" s="283">
        <f t="shared" si="3"/>
        <v>787.50799999999992</v>
      </c>
      <c r="Q21" s="275">
        <f t="shared" si="4"/>
        <v>58.459999999999994</v>
      </c>
      <c r="R21" s="283">
        <f t="shared" si="5"/>
        <v>282.18799999999999</v>
      </c>
      <c r="S21" s="275">
        <f t="shared" si="6"/>
        <v>340.64799999999997</v>
      </c>
      <c r="T21" s="283">
        <f t="shared" si="0"/>
        <v>7465.2920000000004</v>
      </c>
      <c r="U21" s="283">
        <f t="shared" si="7"/>
        <v>7805.9400000000005</v>
      </c>
      <c r="V21" s="283">
        <f t="shared" si="8"/>
        <v>8593.4480000000003</v>
      </c>
    </row>
    <row r="22" spans="1:22" ht="24.95" customHeight="1" x14ac:dyDescent="0.2">
      <c r="A22" s="284" t="s">
        <v>52</v>
      </c>
      <c r="B22" s="285" t="s">
        <v>14</v>
      </c>
      <c r="C22" s="286" t="s">
        <v>286</v>
      </c>
      <c r="D22" s="279">
        <v>23582</v>
      </c>
      <c r="E22" s="279">
        <v>600</v>
      </c>
      <c r="F22" s="279">
        <v>3906</v>
      </c>
      <c r="G22" s="279">
        <v>257</v>
      </c>
      <c r="H22" s="279">
        <v>558</v>
      </c>
      <c r="I22" s="279">
        <v>14064</v>
      </c>
      <c r="J22" s="279">
        <v>4197</v>
      </c>
      <c r="K22" s="279">
        <f t="shared" si="1"/>
        <v>18785</v>
      </c>
      <c r="L22" s="280">
        <v>8.1000000000000003E-2</v>
      </c>
      <c r="M22" s="280">
        <v>0.23200000000000001</v>
      </c>
      <c r="N22" s="281">
        <v>0.19400000000000001</v>
      </c>
      <c r="O22" s="282">
        <f t="shared" si="2"/>
        <v>48.6</v>
      </c>
      <c r="P22" s="283">
        <f t="shared" si="3"/>
        <v>316.38600000000002</v>
      </c>
      <c r="Q22" s="275">
        <f t="shared" si="4"/>
        <v>20.817</v>
      </c>
      <c r="R22" s="283">
        <f t="shared" si="5"/>
        <v>129.45600000000002</v>
      </c>
      <c r="S22" s="275">
        <f t="shared" si="6"/>
        <v>150.27300000000002</v>
      </c>
      <c r="T22" s="283">
        <f t="shared" si="0"/>
        <v>3262.848</v>
      </c>
      <c r="U22" s="283">
        <f t="shared" si="7"/>
        <v>3413.1210000000001</v>
      </c>
      <c r="V22" s="283">
        <f t="shared" si="8"/>
        <v>3729.5070000000001</v>
      </c>
    </row>
    <row r="23" spans="1:22" ht="24.95" customHeight="1" x14ac:dyDescent="0.2">
      <c r="A23" s="284" t="s">
        <v>107</v>
      </c>
      <c r="B23" s="285" t="s">
        <v>20</v>
      </c>
      <c r="C23" s="286" t="s">
        <v>285</v>
      </c>
      <c r="D23" s="279">
        <v>156287</v>
      </c>
      <c r="E23" s="279">
        <v>5438</v>
      </c>
      <c r="F23" s="279">
        <v>30614</v>
      </c>
      <c r="G23" s="279">
        <v>2126</v>
      </c>
      <c r="H23" s="279">
        <v>4264</v>
      </c>
      <c r="I23" s="279">
        <v>89481</v>
      </c>
      <c r="J23" s="279">
        <v>24364</v>
      </c>
      <c r="K23" s="279">
        <f t="shared" si="1"/>
        <v>126485</v>
      </c>
      <c r="L23" s="280">
        <v>7.9000000000000001E-2</v>
      </c>
      <c r="M23" s="280">
        <v>0.17499999999999999</v>
      </c>
      <c r="N23" s="281">
        <v>0.14699999999999999</v>
      </c>
      <c r="O23" s="282">
        <f t="shared" si="2"/>
        <v>429.60200000000003</v>
      </c>
      <c r="P23" s="283">
        <f t="shared" si="3"/>
        <v>2418.5059999999999</v>
      </c>
      <c r="Q23" s="275">
        <f t="shared" si="4"/>
        <v>167.95400000000001</v>
      </c>
      <c r="R23" s="283">
        <f t="shared" si="5"/>
        <v>746.19999999999993</v>
      </c>
      <c r="S23" s="275">
        <f t="shared" si="6"/>
        <v>914.154</v>
      </c>
      <c r="T23" s="283">
        <f t="shared" si="0"/>
        <v>15659.174999999999</v>
      </c>
      <c r="U23" s="283">
        <f t="shared" si="7"/>
        <v>16573.328999999998</v>
      </c>
      <c r="V23" s="283">
        <f t="shared" si="8"/>
        <v>18991.834999999999</v>
      </c>
    </row>
    <row r="24" spans="1:22" ht="24.95" customHeight="1" x14ac:dyDescent="0.2">
      <c r="A24" s="284" t="s">
        <v>53</v>
      </c>
      <c r="B24" s="285" t="s">
        <v>14</v>
      </c>
      <c r="C24" s="286" t="s">
        <v>286</v>
      </c>
      <c r="D24" s="279">
        <v>67857</v>
      </c>
      <c r="E24" s="279">
        <v>1960</v>
      </c>
      <c r="F24" s="279">
        <v>12024</v>
      </c>
      <c r="G24" s="279">
        <v>721</v>
      </c>
      <c r="H24" s="279">
        <v>1340</v>
      </c>
      <c r="I24" s="279">
        <v>37438</v>
      </c>
      <c r="J24" s="279">
        <v>14374</v>
      </c>
      <c r="K24" s="279">
        <f t="shared" si="1"/>
        <v>51523</v>
      </c>
      <c r="L24" s="280">
        <v>8.8999999999999996E-2</v>
      </c>
      <c r="M24" s="280">
        <v>0.22500000000000001</v>
      </c>
      <c r="N24" s="281">
        <v>0.188</v>
      </c>
      <c r="O24" s="282">
        <f t="shared" si="2"/>
        <v>174.44</v>
      </c>
      <c r="P24" s="283">
        <f t="shared" si="3"/>
        <v>1070.136</v>
      </c>
      <c r="Q24" s="275">
        <f t="shared" si="4"/>
        <v>64.168999999999997</v>
      </c>
      <c r="R24" s="283">
        <f t="shared" si="5"/>
        <v>301.5</v>
      </c>
      <c r="S24" s="275">
        <f t="shared" si="6"/>
        <v>365.66899999999998</v>
      </c>
      <c r="T24" s="283">
        <f t="shared" si="0"/>
        <v>8423.5500000000011</v>
      </c>
      <c r="U24" s="283">
        <f t="shared" si="7"/>
        <v>8789.219000000001</v>
      </c>
      <c r="V24" s="283">
        <f t="shared" si="8"/>
        <v>9859.3550000000014</v>
      </c>
    </row>
    <row r="25" spans="1:22" ht="24.95" customHeight="1" x14ac:dyDescent="0.2">
      <c r="A25" s="284" t="s">
        <v>129</v>
      </c>
      <c r="B25" s="285" t="s">
        <v>292</v>
      </c>
      <c r="C25" s="286" t="s">
        <v>286</v>
      </c>
      <c r="D25" s="279">
        <v>26907</v>
      </c>
      <c r="E25" s="279">
        <v>578</v>
      </c>
      <c r="F25" s="279">
        <v>4311</v>
      </c>
      <c r="G25" s="279">
        <v>301</v>
      </c>
      <c r="H25" s="279">
        <v>543</v>
      </c>
      <c r="I25" s="279">
        <v>14192</v>
      </c>
      <c r="J25" s="279">
        <v>6982</v>
      </c>
      <c r="K25" s="279">
        <f t="shared" si="1"/>
        <v>19347</v>
      </c>
      <c r="L25" s="280">
        <v>7.9000000000000001E-2</v>
      </c>
      <c r="M25" s="280">
        <v>0.17199999999999999</v>
      </c>
      <c r="N25" s="281">
        <v>0.14799999999999999</v>
      </c>
      <c r="O25" s="282">
        <f t="shared" si="2"/>
        <v>45.661999999999999</v>
      </c>
      <c r="P25" s="283">
        <f t="shared" si="3"/>
        <v>340.56900000000002</v>
      </c>
      <c r="Q25" s="275">
        <f t="shared" si="4"/>
        <v>23.779</v>
      </c>
      <c r="R25" s="283">
        <f t="shared" si="5"/>
        <v>93.395999999999987</v>
      </c>
      <c r="S25" s="275">
        <f t="shared" si="6"/>
        <v>117.17499999999998</v>
      </c>
      <c r="T25" s="283">
        <f t="shared" si="0"/>
        <v>2441.0239999999999</v>
      </c>
      <c r="U25" s="283">
        <f t="shared" si="7"/>
        <v>2558.1990000000001</v>
      </c>
      <c r="V25" s="283">
        <f t="shared" si="8"/>
        <v>2898.768</v>
      </c>
    </row>
    <row r="26" spans="1:22" ht="24.95" customHeight="1" x14ac:dyDescent="0.2">
      <c r="A26" s="284" t="s">
        <v>77</v>
      </c>
      <c r="B26" s="285" t="s">
        <v>17</v>
      </c>
      <c r="C26" s="286" t="s">
        <v>286</v>
      </c>
      <c r="D26" s="279">
        <v>14761</v>
      </c>
      <c r="E26" s="279">
        <v>480</v>
      </c>
      <c r="F26" s="279">
        <v>2699</v>
      </c>
      <c r="G26" s="279">
        <v>206</v>
      </c>
      <c r="H26" s="279">
        <v>323</v>
      </c>
      <c r="I26" s="279">
        <v>7913</v>
      </c>
      <c r="J26" s="279">
        <v>3140</v>
      </c>
      <c r="K26" s="279">
        <f t="shared" si="1"/>
        <v>11141</v>
      </c>
      <c r="L26" s="280">
        <v>8.2000000000000003E-2</v>
      </c>
      <c r="M26" s="280">
        <v>0.20599999999999999</v>
      </c>
      <c r="N26" s="281">
        <v>0.17</v>
      </c>
      <c r="O26" s="282">
        <f t="shared" si="2"/>
        <v>39.36</v>
      </c>
      <c r="P26" s="283">
        <f t="shared" si="3"/>
        <v>221.31800000000001</v>
      </c>
      <c r="Q26" s="275">
        <f t="shared" si="4"/>
        <v>16.891999999999999</v>
      </c>
      <c r="R26" s="283">
        <f t="shared" si="5"/>
        <v>66.537999999999997</v>
      </c>
      <c r="S26" s="275">
        <f t="shared" si="6"/>
        <v>83.429999999999993</v>
      </c>
      <c r="T26" s="283">
        <f t="shared" si="0"/>
        <v>1630.078</v>
      </c>
      <c r="U26" s="283">
        <f t="shared" si="7"/>
        <v>1713.508</v>
      </c>
      <c r="V26" s="283">
        <f t="shared" si="8"/>
        <v>1934.826</v>
      </c>
    </row>
    <row r="27" spans="1:22" ht="24.95" customHeight="1" x14ac:dyDescent="0.2">
      <c r="A27" s="284" t="s">
        <v>130</v>
      </c>
      <c r="B27" s="285" t="s">
        <v>292</v>
      </c>
      <c r="C27" s="286" t="s">
        <v>286</v>
      </c>
      <c r="D27" s="279">
        <v>10559</v>
      </c>
      <c r="E27" s="279">
        <v>192</v>
      </c>
      <c r="F27" s="279">
        <v>1649</v>
      </c>
      <c r="G27" s="279">
        <v>103</v>
      </c>
      <c r="H27" s="279">
        <v>202</v>
      </c>
      <c r="I27" s="279">
        <v>5540</v>
      </c>
      <c r="J27" s="279">
        <v>2873</v>
      </c>
      <c r="K27" s="279">
        <f t="shared" si="1"/>
        <v>7494</v>
      </c>
      <c r="L27" s="280">
        <v>7.5999999999999998E-2</v>
      </c>
      <c r="M27" s="280">
        <v>0.187</v>
      </c>
      <c r="N27" s="281">
        <v>0.16</v>
      </c>
      <c r="O27" s="282">
        <f t="shared" si="2"/>
        <v>14.591999999999999</v>
      </c>
      <c r="P27" s="283">
        <f t="shared" si="3"/>
        <v>125.324</v>
      </c>
      <c r="Q27" s="275">
        <f t="shared" si="4"/>
        <v>7.8279999999999994</v>
      </c>
      <c r="R27" s="283">
        <f t="shared" si="5"/>
        <v>37.774000000000001</v>
      </c>
      <c r="S27" s="275">
        <f t="shared" si="6"/>
        <v>45.602000000000004</v>
      </c>
      <c r="T27" s="283">
        <f t="shared" si="0"/>
        <v>1035.98</v>
      </c>
      <c r="U27" s="283">
        <f t="shared" si="7"/>
        <v>1081.5820000000001</v>
      </c>
      <c r="V27" s="283">
        <f t="shared" si="8"/>
        <v>1206.9060000000002</v>
      </c>
    </row>
    <row r="28" spans="1:22" ht="24.95" customHeight="1" x14ac:dyDescent="0.2">
      <c r="A28" s="284" t="s">
        <v>108</v>
      </c>
      <c r="B28" s="285" t="s">
        <v>20</v>
      </c>
      <c r="C28" s="286" t="s">
        <v>286</v>
      </c>
      <c r="D28" s="279">
        <v>97280</v>
      </c>
      <c r="E28" s="279">
        <v>3237</v>
      </c>
      <c r="F28" s="279">
        <v>18607</v>
      </c>
      <c r="G28" s="279">
        <v>1461</v>
      </c>
      <c r="H28" s="279">
        <v>3026</v>
      </c>
      <c r="I28" s="279">
        <v>54887</v>
      </c>
      <c r="J28" s="279">
        <v>16062</v>
      </c>
      <c r="K28" s="279">
        <f t="shared" si="1"/>
        <v>77981</v>
      </c>
      <c r="L28" s="280">
        <v>7.9000000000000001E-2</v>
      </c>
      <c r="M28" s="280">
        <v>0.193</v>
      </c>
      <c r="N28" s="281">
        <v>0.16</v>
      </c>
      <c r="O28" s="282">
        <f t="shared" si="2"/>
        <v>255.72300000000001</v>
      </c>
      <c r="P28" s="283">
        <f t="shared" si="3"/>
        <v>1469.953</v>
      </c>
      <c r="Q28" s="275">
        <f t="shared" si="4"/>
        <v>115.419</v>
      </c>
      <c r="R28" s="283">
        <f t="shared" si="5"/>
        <v>584.01800000000003</v>
      </c>
      <c r="S28" s="275">
        <f t="shared" si="6"/>
        <v>699.43700000000001</v>
      </c>
      <c r="T28" s="283">
        <f t="shared" si="0"/>
        <v>10593.191000000001</v>
      </c>
      <c r="U28" s="283">
        <f t="shared" si="7"/>
        <v>11292.628000000001</v>
      </c>
      <c r="V28" s="283">
        <f t="shared" si="8"/>
        <v>12762.581</v>
      </c>
    </row>
    <row r="29" spans="1:22" ht="24.95" customHeight="1" x14ac:dyDescent="0.2">
      <c r="A29" s="284" t="s">
        <v>94</v>
      </c>
      <c r="B29" s="285" t="s">
        <v>18</v>
      </c>
      <c r="C29" s="286" t="s">
        <v>286</v>
      </c>
      <c r="D29" s="279">
        <v>57846</v>
      </c>
      <c r="E29" s="279">
        <v>1874</v>
      </c>
      <c r="F29" s="279">
        <v>11035</v>
      </c>
      <c r="G29" s="279">
        <v>825</v>
      </c>
      <c r="H29" s="279">
        <v>1439</v>
      </c>
      <c r="I29" s="279">
        <v>32914</v>
      </c>
      <c r="J29" s="279">
        <v>9759</v>
      </c>
      <c r="K29" s="279">
        <f t="shared" si="1"/>
        <v>46213</v>
      </c>
      <c r="L29" s="280">
        <v>8.5000000000000006E-2</v>
      </c>
      <c r="M29" s="280">
        <v>0.222</v>
      </c>
      <c r="N29" s="281">
        <v>0.183</v>
      </c>
      <c r="O29" s="282">
        <f t="shared" si="2"/>
        <v>159.29000000000002</v>
      </c>
      <c r="P29" s="283">
        <f t="shared" si="3"/>
        <v>937.97500000000002</v>
      </c>
      <c r="Q29" s="275">
        <f t="shared" si="4"/>
        <v>70.125</v>
      </c>
      <c r="R29" s="283">
        <f t="shared" si="5"/>
        <v>319.45800000000003</v>
      </c>
      <c r="S29" s="275">
        <f t="shared" si="6"/>
        <v>389.58300000000003</v>
      </c>
      <c r="T29" s="283">
        <f t="shared" si="0"/>
        <v>7306.9080000000004</v>
      </c>
      <c r="U29" s="283">
        <f t="shared" si="7"/>
        <v>7696.491</v>
      </c>
      <c r="V29" s="283">
        <f t="shared" si="8"/>
        <v>8634.4660000000003</v>
      </c>
    </row>
    <row r="30" spans="1:22" ht="24.95" customHeight="1" x14ac:dyDescent="0.2">
      <c r="A30" s="284" t="s">
        <v>78</v>
      </c>
      <c r="B30" s="285" t="s">
        <v>17</v>
      </c>
      <c r="C30" s="286" t="s">
        <v>286</v>
      </c>
      <c r="D30" s="279">
        <v>105373</v>
      </c>
      <c r="E30" s="279">
        <v>4964</v>
      </c>
      <c r="F30" s="279">
        <v>20610</v>
      </c>
      <c r="G30" s="279">
        <v>1281</v>
      </c>
      <c r="H30" s="279">
        <v>3518</v>
      </c>
      <c r="I30" s="279">
        <v>57921</v>
      </c>
      <c r="J30" s="279">
        <v>17079</v>
      </c>
      <c r="K30" s="279">
        <f t="shared" si="1"/>
        <v>83330</v>
      </c>
      <c r="L30" s="280">
        <v>0.08</v>
      </c>
      <c r="M30" s="280">
        <v>0.20200000000000001</v>
      </c>
      <c r="N30" s="281">
        <v>0.16600000000000001</v>
      </c>
      <c r="O30" s="282">
        <f t="shared" si="2"/>
        <v>397.12</v>
      </c>
      <c r="P30" s="283">
        <f t="shared" si="3"/>
        <v>1648.8</v>
      </c>
      <c r="Q30" s="275">
        <f t="shared" si="4"/>
        <v>102.48</v>
      </c>
      <c r="R30" s="283">
        <f t="shared" si="5"/>
        <v>710.63600000000008</v>
      </c>
      <c r="S30" s="275">
        <f t="shared" si="6"/>
        <v>813.1160000000001</v>
      </c>
      <c r="T30" s="283">
        <f t="shared" si="0"/>
        <v>11700.042000000001</v>
      </c>
      <c r="U30" s="283">
        <f t="shared" si="7"/>
        <v>12513.158000000001</v>
      </c>
      <c r="V30" s="283">
        <f t="shared" si="8"/>
        <v>14161.958000000001</v>
      </c>
    </row>
    <row r="31" spans="1:22" ht="24.95" customHeight="1" x14ac:dyDescent="0.2">
      <c r="A31" s="284" t="s">
        <v>46</v>
      </c>
      <c r="B31" s="285" t="s">
        <v>13</v>
      </c>
      <c r="C31" s="286" t="s">
        <v>285</v>
      </c>
      <c r="D31" s="279">
        <v>334126</v>
      </c>
      <c r="E31" s="279">
        <v>17307</v>
      </c>
      <c r="F31" s="279">
        <v>72310</v>
      </c>
      <c r="G31" s="279">
        <v>4499</v>
      </c>
      <c r="H31" s="279">
        <v>11488</v>
      </c>
      <c r="I31" s="279">
        <v>193622</v>
      </c>
      <c r="J31" s="279">
        <v>34900</v>
      </c>
      <c r="K31" s="279">
        <f t="shared" si="1"/>
        <v>281919</v>
      </c>
      <c r="L31" s="280">
        <v>8.5999999999999993E-2</v>
      </c>
      <c r="M31" s="280">
        <v>0.22800000000000001</v>
      </c>
      <c r="N31" s="281">
        <v>0.184</v>
      </c>
      <c r="O31" s="282">
        <f t="shared" si="2"/>
        <v>1488.4019999999998</v>
      </c>
      <c r="P31" s="283">
        <f t="shared" si="3"/>
        <v>6218.66</v>
      </c>
      <c r="Q31" s="275">
        <f t="shared" si="4"/>
        <v>386.91399999999999</v>
      </c>
      <c r="R31" s="283">
        <f t="shared" si="5"/>
        <v>2619.2640000000001</v>
      </c>
      <c r="S31" s="275">
        <f t="shared" si="6"/>
        <v>3006.1779999999999</v>
      </c>
      <c r="T31" s="283">
        <f t="shared" si="0"/>
        <v>44145.815999999999</v>
      </c>
      <c r="U31" s="283">
        <f t="shared" si="7"/>
        <v>47151.993999999999</v>
      </c>
      <c r="V31" s="283">
        <f t="shared" si="8"/>
        <v>53370.653999999995</v>
      </c>
    </row>
    <row r="32" spans="1:22" ht="24.95" customHeight="1" x14ac:dyDescent="0.2">
      <c r="A32" s="284" t="s">
        <v>79</v>
      </c>
      <c r="B32" s="285" t="s">
        <v>17</v>
      </c>
      <c r="C32" s="286" t="s">
        <v>286</v>
      </c>
      <c r="D32" s="279">
        <v>23550</v>
      </c>
      <c r="E32" s="279">
        <v>580</v>
      </c>
      <c r="F32" s="279">
        <v>4452</v>
      </c>
      <c r="G32" s="279">
        <v>332</v>
      </c>
      <c r="H32" s="279">
        <v>594</v>
      </c>
      <c r="I32" s="279">
        <v>14112</v>
      </c>
      <c r="J32" s="279">
        <v>3480</v>
      </c>
      <c r="K32" s="279">
        <f t="shared" si="1"/>
        <v>19490</v>
      </c>
      <c r="L32" s="280">
        <v>7.0000000000000007E-2</v>
      </c>
      <c r="M32" s="280">
        <v>0.19800000000000001</v>
      </c>
      <c r="N32" s="281">
        <v>0.16200000000000001</v>
      </c>
      <c r="O32" s="282">
        <f t="shared" si="2"/>
        <v>40.6</v>
      </c>
      <c r="P32" s="283">
        <f t="shared" si="3"/>
        <v>311.64000000000004</v>
      </c>
      <c r="Q32" s="275">
        <f t="shared" si="4"/>
        <v>23.240000000000002</v>
      </c>
      <c r="R32" s="283">
        <f t="shared" si="5"/>
        <v>117.61200000000001</v>
      </c>
      <c r="S32" s="275">
        <f t="shared" si="6"/>
        <v>140.852</v>
      </c>
      <c r="T32" s="283">
        <f t="shared" si="0"/>
        <v>2794.1759999999999</v>
      </c>
      <c r="U32" s="283">
        <f t="shared" si="7"/>
        <v>2935.0279999999998</v>
      </c>
      <c r="V32" s="283">
        <f t="shared" si="8"/>
        <v>3246.6679999999997</v>
      </c>
    </row>
    <row r="33" spans="1:22" ht="24.95" customHeight="1" x14ac:dyDescent="0.2">
      <c r="A33" s="284" t="s">
        <v>80</v>
      </c>
      <c r="B33" s="285" t="s">
        <v>17</v>
      </c>
      <c r="C33" s="286" t="s">
        <v>286</v>
      </c>
      <c r="D33" s="279">
        <v>35330</v>
      </c>
      <c r="E33" s="279">
        <v>1131</v>
      </c>
      <c r="F33" s="279">
        <v>5754</v>
      </c>
      <c r="G33" s="279">
        <v>322</v>
      </c>
      <c r="H33" s="279">
        <v>610</v>
      </c>
      <c r="I33" s="279">
        <v>21296</v>
      </c>
      <c r="J33" s="279">
        <v>6217</v>
      </c>
      <c r="K33" s="279">
        <f t="shared" si="1"/>
        <v>27982</v>
      </c>
      <c r="L33" s="280">
        <v>7.8E-2</v>
      </c>
      <c r="M33" s="280">
        <v>0.182</v>
      </c>
      <c r="N33" s="281">
        <v>0.157</v>
      </c>
      <c r="O33" s="282">
        <f t="shared" si="2"/>
        <v>88.218000000000004</v>
      </c>
      <c r="P33" s="283">
        <f t="shared" si="3"/>
        <v>448.81200000000001</v>
      </c>
      <c r="Q33" s="275">
        <f t="shared" si="4"/>
        <v>25.116</v>
      </c>
      <c r="R33" s="283">
        <f t="shared" si="5"/>
        <v>111.02</v>
      </c>
      <c r="S33" s="275">
        <f t="shared" si="6"/>
        <v>136.136</v>
      </c>
      <c r="T33" s="283">
        <f t="shared" si="0"/>
        <v>3875.8719999999998</v>
      </c>
      <c r="U33" s="283">
        <f t="shared" si="7"/>
        <v>4012.0079999999998</v>
      </c>
      <c r="V33" s="283">
        <f t="shared" si="8"/>
        <v>4460.82</v>
      </c>
    </row>
    <row r="34" spans="1:22" ht="24.95" customHeight="1" x14ac:dyDescent="0.2">
      <c r="A34" s="284" t="s">
        <v>54</v>
      </c>
      <c r="B34" s="285" t="s">
        <v>14</v>
      </c>
      <c r="C34" s="286" t="s">
        <v>285</v>
      </c>
      <c r="D34" s="279">
        <v>164232</v>
      </c>
      <c r="E34" s="279">
        <v>5240</v>
      </c>
      <c r="F34" s="279">
        <v>32230</v>
      </c>
      <c r="G34" s="279">
        <v>1962</v>
      </c>
      <c r="H34" s="279">
        <v>3937</v>
      </c>
      <c r="I34" s="279">
        <v>94775</v>
      </c>
      <c r="J34" s="279">
        <v>26088</v>
      </c>
      <c r="K34" s="279">
        <f t="shared" si="1"/>
        <v>132904</v>
      </c>
      <c r="L34" s="280">
        <v>7.8E-2</v>
      </c>
      <c r="M34" s="280">
        <v>0.20499999999999999</v>
      </c>
      <c r="N34" s="281">
        <v>0.16900000000000001</v>
      </c>
      <c r="O34" s="282">
        <f t="shared" si="2"/>
        <v>408.72</v>
      </c>
      <c r="P34" s="283">
        <f t="shared" si="3"/>
        <v>2513.94</v>
      </c>
      <c r="Q34" s="275">
        <f t="shared" si="4"/>
        <v>153.036</v>
      </c>
      <c r="R34" s="283">
        <f t="shared" si="5"/>
        <v>807.08499999999992</v>
      </c>
      <c r="S34" s="275">
        <f t="shared" si="6"/>
        <v>960.12099999999987</v>
      </c>
      <c r="T34" s="283">
        <f t="shared" si="0"/>
        <v>19428.875</v>
      </c>
      <c r="U34" s="283">
        <f t="shared" si="7"/>
        <v>20388.995999999999</v>
      </c>
      <c r="V34" s="283">
        <f t="shared" si="8"/>
        <v>22902.935999999998</v>
      </c>
    </row>
    <row r="35" spans="1:22" ht="24.95" customHeight="1" x14ac:dyDescent="0.2">
      <c r="A35" s="284" t="s">
        <v>65</v>
      </c>
      <c r="B35" s="285" t="s">
        <v>15</v>
      </c>
      <c r="C35" s="286" t="s">
        <v>286</v>
      </c>
      <c r="D35" s="279">
        <v>41453</v>
      </c>
      <c r="E35" s="279">
        <v>1212</v>
      </c>
      <c r="F35" s="279">
        <v>7889</v>
      </c>
      <c r="G35" s="279">
        <v>598</v>
      </c>
      <c r="H35" s="279">
        <v>923</v>
      </c>
      <c r="I35" s="279">
        <v>23280</v>
      </c>
      <c r="J35" s="279">
        <v>7551</v>
      </c>
      <c r="K35" s="279">
        <f t="shared" si="1"/>
        <v>32690</v>
      </c>
      <c r="L35" s="280">
        <v>7.5999999999999998E-2</v>
      </c>
      <c r="M35" s="280">
        <v>0.19800000000000001</v>
      </c>
      <c r="N35" s="281">
        <v>0.16300000000000001</v>
      </c>
      <c r="O35" s="282">
        <f t="shared" si="2"/>
        <v>92.111999999999995</v>
      </c>
      <c r="P35" s="283">
        <f t="shared" si="3"/>
        <v>599.56399999999996</v>
      </c>
      <c r="Q35" s="275">
        <f t="shared" si="4"/>
        <v>45.448</v>
      </c>
      <c r="R35" s="283">
        <f t="shared" si="5"/>
        <v>182.75400000000002</v>
      </c>
      <c r="S35" s="275">
        <f t="shared" si="6"/>
        <v>228.20200000000003</v>
      </c>
      <c r="T35" s="283">
        <f t="shared" si="0"/>
        <v>4609.4400000000005</v>
      </c>
      <c r="U35" s="283">
        <f t="shared" si="7"/>
        <v>4837.6420000000007</v>
      </c>
      <c r="V35" s="283">
        <f t="shared" si="8"/>
        <v>5437.206000000001</v>
      </c>
    </row>
    <row r="36" spans="1:22" ht="24.95" customHeight="1" x14ac:dyDescent="0.2">
      <c r="A36" s="284" t="s">
        <v>95</v>
      </c>
      <c r="B36" s="285" t="s">
        <v>18</v>
      </c>
      <c r="C36" s="286" t="s">
        <v>286</v>
      </c>
      <c r="D36" s="279">
        <v>60760</v>
      </c>
      <c r="E36" s="279">
        <v>2338</v>
      </c>
      <c r="F36" s="279">
        <v>12680</v>
      </c>
      <c r="G36" s="279">
        <v>775</v>
      </c>
      <c r="H36" s="279">
        <v>1556</v>
      </c>
      <c r="I36" s="279">
        <v>33788</v>
      </c>
      <c r="J36" s="279">
        <v>9623</v>
      </c>
      <c r="K36" s="279">
        <f t="shared" si="1"/>
        <v>48799</v>
      </c>
      <c r="L36" s="280">
        <v>0.1</v>
      </c>
      <c r="M36" s="280">
        <v>0.26700000000000002</v>
      </c>
      <c r="N36" s="281">
        <v>0.216</v>
      </c>
      <c r="O36" s="282">
        <f t="shared" si="2"/>
        <v>233.8</v>
      </c>
      <c r="P36" s="283">
        <f t="shared" si="3"/>
        <v>1268</v>
      </c>
      <c r="Q36" s="275">
        <f t="shared" si="4"/>
        <v>77.5</v>
      </c>
      <c r="R36" s="283">
        <f t="shared" si="5"/>
        <v>415.452</v>
      </c>
      <c r="S36" s="275">
        <f t="shared" si="6"/>
        <v>492.952</v>
      </c>
      <c r="T36" s="283">
        <f t="shared" si="0"/>
        <v>9021.3960000000006</v>
      </c>
      <c r="U36" s="283">
        <f t="shared" si="7"/>
        <v>9514.348</v>
      </c>
      <c r="V36" s="283">
        <f t="shared" si="8"/>
        <v>10782.348</v>
      </c>
    </row>
    <row r="37" spans="1:22" ht="24.95" customHeight="1" x14ac:dyDescent="0.2">
      <c r="A37" s="284" t="s">
        <v>47</v>
      </c>
      <c r="B37" s="285" t="s">
        <v>13</v>
      </c>
      <c r="C37" s="286" t="s">
        <v>285</v>
      </c>
      <c r="D37" s="279">
        <v>289042</v>
      </c>
      <c r="E37" s="279">
        <v>13077</v>
      </c>
      <c r="F37" s="279">
        <v>52749</v>
      </c>
      <c r="G37" s="279">
        <v>4022</v>
      </c>
      <c r="H37" s="279">
        <v>10179</v>
      </c>
      <c r="I37" s="279">
        <v>178192</v>
      </c>
      <c r="J37" s="279">
        <v>30823</v>
      </c>
      <c r="K37" s="279">
        <f t="shared" si="1"/>
        <v>245142</v>
      </c>
      <c r="L37" s="280">
        <v>9.0999999999999998E-2</v>
      </c>
      <c r="M37" s="280">
        <v>0.215</v>
      </c>
      <c r="N37" s="281">
        <v>0.18099999999999999</v>
      </c>
      <c r="O37" s="282">
        <f t="shared" si="2"/>
        <v>1190.0070000000001</v>
      </c>
      <c r="P37" s="283">
        <f t="shared" si="3"/>
        <v>4800.1589999999997</v>
      </c>
      <c r="Q37" s="275">
        <f t="shared" si="4"/>
        <v>366.00200000000001</v>
      </c>
      <c r="R37" s="283">
        <f t="shared" si="5"/>
        <v>2188.4850000000001</v>
      </c>
      <c r="S37" s="275">
        <f t="shared" si="6"/>
        <v>2554.4870000000001</v>
      </c>
      <c r="T37" s="283">
        <f t="shared" si="0"/>
        <v>38311.279999999999</v>
      </c>
      <c r="U37" s="283">
        <f t="shared" si="7"/>
        <v>40865.767</v>
      </c>
      <c r="V37" s="283">
        <f t="shared" si="8"/>
        <v>45665.925999999999</v>
      </c>
    </row>
    <row r="38" spans="1:22" ht="24.95" customHeight="1" x14ac:dyDescent="0.2">
      <c r="A38" s="284" t="s">
        <v>96</v>
      </c>
      <c r="B38" s="285" t="s">
        <v>18</v>
      </c>
      <c r="C38" s="286" t="s">
        <v>286</v>
      </c>
      <c r="D38" s="279">
        <v>55840</v>
      </c>
      <c r="E38" s="279">
        <v>2029</v>
      </c>
      <c r="F38" s="279">
        <v>11150</v>
      </c>
      <c r="G38" s="279">
        <v>819</v>
      </c>
      <c r="H38" s="279">
        <v>1589</v>
      </c>
      <c r="I38" s="279">
        <v>31312</v>
      </c>
      <c r="J38" s="279">
        <v>8941</v>
      </c>
      <c r="K38" s="279">
        <f t="shared" si="1"/>
        <v>44870</v>
      </c>
      <c r="L38" s="280">
        <v>8.7999999999999995E-2</v>
      </c>
      <c r="M38" s="280">
        <v>0.222</v>
      </c>
      <c r="N38" s="281">
        <v>0.182</v>
      </c>
      <c r="O38" s="282">
        <f t="shared" si="2"/>
        <v>178.55199999999999</v>
      </c>
      <c r="P38" s="283">
        <f t="shared" si="3"/>
        <v>981.19999999999993</v>
      </c>
      <c r="Q38" s="275">
        <f t="shared" si="4"/>
        <v>72.072000000000003</v>
      </c>
      <c r="R38" s="283">
        <f t="shared" si="5"/>
        <v>352.75799999999998</v>
      </c>
      <c r="S38" s="275">
        <f t="shared" si="6"/>
        <v>424.83</v>
      </c>
      <c r="T38" s="283">
        <f t="shared" ref="T38:T69" si="9">M38*I38</f>
        <v>6951.2640000000001</v>
      </c>
      <c r="U38" s="283">
        <f t="shared" si="7"/>
        <v>7376.0940000000001</v>
      </c>
      <c r="V38" s="283">
        <f t="shared" si="8"/>
        <v>8357.2939999999999</v>
      </c>
    </row>
    <row r="39" spans="1:22" ht="24.95" customHeight="1" x14ac:dyDescent="0.2">
      <c r="A39" s="284" t="s">
        <v>66</v>
      </c>
      <c r="B39" s="285" t="s">
        <v>15</v>
      </c>
      <c r="C39" s="286" t="s">
        <v>285</v>
      </c>
      <c r="D39" s="279">
        <v>361710</v>
      </c>
      <c r="E39" s="279">
        <v>14048</v>
      </c>
      <c r="F39" s="279">
        <v>72642</v>
      </c>
      <c r="G39" s="279">
        <v>4680</v>
      </c>
      <c r="H39" s="279">
        <v>9926</v>
      </c>
      <c r="I39" s="279">
        <v>209721</v>
      </c>
      <c r="J39" s="279">
        <v>50693</v>
      </c>
      <c r="K39" s="279">
        <f t="shared" si="1"/>
        <v>296969</v>
      </c>
      <c r="L39" s="280">
        <v>8.8999999999999996E-2</v>
      </c>
      <c r="M39" s="280">
        <v>0.20300000000000001</v>
      </c>
      <c r="N39" s="281">
        <v>0.16900000000000001</v>
      </c>
      <c r="O39" s="282">
        <f t="shared" si="2"/>
        <v>1250.2719999999999</v>
      </c>
      <c r="P39" s="283">
        <f t="shared" si="3"/>
        <v>6465.1379999999999</v>
      </c>
      <c r="Q39" s="275">
        <f t="shared" ref="Q39:Q70" si="10">L39*G39</f>
        <v>416.52</v>
      </c>
      <c r="R39" s="283">
        <f t="shared" si="5"/>
        <v>2014.9780000000001</v>
      </c>
      <c r="S39" s="275">
        <f t="shared" si="6"/>
        <v>2431.498</v>
      </c>
      <c r="T39" s="283">
        <f t="shared" si="9"/>
        <v>42573.363000000005</v>
      </c>
      <c r="U39" s="283">
        <f t="shared" si="7"/>
        <v>45004.861000000004</v>
      </c>
      <c r="V39" s="283">
        <f t="shared" si="8"/>
        <v>51469.999000000003</v>
      </c>
    </row>
    <row r="40" spans="1:22" ht="24.95" customHeight="1" x14ac:dyDescent="0.2">
      <c r="A40" s="284" t="s">
        <v>55</v>
      </c>
      <c r="B40" s="285" t="s">
        <v>14</v>
      </c>
      <c r="C40" s="286" t="s">
        <v>286</v>
      </c>
      <c r="D40" s="279">
        <v>62346</v>
      </c>
      <c r="E40" s="279">
        <v>2052</v>
      </c>
      <c r="F40" s="279">
        <v>12569</v>
      </c>
      <c r="G40" s="279">
        <v>833</v>
      </c>
      <c r="H40" s="279">
        <v>1544</v>
      </c>
      <c r="I40" s="279">
        <v>36415</v>
      </c>
      <c r="J40" s="279">
        <v>8933</v>
      </c>
      <c r="K40" s="279">
        <f t="shared" si="1"/>
        <v>51361</v>
      </c>
      <c r="L40" s="280">
        <v>8.4000000000000005E-2</v>
      </c>
      <c r="M40" s="280">
        <v>0.23</v>
      </c>
      <c r="N40" s="281">
        <v>0.187</v>
      </c>
      <c r="O40" s="282">
        <f t="shared" si="2"/>
        <v>172.36800000000002</v>
      </c>
      <c r="P40" s="283">
        <f t="shared" si="3"/>
        <v>1055.796</v>
      </c>
      <c r="Q40" s="275">
        <f t="shared" si="10"/>
        <v>69.972000000000008</v>
      </c>
      <c r="R40" s="283">
        <f t="shared" si="5"/>
        <v>355.12</v>
      </c>
      <c r="S40" s="275">
        <f t="shared" si="6"/>
        <v>425.09199999999998</v>
      </c>
      <c r="T40" s="283">
        <f t="shared" si="9"/>
        <v>8375.4500000000007</v>
      </c>
      <c r="U40" s="283">
        <f t="shared" si="7"/>
        <v>8800.5420000000013</v>
      </c>
      <c r="V40" s="283">
        <f t="shared" si="8"/>
        <v>9856.3380000000016</v>
      </c>
    </row>
    <row r="41" spans="1:22" ht="24.95" customHeight="1" x14ac:dyDescent="0.2">
      <c r="A41" s="284" t="s">
        <v>109</v>
      </c>
      <c r="B41" s="285" t="s">
        <v>20</v>
      </c>
      <c r="C41" s="286" t="s">
        <v>285</v>
      </c>
      <c r="D41" s="279">
        <v>209652</v>
      </c>
      <c r="E41" s="279">
        <v>7657</v>
      </c>
      <c r="F41" s="279">
        <v>41169</v>
      </c>
      <c r="G41" s="279">
        <v>2810</v>
      </c>
      <c r="H41" s="279">
        <v>5589</v>
      </c>
      <c r="I41" s="279">
        <v>122146</v>
      </c>
      <c r="J41" s="279">
        <v>30281</v>
      </c>
      <c r="K41" s="279">
        <f t="shared" si="1"/>
        <v>171714</v>
      </c>
      <c r="L41" s="280">
        <v>0.08</v>
      </c>
      <c r="M41" s="280">
        <v>0.20300000000000001</v>
      </c>
      <c r="N41" s="281">
        <v>0.16800000000000001</v>
      </c>
      <c r="O41" s="282">
        <f t="shared" si="2"/>
        <v>612.56000000000006</v>
      </c>
      <c r="P41" s="283">
        <f t="shared" si="3"/>
        <v>3293.52</v>
      </c>
      <c r="Q41" s="275">
        <f t="shared" si="10"/>
        <v>224.8</v>
      </c>
      <c r="R41" s="283">
        <f t="shared" si="5"/>
        <v>1134.567</v>
      </c>
      <c r="S41" s="275">
        <f t="shared" si="6"/>
        <v>1359.367</v>
      </c>
      <c r="T41" s="283">
        <f t="shared" si="9"/>
        <v>24795.638000000003</v>
      </c>
      <c r="U41" s="283">
        <f t="shared" si="7"/>
        <v>26155.005000000001</v>
      </c>
      <c r="V41" s="283">
        <f t="shared" si="8"/>
        <v>29448.525000000001</v>
      </c>
    </row>
    <row r="42" spans="1:22" ht="24.95" customHeight="1" x14ac:dyDescent="0.2">
      <c r="A42" s="284" t="s">
        <v>81</v>
      </c>
      <c r="B42" s="285" t="s">
        <v>17</v>
      </c>
      <c r="C42" s="286" t="s">
        <v>286</v>
      </c>
      <c r="D42" s="279">
        <v>11569</v>
      </c>
      <c r="E42" s="279">
        <v>252</v>
      </c>
      <c r="F42" s="279">
        <v>2111</v>
      </c>
      <c r="G42" s="279">
        <v>162</v>
      </c>
      <c r="H42" s="279">
        <v>391</v>
      </c>
      <c r="I42" s="279">
        <v>6663</v>
      </c>
      <c r="J42" s="279">
        <v>1990</v>
      </c>
      <c r="K42" s="279">
        <f t="shared" si="1"/>
        <v>9327</v>
      </c>
      <c r="L42" s="280">
        <v>7.6999999999999999E-2</v>
      </c>
      <c r="M42" s="280">
        <v>0.22800000000000001</v>
      </c>
      <c r="N42" s="281">
        <v>0.185</v>
      </c>
      <c r="O42" s="282">
        <f t="shared" si="2"/>
        <v>19.404</v>
      </c>
      <c r="P42" s="283">
        <f t="shared" si="3"/>
        <v>162.547</v>
      </c>
      <c r="Q42" s="275">
        <f t="shared" si="10"/>
        <v>12.474</v>
      </c>
      <c r="R42" s="283">
        <f t="shared" si="5"/>
        <v>89.147999999999996</v>
      </c>
      <c r="S42" s="275">
        <f t="shared" si="6"/>
        <v>101.622</v>
      </c>
      <c r="T42" s="283">
        <f t="shared" si="9"/>
        <v>1519.164</v>
      </c>
      <c r="U42" s="283">
        <f t="shared" si="7"/>
        <v>1620.7860000000001</v>
      </c>
      <c r="V42" s="283">
        <f t="shared" si="8"/>
        <v>1783.3330000000001</v>
      </c>
    </row>
    <row r="43" spans="1:22" ht="24.95" customHeight="1" x14ac:dyDescent="0.2">
      <c r="A43" s="284" t="s">
        <v>131</v>
      </c>
      <c r="B43" s="285" t="s">
        <v>292</v>
      </c>
      <c r="C43" s="286" t="s">
        <v>286</v>
      </c>
      <c r="D43" s="279">
        <v>8994</v>
      </c>
      <c r="E43" s="279">
        <v>282</v>
      </c>
      <c r="F43" s="279">
        <v>1616</v>
      </c>
      <c r="G43" s="279">
        <v>110</v>
      </c>
      <c r="H43" s="279">
        <v>209</v>
      </c>
      <c r="I43" s="279">
        <v>4825</v>
      </c>
      <c r="J43" s="279">
        <v>1952</v>
      </c>
      <c r="K43" s="279">
        <f t="shared" si="1"/>
        <v>6760</v>
      </c>
      <c r="L43" s="280">
        <v>7.9000000000000001E-2</v>
      </c>
      <c r="M43" s="280">
        <v>0.20399999999999999</v>
      </c>
      <c r="N43" s="281">
        <v>0.16900000000000001</v>
      </c>
      <c r="O43" s="282">
        <f t="shared" si="2"/>
        <v>22.277999999999999</v>
      </c>
      <c r="P43" s="283">
        <f t="shared" si="3"/>
        <v>127.664</v>
      </c>
      <c r="Q43" s="275">
        <f t="shared" si="10"/>
        <v>8.69</v>
      </c>
      <c r="R43" s="283">
        <f t="shared" si="5"/>
        <v>42.635999999999996</v>
      </c>
      <c r="S43" s="275">
        <f t="shared" si="6"/>
        <v>51.325999999999993</v>
      </c>
      <c r="T43" s="283">
        <f t="shared" si="9"/>
        <v>984.3</v>
      </c>
      <c r="U43" s="283">
        <f t="shared" si="7"/>
        <v>1035.626</v>
      </c>
      <c r="V43" s="283">
        <f t="shared" si="8"/>
        <v>1163.29</v>
      </c>
    </row>
    <row r="44" spans="1:22" ht="24.95" customHeight="1" x14ac:dyDescent="0.2">
      <c r="A44" s="284" t="s">
        <v>56</v>
      </c>
      <c r="B44" s="285" t="s">
        <v>14</v>
      </c>
      <c r="C44" s="286" t="s">
        <v>286</v>
      </c>
      <c r="D44" s="279">
        <v>56845</v>
      </c>
      <c r="E44" s="279">
        <v>1708</v>
      </c>
      <c r="F44" s="279">
        <v>10303</v>
      </c>
      <c r="G44" s="279">
        <v>699</v>
      </c>
      <c r="H44" s="279">
        <v>1973</v>
      </c>
      <c r="I44" s="279">
        <v>34094</v>
      </c>
      <c r="J44" s="279">
        <v>8068</v>
      </c>
      <c r="K44" s="279">
        <f t="shared" si="1"/>
        <v>47069</v>
      </c>
      <c r="L44" s="280">
        <v>8.4000000000000005E-2</v>
      </c>
      <c r="M44" s="280">
        <v>0.20499999999999999</v>
      </c>
      <c r="N44" s="281">
        <v>0.17299999999999999</v>
      </c>
      <c r="O44" s="282">
        <f t="shared" si="2"/>
        <v>143.47200000000001</v>
      </c>
      <c r="P44" s="283">
        <f t="shared" si="3"/>
        <v>865.452</v>
      </c>
      <c r="Q44" s="275">
        <f t="shared" si="10"/>
        <v>58.716000000000001</v>
      </c>
      <c r="R44" s="283">
        <f t="shared" si="5"/>
        <v>404.46499999999997</v>
      </c>
      <c r="S44" s="275">
        <f t="shared" si="6"/>
        <v>463.18099999999998</v>
      </c>
      <c r="T44" s="283">
        <f t="shared" si="9"/>
        <v>6989.2699999999995</v>
      </c>
      <c r="U44" s="283">
        <f t="shared" si="7"/>
        <v>7452.4509999999991</v>
      </c>
      <c r="V44" s="283">
        <f t="shared" si="8"/>
        <v>8317.9029999999984</v>
      </c>
    </row>
    <row r="45" spans="1:22" ht="24.95" customHeight="1" x14ac:dyDescent="0.2">
      <c r="A45" s="284" t="s">
        <v>97</v>
      </c>
      <c r="B45" s="285" t="s">
        <v>18</v>
      </c>
      <c r="C45" s="286" t="s">
        <v>286</v>
      </c>
      <c r="D45" s="279">
        <v>21296</v>
      </c>
      <c r="E45" s="279">
        <v>679</v>
      </c>
      <c r="F45" s="279">
        <v>4133</v>
      </c>
      <c r="G45" s="279">
        <v>235</v>
      </c>
      <c r="H45" s="279">
        <v>490</v>
      </c>
      <c r="I45" s="279">
        <v>12812</v>
      </c>
      <c r="J45" s="279">
        <v>2947</v>
      </c>
      <c r="K45" s="279">
        <f t="shared" si="1"/>
        <v>17670</v>
      </c>
      <c r="L45" s="280">
        <v>9.7000000000000003E-2</v>
      </c>
      <c r="M45" s="280">
        <v>0.27</v>
      </c>
      <c r="N45" s="281">
        <v>0.223</v>
      </c>
      <c r="O45" s="282">
        <f t="shared" si="2"/>
        <v>65.863</v>
      </c>
      <c r="P45" s="283">
        <f t="shared" si="3"/>
        <v>400.90100000000001</v>
      </c>
      <c r="Q45" s="275">
        <f t="shared" si="10"/>
        <v>22.795000000000002</v>
      </c>
      <c r="R45" s="283">
        <f t="shared" si="5"/>
        <v>132.30000000000001</v>
      </c>
      <c r="S45" s="275">
        <f t="shared" si="6"/>
        <v>155.09500000000003</v>
      </c>
      <c r="T45" s="283">
        <f t="shared" si="9"/>
        <v>3459.2400000000002</v>
      </c>
      <c r="U45" s="283">
        <f t="shared" si="7"/>
        <v>3614.335</v>
      </c>
      <c r="V45" s="283">
        <f t="shared" si="8"/>
        <v>4015.2359999999999</v>
      </c>
    </row>
    <row r="46" spans="1:22" ht="24.95" customHeight="1" x14ac:dyDescent="0.2">
      <c r="A46" s="284" t="s">
        <v>115</v>
      </c>
      <c r="B46" s="285" t="s">
        <v>21</v>
      </c>
      <c r="C46" s="286" t="s">
        <v>285</v>
      </c>
      <c r="D46" s="279">
        <v>509388</v>
      </c>
      <c r="E46" s="279">
        <v>18417</v>
      </c>
      <c r="F46" s="279">
        <v>97026</v>
      </c>
      <c r="G46" s="279">
        <v>8287</v>
      </c>
      <c r="H46" s="279">
        <v>18972</v>
      </c>
      <c r="I46" s="279">
        <v>298563</v>
      </c>
      <c r="J46" s="279">
        <v>68123</v>
      </c>
      <c r="K46" s="279">
        <f t="shared" si="1"/>
        <v>422848</v>
      </c>
      <c r="L46" s="280">
        <v>8.5000000000000006E-2</v>
      </c>
      <c r="M46" s="280">
        <v>0.20300000000000001</v>
      </c>
      <c r="N46" s="281">
        <v>0.16900000000000001</v>
      </c>
      <c r="O46" s="282">
        <f t="shared" si="2"/>
        <v>1565.4450000000002</v>
      </c>
      <c r="P46" s="283">
        <f t="shared" si="3"/>
        <v>8247.2100000000009</v>
      </c>
      <c r="Q46" s="275">
        <f t="shared" si="10"/>
        <v>704.3950000000001</v>
      </c>
      <c r="R46" s="283">
        <f t="shared" si="5"/>
        <v>3851.3160000000003</v>
      </c>
      <c r="S46" s="275">
        <f t="shared" si="6"/>
        <v>4555.7110000000002</v>
      </c>
      <c r="T46" s="283">
        <f t="shared" si="9"/>
        <v>60608.289000000004</v>
      </c>
      <c r="U46" s="283">
        <f t="shared" si="7"/>
        <v>65164.000000000007</v>
      </c>
      <c r="V46" s="283">
        <f t="shared" si="8"/>
        <v>73411.210000000006</v>
      </c>
    </row>
    <row r="47" spans="1:22" ht="24.95" customHeight="1" x14ac:dyDescent="0.2">
      <c r="A47" s="284" t="s">
        <v>57</v>
      </c>
      <c r="B47" s="285" t="s">
        <v>14</v>
      </c>
      <c r="C47" s="286" t="s">
        <v>286</v>
      </c>
      <c r="D47" s="279">
        <v>54064</v>
      </c>
      <c r="E47" s="279">
        <v>1789</v>
      </c>
      <c r="F47" s="279">
        <v>10106</v>
      </c>
      <c r="G47" s="279">
        <v>667</v>
      </c>
      <c r="H47" s="279">
        <v>1489</v>
      </c>
      <c r="I47" s="279">
        <v>30561</v>
      </c>
      <c r="J47" s="279">
        <v>9452</v>
      </c>
      <c r="K47" s="279">
        <f t="shared" si="1"/>
        <v>42823</v>
      </c>
      <c r="L47" s="280">
        <v>8.5999999999999993E-2</v>
      </c>
      <c r="M47" s="280">
        <v>0.23</v>
      </c>
      <c r="N47" s="281">
        <v>0.189</v>
      </c>
      <c r="O47" s="282">
        <f t="shared" si="2"/>
        <v>153.85399999999998</v>
      </c>
      <c r="P47" s="283">
        <f t="shared" si="3"/>
        <v>869.11599999999999</v>
      </c>
      <c r="Q47" s="275">
        <f t="shared" si="10"/>
        <v>57.361999999999995</v>
      </c>
      <c r="R47" s="283">
        <f t="shared" si="5"/>
        <v>342.47</v>
      </c>
      <c r="S47" s="275">
        <f t="shared" si="6"/>
        <v>399.83199999999999</v>
      </c>
      <c r="T47" s="283">
        <f t="shared" si="9"/>
        <v>7029.0300000000007</v>
      </c>
      <c r="U47" s="283">
        <f t="shared" si="7"/>
        <v>7428.862000000001</v>
      </c>
      <c r="V47" s="283">
        <f t="shared" si="8"/>
        <v>8297.978000000001</v>
      </c>
    </row>
    <row r="48" spans="1:22" ht="24.95" customHeight="1" x14ac:dyDescent="0.2">
      <c r="A48" s="284" t="s">
        <v>116</v>
      </c>
      <c r="B48" s="285" t="s">
        <v>21</v>
      </c>
      <c r="C48" s="286" t="s">
        <v>286</v>
      </c>
      <c r="D48" s="279">
        <v>124118</v>
      </c>
      <c r="E48" s="279">
        <v>5401</v>
      </c>
      <c r="F48" s="279">
        <v>28679</v>
      </c>
      <c r="G48" s="279">
        <v>1810</v>
      </c>
      <c r="H48" s="279">
        <v>3674</v>
      </c>
      <c r="I48" s="279">
        <v>70401</v>
      </c>
      <c r="J48" s="279">
        <v>14153</v>
      </c>
      <c r="K48" s="279">
        <f t="shared" si="1"/>
        <v>104564</v>
      </c>
      <c r="L48" s="280">
        <v>8.5000000000000006E-2</v>
      </c>
      <c r="M48" s="280">
        <v>0.24299999999999999</v>
      </c>
      <c r="N48" s="281">
        <v>0.191</v>
      </c>
      <c r="O48" s="282">
        <f t="shared" si="2"/>
        <v>459.08500000000004</v>
      </c>
      <c r="P48" s="283">
        <f t="shared" si="3"/>
        <v>2437.7150000000001</v>
      </c>
      <c r="Q48" s="275">
        <f t="shared" si="10"/>
        <v>153.85000000000002</v>
      </c>
      <c r="R48" s="283">
        <f t="shared" si="5"/>
        <v>892.78199999999993</v>
      </c>
      <c r="S48" s="275">
        <f t="shared" si="6"/>
        <v>1046.6320000000001</v>
      </c>
      <c r="T48" s="283">
        <f t="shared" si="9"/>
        <v>17107.442999999999</v>
      </c>
      <c r="U48" s="283">
        <f t="shared" si="7"/>
        <v>18154.075000000001</v>
      </c>
      <c r="V48" s="283">
        <f t="shared" si="8"/>
        <v>20591.79</v>
      </c>
    </row>
    <row r="49" spans="1:22" ht="24.95" customHeight="1" x14ac:dyDescent="0.2">
      <c r="A49" s="284" t="s">
        <v>132</v>
      </c>
      <c r="B49" s="285" t="s">
        <v>292</v>
      </c>
      <c r="C49" s="286" t="s">
        <v>286</v>
      </c>
      <c r="D49" s="279">
        <v>59765</v>
      </c>
      <c r="E49" s="279">
        <v>1683</v>
      </c>
      <c r="F49" s="279">
        <v>9527</v>
      </c>
      <c r="G49" s="279">
        <v>699</v>
      </c>
      <c r="H49" s="279">
        <v>1285</v>
      </c>
      <c r="I49" s="279">
        <v>32796</v>
      </c>
      <c r="J49" s="279">
        <v>13775</v>
      </c>
      <c r="K49" s="279">
        <f t="shared" si="1"/>
        <v>44307</v>
      </c>
      <c r="L49" s="280">
        <v>7.3999999999999996E-2</v>
      </c>
      <c r="M49" s="280">
        <v>0.18</v>
      </c>
      <c r="N49" s="281">
        <v>0.153</v>
      </c>
      <c r="O49" s="282">
        <f t="shared" si="2"/>
        <v>124.54199999999999</v>
      </c>
      <c r="P49" s="283">
        <f t="shared" si="3"/>
        <v>704.99799999999993</v>
      </c>
      <c r="Q49" s="275">
        <f t="shared" si="10"/>
        <v>51.725999999999999</v>
      </c>
      <c r="R49" s="283">
        <f t="shared" si="5"/>
        <v>231.29999999999998</v>
      </c>
      <c r="S49" s="275">
        <f t="shared" si="6"/>
        <v>283.02599999999995</v>
      </c>
      <c r="T49" s="283">
        <f t="shared" si="9"/>
        <v>5903.28</v>
      </c>
      <c r="U49" s="283">
        <f t="shared" si="7"/>
        <v>6186.3059999999996</v>
      </c>
      <c r="V49" s="283">
        <f t="shared" si="8"/>
        <v>6891.3039999999992</v>
      </c>
    </row>
    <row r="50" spans="1:22" ht="24.95" customHeight="1" x14ac:dyDescent="0.2">
      <c r="A50" s="284" t="s">
        <v>133</v>
      </c>
      <c r="B50" s="285" t="s">
        <v>292</v>
      </c>
      <c r="C50" s="286" t="s">
        <v>286</v>
      </c>
      <c r="D50" s="279">
        <v>108630</v>
      </c>
      <c r="E50" s="279">
        <v>3269</v>
      </c>
      <c r="F50" s="279">
        <v>18681</v>
      </c>
      <c r="G50" s="279">
        <v>1101</v>
      </c>
      <c r="H50" s="279">
        <v>1965</v>
      </c>
      <c r="I50" s="279">
        <v>57436</v>
      </c>
      <c r="J50" s="279">
        <v>26178</v>
      </c>
      <c r="K50" s="279">
        <f t="shared" si="1"/>
        <v>79183</v>
      </c>
      <c r="L50" s="280">
        <v>8.2000000000000003E-2</v>
      </c>
      <c r="M50" s="280">
        <v>0.2</v>
      </c>
      <c r="N50" s="281">
        <v>0.16800000000000001</v>
      </c>
      <c r="O50" s="282">
        <f t="shared" si="2"/>
        <v>268.05799999999999</v>
      </c>
      <c r="P50" s="283">
        <f t="shared" si="3"/>
        <v>1531.8420000000001</v>
      </c>
      <c r="Q50" s="275">
        <f t="shared" si="10"/>
        <v>90.282000000000011</v>
      </c>
      <c r="R50" s="283">
        <f t="shared" si="5"/>
        <v>393</v>
      </c>
      <c r="S50" s="275">
        <f t="shared" si="6"/>
        <v>483.28200000000004</v>
      </c>
      <c r="T50" s="283">
        <f t="shared" si="9"/>
        <v>11487.2</v>
      </c>
      <c r="U50" s="283">
        <f t="shared" si="7"/>
        <v>11970.482</v>
      </c>
      <c r="V50" s="283">
        <f t="shared" si="8"/>
        <v>13502.324000000001</v>
      </c>
    </row>
    <row r="51" spans="1:22" ht="24.95" customHeight="1" x14ac:dyDescent="0.2">
      <c r="A51" s="284" t="s">
        <v>82</v>
      </c>
      <c r="B51" s="285" t="s">
        <v>17</v>
      </c>
      <c r="C51" s="286" t="s">
        <v>286</v>
      </c>
      <c r="D51" s="279">
        <v>24588</v>
      </c>
      <c r="E51" s="279">
        <v>710</v>
      </c>
      <c r="F51" s="279">
        <v>4241</v>
      </c>
      <c r="G51" s="279">
        <v>529</v>
      </c>
      <c r="H51" s="279">
        <v>844</v>
      </c>
      <c r="I51" s="279">
        <v>14119</v>
      </c>
      <c r="J51" s="279">
        <v>4145</v>
      </c>
      <c r="K51" s="279">
        <f t="shared" si="1"/>
        <v>19733</v>
      </c>
      <c r="L51" s="280">
        <v>8.8999999999999996E-2</v>
      </c>
      <c r="M51" s="280">
        <v>0.22700000000000001</v>
      </c>
      <c r="N51" s="281">
        <v>0.188</v>
      </c>
      <c r="O51" s="282">
        <f t="shared" si="2"/>
        <v>63.19</v>
      </c>
      <c r="P51" s="283">
        <f t="shared" si="3"/>
        <v>377.44899999999996</v>
      </c>
      <c r="Q51" s="275">
        <f t="shared" si="10"/>
        <v>47.080999999999996</v>
      </c>
      <c r="R51" s="283">
        <f t="shared" si="5"/>
        <v>191.58799999999999</v>
      </c>
      <c r="S51" s="275">
        <f t="shared" si="6"/>
        <v>238.66899999999998</v>
      </c>
      <c r="T51" s="283">
        <f t="shared" si="9"/>
        <v>3205.0129999999999</v>
      </c>
      <c r="U51" s="283">
        <f t="shared" si="7"/>
        <v>3443.6819999999998</v>
      </c>
      <c r="V51" s="283">
        <f t="shared" si="8"/>
        <v>3821.1309999999999</v>
      </c>
    </row>
    <row r="52" spans="1:22" ht="24.95" customHeight="1" x14ac:dyDescent="0.2">
      <c r="A52" s="284" t="s">
        <v>117</v>
      </c>
      <c r="B52" s="285" t="s">
        <v>21</v>
      </c>
      <c r="C52" s="286" t="s">
        <v>286</v>
      </c>
      <c r="D52" s="279">
        <v>50951</v>
      </c>
      <c r="E52" s="279">
        <v>2928</v>
      </c>
      <c r="F52" s="279">
        <v>12722</v>
      </c>
      <c r="G52" s="279">
        <v>651</v>
      </c>
      <c r="H52" s="279">
        <v>1287</v>
      </c>
      <c r="I52" s="279">
        <v>29212</v>
      </c>
      <c r="J52" s="279">
        <v>4151</v>
      </c>
      <c r="K52" s="279">
        <f t="shared" si="1"/>
        <v>43872</v>
      </c>
      <c r="L52" s="280">
        <v>8.7999999999999995E-2</v>
      </c>
      <c r="M52" s="280">
        <v>0.27100000000000002</v>
      </c>
      <c r="N52" s="281">
        <v>0.21</v>
      </c>
      <c r="O52" s="282">
        <f t="shared" si="2"/>
        <v>257.66399999999999</v>
      </c>
      <c r="P52" s="283">
        <f t="shared" si="3"/>
        <v>1119.5359999999998</v>
      </c>
      <c r="Q52" s="275">
        <f t="shared" si="10"/>
        <v>57.287999999999997</v>
      </c>
      <c r="R52" s="283">
        <f t="shared" si="5"/>
        <v>348.77700000000004</v>
      </c>
      <c r="S52" s="275">
        <f t="shared" si="6"/>
        <v>406.06500000000005</v>
      </c>
      <c r="T52" s="283">
        <f t="shared" si="9"/>
        <v>7916.4520000000002</v>
      </c>
      <c r="U52" s="283">
        <f t="shared" si="7"/>
        <v>8322.5169999999998</v>
      </c>
      <c r="V52" s="283">
        <f t="shared" si="8"/>
        <v>9442.0529999999999</v>
      </c>
    </row>
    <row r="53" spans="1:22" ht="24.95" customHeight="1" x14ac:dyDescent="0.2">
      <c r="A53" s="284" t="s">
        <v>83</v>
      </c>
      <c r="B53" s="285" t="s">
        <v>17</v>
      </c>
      <c r="C53" s="286" t="s">
        <v>286</v>
      </c>
      <c r="D53" s="279">
        <v>5769</v>
      </c>
      <c r="E53" s="279">
        <v>154</v>
      </c>
      <c r="F53" s="279">
        <v>858</v>
      </c>
      <c r="G53" s="279">
        <v>43</v>
      </c>
      <c r="H53" s="279">
        <v>133</v>
      </c>
      <c r="I53" s="279">
        <v>3622</v>
      </c>
      <c r="J53" s="279">
        <v>959</v>
      </c>
      <c r="K53" s="279">
        <f t="shared" si="1"/>
        <v>4656</v>
      </c>
      <c r="L53" s="280">
        <v>8.5000000000000006E-2</v>
      </c>
      <c r="M53" s="280">
        <v>0.246</v>
      </c>
      <c r="N53" s="281">
        <v>0.20899999999999999</v>
      </c>
      <c r="O53" s="282">
        <f t="shared" si="2"/>
        <v>13.090000000000002</v>
      </c>
      <c r="P53" s="283">
        <f t="shared" si="3"/>
        <v>72.930000000000007</v>
      </c>
      <c r="Q53" s="275">
        <f t="shared" si="10"/>
        <v>3.6550000000000002</v>
      </c>
      <c r="R53" s="283">
        <f t="shared" si="5"/>
        <v>32.717999999999996</v>
      </c>
      <c r="S53" s="275">
        <f t="shared" si="6"/>
        <v>36.372999999999998</v>
      </c>
      <c r="T53" s="283">
        <f t="shared" si="9"/>
        <v>891.01199999999994</v>
      </c>
      <c r="U53" s="283">
        <f t="shared" si="7"/>
        <v>927.38499999999999</v>
      </c>
      <c r="V53" s="283">
        <f t="shared" si="8"/>
        <v>1000.3150000000001</v>
      </c>
    </row>
    <row r="54" spans="1:22" ht="24.95" customHeight="1" x14ac:dyDescent="0.2">
      <c r="A54" s="284" t="s">
        <v>110</v>
      </c>
      <c r="B54" s="285" t="s">
        <v>20</v>
      </c>
      <c r="C54" s="286" t="s">
        <v>286</v>
      </c>
      <c r="D54" s="279">
        <v>164883</v>
      </c>
      <c r="E54" s="279">
        <v>5419</v>
      </c>
      <c r="F54" s="279">
        <v>34134</v>
      </c>
      <c r="G54" s="279">
        <v>2362</v>
      </c>
      <c r="H54" s="279">
        <v>4394</v>
      </c>
      <c r="I54" s="279">
        <v>95366</v>
      </c>
      <c r="J54" s="279">
        <v>23208</v>
      </c>
      <c r="K54" s="279">
        <f t="shared" si="1"/>
        <v>136256</v>
      </c>
      <c r="L54" s="280">
        <v>7.6999999999999999E-2</v>
      </c>
      <c r="M54" s="280">
        <v>0.191</v>
      </c>
      <c r="N54" s="281">
        <v>0.157</v>
      </c>
      <c r="O54" s="282">
        <f t="shared" si="2"/>
        <v>417.26299999999998</v>
      </c>
      <c r="P54" s="283">
        <f t="shared" si="3"/>
        <v>2628.3179999999998</v>
      </c>
      <c r="Q54" s="275">
        <f t="shared" si="10"/>
        <v>181.874</v>
      </c>
      <c r="R54" s="283">
        <f t="shared" si="5"/>
        <v>839.25400000000002</v>
      </c>
      <c r="S54" s="275">
        <f t="shared" si="6"/>
        <v>1021.128</v>
      </c>
      <c r="T54" s="283">
        <f t="shared" si="9"/>
        <v>18214.905999999999</v>
      </c>
      <c r="U54" s="283">
        <f t="shared" si="7"/>
        <v>19236.034</v>
      </c>
      <c r="V54" s="283">
        <f t="shared" si="8"/>
        <v>21864.351999999999</v>
      </c>
    </row>
    <row r="55" spans="1:22" ht="24.95" customHeight="1" x14ac:dyDescent="0.2">
      <c r="A55" s="284" t="s">
        <v>134</v>
      </c>
      <c r="B55" s="285" t="s">
        <v>292</v>
      </c>
      <c r="C55" s="286" t="s">
        <v>286</v>
      </c>
      <c r="D55" s="279">
        <v>41111</v>
      </c>
      <c r="E55" s="279">
        <v>1186</v>
      </c>
      <c r="F55" s="279">
        <v>6053</v>
      </c>
      <c r="G55" s="279">
        <v>1005</v>
      </c>
      <c r="H55" s="279">
        <v>2890</v>
      </c>
      <c r="I55" s="279">
        <v>22924</v>
      </c>
      <c r="J55" s="279">
        <v>7053</v>
      </c>
      <c r="K55" s="279">
        <f t="shared" si="1"/>
        <v>32872</v>
      </c>
      <c r="L55" s="280">
        <v>8.3000000000000004E-2</v>
      </c>
      <c r="M55" s="280">
        <v>0.20599999999999999</v>
      </c>
      <c r="N55" s="281">
        <v>0.17399999999999999</v>
      </c>
      <c r="O55" s="282">
        <f t="shared" si="2"/>
        <v>98.438000000000002</v>
      </c>
      <c r="P55" s="283">
        <f t="shared" si="3"/>
        <v>502.399</v>
      </c>
      <c r="Q55" s="275">
        <f t="shared" si="10"/>
        <v>83.415000000000006</v>
      </c>
      <c r="R55" s="283">
        <f t="shared" si="5"/>
        <v>595.33999999999992</v>
      </c>
      <c r="S55" s="275">
        <f t="shared" si="6"/>
        <v>678.75499999999988</v>
      </c>
      <c r="T55" s="283">
        <f t="shared" si="9"/>
        <v>4722.3440000000001</v>
      </c>
      <c r="U55" s="283">
        <f t="shared" si="7"/>
        <v>5401.0990000000002</v>
      </c>
      <c r="V55" s="283">
        <f t="shared" si="8"/>
        <v>5903.4980000000005</v>
      </c>
    </row>
    <row r="56" spans="1:22" ht="24.95" customHeight="1" x14ac:dyDescent="0.2">
      <c r="A56" s="284" t="s">
        <v>48</v>
      </c>
      <c r="B56" s="285" t="s">
        <v>13</v>
      </c>
      <c r="C56" s="286" t="s">
        <v>286</v>
      </c>
      <c r="D56" s="279">
        <v>177043</v>
      </c>
      <c r="E56" s="279">
        <v>6937</v>
      </c>
      <c r="F56" s="279">
        <v>40536</v>
      </c>
      <c r="G56" s="279">
        <v>2632</v>
      </c>
      <c r="H56" s="279">
        <v>4127</v>
      </c>
      <c r="I56" s="279">
        <v>102258</v>
      </c>
      <c r="J56" s="279">
        <v>20553</v>
      </c>
      <c r="K56" s="279">
        <f t="shared" si="1"/>
        <v>149553</v>
      </c>
      <c r="L56" s="280">
        <v>8.5000000000000006E-2</v>
      </c>
      <c r="M56" s="280">
        <v>0.23300000000000001</v>
      </c>
      <c r="N56" s="281">
        <v>0.185</v>
      </c>
      <c r="O56" s="282">
        <f t="shared" si="2"/>
        <v>589.6450000000001</v>
      </c>
      <c r="P56" s="283">
        <f t="shared" si="3"/>
        <v>3445.5600000000004</v>
      </c>
      <c r="Q56" s="275">
        <f t="shared" si="10"/>
        <v>223.72000000000003</v>
      </c>
      <c r="R56" s="283">
        <f t="shared" si="5"/>
        <v>961.59100000000001</v>
      </c>
      <c r="S56" s="275">
        <f t="shared" si="6"/>
        <v>1185.3110000000001</v>
      </c>
      <c r="T56" s="283">
        <f t="shared" si="9"/>
        <v>23826.114000000001</v>
      </c>
      <c r="U56" s="283">
        <f t="shared" si="7"/>
        <v>25011.425000000003</v>
      </c>
      <c r="V56" s="283">
        <f t="shared" si="8"/>
        <v>28456.985000000004</v>
      </c>
    </row>
    <row r="57" spans="1:22" ht="24.95" customHeight="1" x14ac:dyDescent="0.2">
      <c r="A57" s="284" t="s">
        <v>84</v>
      </c>
      <c r="B57" s="285" t="s">
        <v>17</v>
      </c>
      <c r="C57" s="286" t="s">
        <v>286</v>
      </c>
      <c r="D57" s="279">
        <v>10636</v>
      </c>
      <c r="E57" s="279">
        <v>315</v>
      </c>
      <c r="F57" s="279">
        <v>1890</v>
      </c>
      <c r="G57" s="279">
        <v>105</v>
      </c>
      <c r="H57" s="279">
        <v>240</v>
      </c>
      <c r="I57" s="279">
        <v>6106</v>
      </c>
      <c r="J57" s="279">
        <v>1980</v>
      </c>
      <c r="K57" s="279">
        <f t="shared" si="1"/>
        <v>8341</v>
      </c>
      <c r="L57" s="280">
        <v>8.3000000000000004E-2</v>
      </c>
      <c r="M57" s="280">
        <v>0.22700000000000001</v>
      </c>
      <c r="N57" s="281">
        <v>0.189</v>
      </c>
      <c r="O57" s="282">
        <f t="shared" si="2"/>
        <v>26.145000000000003</v>
      </c>
      <c r="P57" s="283">
        <f t="shared" si="3"/>
        <v>156.87</v>
      </c>
      <c r="Q57" s="275">
        <f t="shared" si="10"/>
        <v>8.7149999999999999</v>
      </c>
      <c r="R57" s="283">
        <f t="shared" si="5"/>
        <v>54.480000000000004</v>
      </c>
      <c r="S57" s="275">
        <f t="shared" si="6"/>
        <v>63.195000000000007</v>
      </c>
      <c r="T57" s="283">
        <f t="shared" si="9"/>
        <v>1386.0620000000001</v>
      </c>
      <c r="U57" s="283">
        <f t="shared" si="7"/>
        <v>1449.2570000000001</v>
      </c>
      <c r="V57" s="283">
        <f t="shared" si="8"/>
        <v>1606.127</v>
      </c>
    </row>
    <row r="58" spans="1:22" ht="24.95" customHeight="1" x14ac:dyDescent="0.2">
      <c r="A58" s="284" t="s">
        <v>118</v>
      </c>
      <c r="B58" s="285" t="s">
        <v>21</v>
      </c>
      <c r="C58" s="286" t="s">
        <v>286</v>
      </c>
      <c r="D58" s="279">
        <v>59857</v>
      </c>
      <c r="E58" s="279">
        <v>2522</v>
      </c>
      <c r="F58" s="279">
        <v>12613</v>
      </c>
      <c r="G58" s="279">
        <v>807</v>
      </c>
      <c r="H58" s="279">
        <v>1558</v>
      </c>
      <c r="I58" s="279">
        <v>33498</v>
      </c>
      <c r="J58" s="279">
        <v>8859</v>
      </c>
      <c r="K58" s="279">
        <f t="shared" si="1"/>
        <v>48476</v>
      </c>
      <c r="L58" s="280">
        <v>9.4E-2</v>
      </c>
      <c r="M58" s="280">
        <v>0.222</v>
      </c>
      <c r="N58" s="281">
        <v>0.182</v>
      </c>
      <c r="O58" s="282">
        <f t="shared" si="2"/>
        <v>237.06800000000001</v>
      </c>
      <c r="P58" s="283">
        <f t="shared" si="3"/>
        <v>1185.6220000000001</v>
      </c>
      <c r="Q58" s="275">
        <f t="shared" si="10"/>
        <v>75.858000000000004</v>
      </c>
      <c r="R58" s="283">
        <f t="shared" si="5"/>
        <v>345.87599999999998</v>
      </c>
      <c r="S58" s="275">
        <f t="shared" si="6"/>
        <v>421.73399999999998</v>
      </c>
      <c r="T58" s="283">
        <f t="shared" si="9"/>
        <v>7436.5560000000005</v>
      </c>
      <c r="U58" s="283">
        <f t="shared" si="7"/>
        <v>7858.2900000000009</v>
      </c>
      <c r="V58" s="283">
        <f t="shared" si="8"/>
        <v>9043.9120000000003</v>
      </c>
    </row>
    <row r="59" spans="1:22" ht="24.95" customHeight="1" x14ac:dyDescent="0.2">
      <c r="A59" s="284" t="s">
        <v>98</v>
      </c>
      <c r="B59" s="285" t="s">
        <v>18</v>
      </c>
      <c r="C59" s="286" t="s">
        <v>286</v>
      </c>
      <c r="D59" s="279">
        <v>59401</v>
      </c>
      <c r="E59" s="279">
        <v>2023</v>
      </c>
      <c r="F59" s="279">
        <v>11619</v>
      </c>
      <c r="G59" s="279">
        <v>795</v>
      </c>
      <c r="H59" s="279">
        <v>1639</v>
      </c>
      <c r="I59" s="279">
        <v>33071</v>
      </c>
      <c r="J59" s="279">
        <v>10254</v>
      </c>
      <c r="K59" s="279">
        <f t="shared" si="1"/>
        <v>47124</v>
      </c>
      <c r="L59" s="280">
        <v>8.6999999999999994E-2</v>
      </c>
      <c r="M59" s="280">
        <v>0.20899999999999999</v>
      </c>
      <c r="N59" s="281">
        <v>0.17299999999999999</v>
      </c>
      <c r="O59" s="282">
        <f t="shared" si="2"/>
        <v>176.00099999999998</v>
      </c>
      <c r="P59" s="283">
        <f t="shared" si="3"/>
        <v>1010.853</v>
      </c>
      <c r="Q59" s="275">
        <f t="shared" si="10"/>
        <v>69.164999999999992</v>
      </c>
      <c r="R59" s="283">
        <f t="shared" si="5"/>
        <v>342.55099999999999</v>
      </c>
      <c r="S59" s="275">
        <f t="shared" si="6"/>
        <v>411.71600000000001</v>
      </c>
      <c r="T59" s="283">
        <f t="shared" si="9"/>
        <v>6911.8389999999999</v>
      </c>
      <c r="U59" s="283">
        <f t="shared" si="7"/>
        <v>7323.5550000000003</v>
      </c>
      <c r="V59" s="283">
        <f t="shared" si="8"/>
        <v>8334.4079999999994</v>
      </c>
    </row>
    <row r="60" spans="1:22" ht="24.95" customHeight="1" x14ac:dyDescent="0.2">
      <c r="A60" s="284" t="s">
        <v>111</v>
      </c>
      <c r="B60" s="285" t="s">
        <v>20</v>
      </c>
      <c r="C60" s="286" t="s">
        <v>286</v>
      </c>
      <c r="D60" s="279">
        <v>79630</v>
      </c>
      <c r="E60" s="279">
        <v>2376</v>
      </c>
      <c r="F60" s="279">
        <v>15304</v>
      </c>
      <c r="G60" s="279">
        <v>1067</v>
      </c>
      <c r="H60" s="279">
        <v>1963</v>
      </c>
      <c r="I60" s="279">
        <v>46825</v>
      </c>
      <c r="J60" s="279">
        <v>12095</v>
      </c>
      <c r="K60" s="279">
        <f t="shared" si="1"/>
        <v>65159</v>
      </c>
      <c r="L60" s="280">
        <v>7.5999999999999998E-2</v>
      </c>
      <c r="M60" s="280">
        <v>0.20300000000000001</v>
      </c>
      <c r="N60" s="281">
        <v>0.16800000000000001</v>
      </c>
      <c r="O60" s="282">
        <f t="shared" si="2"/>
        <v>180.57599999999999</v>
      </c>
      <c r="P60" s="283">
        <f t="shared" si="3"/>
        <v>1163.104</v>
      </c>
      <c r="Q60" s="275">
        <f t="shared" si="10"/>
        <v>81.091999999999999</v>
      </c>
      <c r="R60" s="283">
        <f t="shared" si="5"/>
        <v>398.48900000000003</v>
      </c>
      <c r="S60" s="275">
        <f t="shared" si="6"/>
        <v>479.58100000000002</v>
      </c>
      <c r="T60" s="283">
        <f t="shared" si="9"/>
        <v>9505.4750000000004</v>
      </c>
      <c r="U60" s="283">
        <f t="shared" si="7"/>
        <v>9985.0560000000005</v>
      </c>
      <c r="V60" s="283">
        <f t="shared" si="8"/>
        <v>11148.16</v>
      </c>
    </row>
    <row r="61" spans="1:22" ht="24.95" customHeight="1" x14ac:dyDescent="0.2">
      <c r="A61" s="284" t="s">
        <v>135</v>
      </c>
      <c r="B61" s="285" t="s">
        <v>292</v>
      </c>
      <c r="C61" s="286" t="s">
        <v>286</v>
      </c>
      <c r="D61" s="279">
        <v>34164</v>
      </c>
      <c r="E61" s="279">
        <v>1000</v>
      </c>
      <c r="F61" s="279">
        <v>5464</v>
      </c>
      <c r="G61" s="279">
        <v>381</v>
      </c>
      <c r="H61" s="279">
        <v>705</v>
      </c>
      <c r="I61" s="279">
        <v>17714</v>
      </c>
      <c r="J61" s="279">
        <v>8900</v>
      </c>
      <c r="K61" s="279">
        <f t="shared" si="1"/>
        <v>24264</v>
      </c>
      <c r="L61" s="280">
        <v>8.1000000000000003E-2</v>
      </c>
      <c r="M61" s="280">
        <v>0.19500000000000001</v>
      </c>
      <c r="N61" s="281">
        <v>0.16400000000000001</v>
      </c>
      <c r="O61" s="282">
        <f t="shared" si="2"/>
        <v>81</v>
      </c>
      <c r="P61" s="283">
        <f t="shared" si="3"/>
        <v>442.584</v>
      </c>
      <c r="Q61" s="275">
        <f t="shared" si="10"/>
        <v>30.861000000000001</v>
      </c>
      <c r="R61" s="283">
        <f t="shared" si="5"/>
        <v>137.47499999999999</v>
      </c>
      <c r="S61" s="275">
        <f t="shared" si="6"/>
        <v>168.33599999999998</v>
      </c>
      <c r="T61" s="283">
        <f t="shared" si="9"/>
        <v>3454.23</v>
      </c>
      <c r="U61" s="283">
        <f t="shared" si="7"/>
        <v>3622.5659999999998</v>
      </c>
      <c r="V61" s="283">
        <f t="shared" si="8"/>
        <v>4065.1499999999996</v>
      </c>
    </row>
    <row r="62" spans="1:22" ht="24.95" customHeight="1" x14ac:dyDescent="0.2">
      <c r="A62" s="284" t="s">
        <v>136</v>
      </c>
      <c r="B62" s="285" t="s">
        <v>292</v>
      </c>
      <c r="C62" s="286" t="s">
        <v>286</v>
      </c>
      <c r="D62" s="279">
        <v>21472</v>
      </c>
      <c r="E62" s="279">
        <v>561</v>
      </c>
      <c r="F62" s="279">
        <v>3503</v>
      </c>
      <c r="G62" s="279">
        <v>346</v>
      </c>
      <c r="H62" s="279">
        <v>795</v>
      </c>
      <c r="I62" s="279">
        <v>12072</v>
      </c>
      <c r="J62" s="279">
        <v>4195</v>
      </c>
      <c r="K62" s="279">
        <f t="shared" si="1"/>
        <v>16716</v>
      </c>
      <c r="L62" s="280">
        <v>7.4999999999999997E-2</v>
      </c>
      <c r="M62" s="280">
        <v>0.192</v>
      </c>
      <c r="N62" s="281">
        <v>0.161</v>
      </c>
      <c r="O62" s="282">
        <f t="shared" si="2"/>
        <v>42.074999999999996</v>
      </c>
      <c r="P62" s="283">
        <f t="shared" si="3"/>
        <v>262.72499999999997</v>
      </c>
      <c r="Q62" s="275">
        <f t="shared" si="10"/>
        <v>25.95</v>
      </c>
      <c r="R62" s="283">
        <f t="shared" si="5"/>
        <v>152.64000000000001</v>
      </c>
      <c r="S62" s="275">
        <f t="shared" si="6"/>
        <v>178.59</v>
      </c>
      <c r="T62" s="283">
        <f t="shared" si="9"/>
        <v>2317.8240000000001</v>
      </c>
      <c r="U62" s="283">
        <f t="shared" si="7"/>
        <v>2496.4140000000002</v>
      </c>
      <c r="V62" s="283">
        <f t="shared" si="8"/>
        <v>2759.1390000000001</v>
      </c>
    </row>
    <row r="63" spans="1:22" ht="24.95" customHeight="1" x14ac:dyDescent="0.2">
      <c r="A63" s="284" t="s">
        <v>85</v>
      </c>
      <c r="B63" s="285" t="s">
        <v>17</v>
      </c>
      <c r="C63" s="286" t="s">
        <v>286</v>
      </c>
      <c r="D63" s="279">
        <v>23870</v>
      </c>
      <c r="E63" s="279">
        <v>726</v>
      </c>
      <c r="F63" s="279">
        <v>4318</v>
      </c>
      <c r="G63" s="279">
        <v>262</v>
      </c>
      <c r="H63" s="279">
        <v>562</v>
      </c>
      <c r="I63" s="279">
        <v>13356</v>
      </c>
      <c r="J63" s="279">
        <v>4646</v>
      </c>
      <c r="K63" s="279">
        <f t="shared" si="1"/>
        <v>18498</v>
      </c>
      <c r="L63" s="280">
        <v>8.5000000000000006E-2</v>
      </c>
      <c r="M63" s="280">
        <v>0.21099999999999999</v>
      </c>
      <c r="N63" s="281">
        <v>0.17599999999999999</v>
      </c>
      <c r="O63" s="282">
        <f t="shared" si="2"/>
        <v>61.710000000000008</v>
      </c>
      <c r="P63" s="283">
        <f t="shared" si="3"/>
        <v>367.03000000000003</v>
      </c>
      <c r="Q63" s="275">
        <f t="shared" si="10"/>
        <v>22.270000000000003</v>
      </c>
      <c r="R63" s="283">
        <f t="shared" si="5"/>
        <v>118.58199999999999</v>
      </c>
      <c r="S63" s="275">
        <f t="shared" si="6"/>
        <v>140.852</v>
      </c>
      <c r="T63" s="283">
        <f t="shared" si="9"/>
        <v>2818.116</v>
      </c>
      <c r="U63" s="283">
        <f t="shared" si="7"/>
        <v>2958.9679999999998</v>
      </c>
      <c r="V63" s="283">
        <f t="shared" si="8"/>
        <v>3325.998</v>
      </c>
    </row>
    <row r="64" spans="1:22" ht="24.95" customHeight="1" x14ac:dyDescent="0.2">
      <c r="A64" s="284" t="s">
        <v>137</v>
      </c>
      <c r="B64" s="285" t="s">
        <v>292</v>
      </c>
      <c r="C64" s="286" t="s">
        <v>286</v>
      </c>
      <c r="D64" s="279">
        <v>45359</v>
      </c>
      <c r="E64" s="279">
        <v>1373</v>
      </c>
      <c r="F64" s="279">
        <v>8159</v>
      </c>
      <c r="G64" s="279">
        <v>559</v>
      </c>
      <c r="H64" s="279">
        <v>990</v>
      </c>
      <c r="I64" s="279">
        <v>26051</v>
      </c>
      <c r="J64" s="279">
        <v>8227</v>
      </c>
      <c r="K64" s="279">
        <f t="shared" si="1"/>
        <v>35759</v>
      </c>
      <c r="L64" s="280">
        <v>7.8E-2</v>
      </c>
      <c r="M64" s="280">
        <v>0.189</v>
      </c>
      <c r="N64" s="281">
        <v>0.159</v>
      </c>
      <c r="O64" s="282">
        <f t="shared" si="2"/>
        <v>107.09399999999999</v>
      </c>
      <c r="P64" s="283">
        <f t="shared" si="3"/>
        <v>636.40200000000004</v>
      </c>
      <c r="Q64" s="275">
        <f t="shared" si="10"/>
        <v>43.601999999999997</v>
      </c>
      <c r="R64" s="283">
        <f t="shared" si="5"/>
        <v>187.11</v>
      </c>
      <c r="S64" s="275">
        <f t="shared" si="6"/>
        <v>230.71200000000002</v>
      </c>
      <c r="T64" s="283">
        <f t="shared" si="9"/>
        <v>4923.6390000000001</v>
      </c>
      <c r="U64" s="283">
        <f t="shared" si="7"/>
        <v>5154.3510000000006</v>
      </c>
      <c r="V64" s="283">
        <f t="shared" si="8"/>
        <v>5790.7530000000006</v>
      </c>
    </row>
    <row r="65" spans="1:22" ht="24.95" customHeight="1" x14ac:dyDescent="0.2">
      <c r="A65" s="284" t="s">
        <v>105</v>
      </c>
      <c r="B65" s="285" t="s">
        <v>19</v>
      </c>
      <c r="C65" s="286" t="s">
        <v>285</v>
      </c>
      <c r="D65" s="279">
        <v>986516</v>
      </c>
      <c r="E65" s="279">
        <v>42260</v>
      </c>
      <c r="F65" s="279">
        <v>200637</v>
      </c>
      <c r="G65" s="279">
        <v>12269</v>
      </c>
      <c r="H65" s="279">
        <v>25325</v>
      </c>
      <c r="I65" s="279">
        <v>609683</v>
      </c>
      <c r="J65" s="279">
        <v>96342</v>
      </c>
      <c r="K65" s="279">
        <f t="shared" si="1"/>
        <v>847914</v>
      </c>
      <c r="L65" s="280">
        <v>8.6999999999999994E-2</v>
      </c>
      <c r="M65" s="280">
        <v>0.21199999999999999</v>
      </c>
      <c r="N65" s="281">
        <v>0.17499999999999999</v>
      </c>
      <c r="O65" s="282">
        <f t="shared" si="2"/>
        <v>3676.62</v>
      </c>
      <c r="P65" s="283">
        <f t="shared" si="3"/>
        <v>17455.418999999998</v>
      </c>
      <c r="Q65" s="275">
        <f t="shared" si="10"/>
        <v>1067.403</v>
      </c>
      <c r="R65" s="283">
        <f t="shared" si="5"/>
        <v>5368.9</v>
      </c>
      <c r="S65" s="275">
        <f t="shared" si="6"/>
        <v>6436.3029999999999</v>
      </c>
      <c r="T65" s="283">
        <f t="shared" si="9"/>
        <v>129252.796</v>
      </c>
      <c r="U65" s="283">
        <f t="shared" si="7"/>
        <v>135689.09899999999</v>
      </c>
      <c r="V65" s="283">
        <f t="shared" si="8"/>
        <v>153144.51799999998</v>
      </c>
    </row>
    <row r="66" spans="1:22" ht="24.95" customHeight="1" x14ac:dyDescent="0.2">
      <c r="A66" s="284" t="s">
        <v>138</v>
      </c>
      <c r="B66" s="285" t="s">
        <v>292</v>
      </c>
      <c r="C66" s="286" t="s">
        <v>286</v>
      </c>
      <c r="D66" s="279">
        <v>15365</v>
      </c>
      <c r="E66" s="279">
        <v>427</v>
      </c>
      <c r="F66" s="279">
        <v>2425</v>
      </c>
      <c r="G66" s="279">
        <v>128</v>
      </c>
      <c r="H66" s="279">
        <v>314</v>
      </c>
      <c r="I66" s="279">
        <v>8624</v>
      </c>
      <c r="J66" s="279">
        <v>3447</v>
      </c>
      <c r="K66" s="279">
        <f t="shared" si="1"/>
        <v>11491</v>
      </c>
      <c r="L66" s="280">
        <v>7.5999999999999998E-2</v>
      </c>
      <c r="M66" s="280">
        <v>0.187</v>
      </c>
      <c r="N66" s="281">
        <v>0.159</v>
      </c>
      <c r="O66" s="282">
        <f t="shared" si="2"/>
        <v>32.451999999999998</v>
      </c>
      <c r="P66" s="283">
        <f t="shared" si="3"/>
        <v>184.29999999999998</v>
      </c>
      <c r="Q66" s="275">
        <f t="shared" si="10"/>
        <v>9.7279999999999998</v>
      </c>
      <c r="R66" s="283">
        <f t="shared" si="5"/>
        <v>58.717999999999996</v>
      </c>
      <c r="S66" s="275">
        <f t="shared" si="6"/>
        <v>68.445999999999998</v>
      </c>
      <c r="T66" s="283">
        <f t="shared" si="9"/>
        <v>1612.6880000000001</v>
      </c>
      <c r="U66" s="283">
        <f t="shared" si="7"/>
        <v>1681.134</v>
      </c>
      <c r="V66" s="283">
        <f t="shared" si="8"/>
        <v>1865.434</v>
      </c>
    </row>
    <row r="67" spans="1:22" ht="24.95" customHeight="1" x14ac:dyDescent="0.2">
      <c r="A67" s="284" t="s">
        <v>119</v>
      </c>
      <c r="B67" s="285" t="s">
        <v>21</v>
      </c>
      <c r="C67" s="286" t="s">
        <v>286</v>
      </c>
      <c r="D67" s="279">
        <v>28059</v>
      </c>
      <c r="E67" s="279">
        <v>999</v>
      </c>
      <c r="F67" s="279">
        <v>5487</v>
      </c>
      <c r="G67" s="279">
        <v>409</v>
      </c>
      <c r="H67" s="279">
        <v>819</v>
      </c>
      <c r="I67" s="279">
        <v>15380</v>
      </c>
      <c r="J67" s="279">
        <v>4965</v>
      </c>
      <c r="K67" s="279">
        <f t="shared" si="1"/>
        <v>22095</v>
      </c>
      <c r="L67" s="280">
        <v>9.5000000000000001E-2</v>
      </c>
      <c r="M67" s="280">
        <v>0.22500000000000001</v>
      </c>
      <c r="N67" s="281">
        <v>0.187</v>
      </c>
      <c r="O67" s="282">
        <f t="shared" si="2"/>
        <v>94.905000000000001</v>
      </c>
      <c r="P67" s="283">
        <f t="shared" si="3"/>
        <v>521.26499999999999</v>
      </c>
      <c r="Q67" s="275">
        <f t="shared" si="10"/>
        <v>38.855000000000004</v>
      </c>
      <c r="R67" s="283">
        <f t="shared" si="5"/>
        <v>184.27500000000001</v>
      </c>
      <c r="S67" s="275">
        <f t="shared" si="6"/>
        <v>223.13</v>
      </c>
      <c r="T67" s="283">
        <f t="shared" si="9"/>
        <v>3460.5</v>
      </c>
      <c r="U67" s="283">
        <f t="shared" si="7"/>
        <v>3683.63</v>
      </c>
      <c r="V67" s="283">
        <f t="shared" si="8"/>
        <v>4204.8950000000004</v>
      </c>
    </row>
    <row r="68" spans="1:22" ht="24.95" customHeight="1" x14ac:dyDescent="0.2">
      <c r="A68" s="284" t="s">
        <v>120</v>
      </c>
      <c r="B68" s="285" t="s">
        <v>21</v>
      </c>
      <c r="C68" s="286" t="s">
        <v>286</v>
      </c>
      <c r="D68" s="279">
        <v>91879</v>
      </c>
      <c r="E68" s="279">
        <v>2940</v>
      </c>
      <c r="F68" s="279">
        <v>16513</v>
      </c>
      <c r="G68" s="279">
        <v>1078</v>
      </c>
      <c r="H68" s="279">
        <v>1925</v>
      </c>
      <c r="I68" s="279">
        <v>47075</v>
      </c>
      <c r="J68" s="279">
        <v>22348</v>
      </c>
      <c r="K68" s="279">
        <f t="shared" si="1"/>
        <v>66591</v>
      </c>
      <c r="L68" s="280">
        <v>0.08</v>
      </c>
      <c r="M68" s="280">
        <v>0.19500000000000001</v>
      </c>
      <c r="N68" s="281">
        <v>0.16200000000000001</v>
      </c>
      <c r="O68" s="282">
        <f t="shared" si="2"/>
        <v>235.20000000000002</v>
      </c>
      <c r="P68" s="283">
        <f t="shared" si="3"/>
        <v>1321.04</v>
      </c>
      <c r="Q68" s="275">
        <f t="shared" si="10"/>
        <v>86.24</v>
      </c>
      <c r="R68" s="283">
        <f t="shared" si="5"/>
        <v>375.375</v>
      </c>
      <c r="S68" s="275">
        <f t="shared" si="6"/>
        <v>461.61500000000001</v>
      </c>
      <c r="T68" s="283">
        <f t="shared" si="9"/>
        <v>9179.625</v>
      </c>
      <c r="U68" s="283">
        <f t="shared" si="7"/>
        <v>9641.24</v>
      </c>
      <c r="V68" s="283">
        <f t="shared" si="8"/>
        <v>10962.279999999999</v>
      </c>
    </row>
    <row r="69" spans="1:22" ht="24.95" customHeight="1" x14ac:dyDescent="0.2">
      <c r="A69" s="284" t="s">
        <v>99</v>
      </c>
      <c r="B69" s="285" t="s">
        <v>18</v>
      </c>
      <c r="C69" s="286" t="s">
        <v>286</v>
      </c>
      <c r="D69" s="279">
        <v>94722</v>
      </c>
      <c r="E69" s="279">
        <v>3258</v>
      </c>
      <c r="F69" s="279">
        <v>18360</v>
      </c>
      <c r="G69" s="279">
        <v>1315</v>
      </c>
      <c r="H69" s="279">
        <v>2351</v>
      </c>
      <c r="I69" s="279">
        <v>54654</v>
      </c>
      <c r="J69" s="279">
        <v>14784</v>
      </c>
      <c r="K69" s="279">
        <f t="shared" si="1"/>
        <v>76680</v>
      </c>
      <c r="L69" s="280">
        <v>8.5999999999999993E-2</v>
      </c>
      <c r="M69" s="280">
        <v>0.20699999999999999</v>
      </c>
      <c r="N69" s="281">
        <v>0.17199999999999999</v>
      </c>
      <c r="O69" s="282">
        <f t="shared" si="2"/>
        <v>280.18799999999999</v>
      </c>
      <c r="P69" s="283">
        <f t="shared" si="3"/>
        <v>1578.9599999999998</v>
      </c>
      <c r="Q69" s="275">
        <f t="shared" si="10"/>
        <v>113.08999999999999</v>
      </c>
      <c r="R69" s="283">
        <f t="shared" si="5"/>
        <v>486.65699999999998</v>
      </c>
      <c r="S69" s="275">
        <f t="shared" si="6"/>
        <v>599.74699999999996</v>
      </c>
      <c r="T69" s="283">
        <f t="shared" si="9"/>
        <v>11313.377999999999</v>
      </c>
      <c r="U69" s="283">
        <f t="shared" si="7"/>
        <v>11913.124999999998</v>
      </c>
      <c r="V69" s="283">
        <f t="shared" si="8"/>
        <v>13492.084999999997</v>
      </c>
    </row>
    <row r="70" spans="1:22" ht="24.95" customHeight="1" x14ac:dyDescent="0.2">
      <c r="A70" s="284" t="s">
        <v>71</v>
      </c>
      <c r="B70" s="285" t="s">
        <v>16</v>
      </c>
      <c r="C70" s="286" t="s">
        <v>285</v>
      </c>
      <c r="D70" s="279">
        <v>213785</v>
      </c>
      <c r="E70" s="279">
        <v>6746</v>
      </c>
      <c r="F70" s="279">
        <v>34620</v>
      </c>
      <c r="G70" s="279">
        <v>3454</v>
      </c>
      <c r="H70" s="279">
        <v>8188</v>
      </c>
      <c r="I70" s="279">
        <v>128110</v>
      </c>
      <c r="J70" s="279">
        <v>32667</v>
      </c>
      <c r="K70" s="279">
        <f t="shared" si="1"/>
        <v>174372</v>
      </c>
      <c r="L70" s="280">
        <v>7.9000000000000001E-2</v>
      </c>
      <c r="M70" s="280">
        <v>0.2</v>
      </c>
      <c r="N70" s="281">
        <v>0.16900000000000001</v>
      </c>
      <c r="O70" s="282">
        <f t="shared" si="2"/>
        <v>532.93399999999997</v>
      </c>
      <c r="P70" s="283">
        <f t="shared" si="3"/>
        <v>2734.98</v>
      </c>
      <c r="Q70" s="275">
        <f t="shared" si="10"/>
        <v>272.86599999999999</v>
      </c>
      <c r="R70" s="283">
        <f t="shared" si="5"/>
        <v>1637.6000000000001</v>
      </c>
      <c r="S70" s="275">
        <f t="shared" si="6"/>
        <v>1910.4660000000001</v>
      </c>
      <c r="T70" s="283">
        <f t="shared" ref="T70:T105" si="11">M70*I70</f>
        <v>25622</v>
      </c>
      <c r="U70" s="283">
        <f t="shared" si="7"/>
        <v>27532.466</v>
      </c>
      <c r="V70" s="283">
        <f t="shared" si="8"/>
        <v>30267.446</v>
      </c>
    </row>
    <row r="71" spans="1:22" ht="24.95" customHeight="1" x14ac:dyDescent="0.2">
      <c r="A71" s="284" t="s">
        <v>86</v>
      </c>
      <c r="B71" s="285" t="s">
        <v>17</v>
      </c>
      <c r="C71" s="286" t="s">
        <v>286</v>
      </c>
      <c r="D71" s="279">
        <v>21348</v>
      </c>
      <c r="E71" s="279">
        <v>580</v>
      </c>
      <c r="F71" s="279">
        <v>3585</v>
      </c>
      <c r="G71" s="279">
        <v>213</v>
      </c>
      <c r="H71" s="279">
        <v>493</v>
      </c>
      <c r="I71" s="279">
        <v>11920</v>
      </c>
      <c r="J71" s="279">
        <v>4557</v>
      </c>
      <c r="K71" s="279">
        <f t="shared" ref="K71:K105" si="12">SUM(F71:I71)</f>
        <v>16211</v>
      </c>
      <c r="L71" s="280">
        <v>8.5999999999999993E-2</v>
      </c>
      <c r="M71" s="280">
        <v>0.23100000000000001</v>
      </c>
      <c r="N71" s="281">
        <v>0.192</v>
      </c>
      <c r="O71" s="282">
        <f t="shared" ref="O71:O105" si="13">L71*E71</f>
        <v>49.879999999999995</v>
      </c>
      <c r="P71" s="283">
        <f t="shared" ref="P71:P105" si="14">L71*F71</f>
        <v>308.31</v>
      </c>
      <c r="Q71" s="275">
        <f t="shared" ref="Q71:Q105" si="15">L71*G71</f>
        <v>18.317999999999998</v>
      </c>
      <c r="R71" s="283">
        <f t="shared" ref="R71:R105" si="16">M71*H71</f>
        <v>113.88300000000001</v>
      </c>
      <c r="S71" s="275">
        <f t="shared" ref="S71:S105" si="17">SUM(Q71:R71)</f>
        <v>132.20100000000002</v>
      </c>
      <c r="T71" s="283">
        <f t="shared" si="11"/>
        <v>2753.52</v>
      </c>
      <c r="U71" s="283">
        <f t="shared" ref="U71:U105" si="18">SUM(S71:T71)</f>
        <v>2885.721</v>
      </c>
      <c r="V71" s="283">
        <f t="shared" ref="V71:V105" si="19">SUM(P71,U71)</f>
        <v>3194.0309999999999</v>
      </c>
    </row>
    <row r="72" spans="1:22" ht="24.95" customHeight="1" x14ac:dyDescent="0.2">
      <c r="A72" s="284" t="s">
        <v>72</v>
      </c>
      <c r="B72" s="285" t="s">
        <v>16</v>
      </c>
      <c r="C72" s="286" t="s">
        <v>286</v>
      </c>
      <c r="D72" s="279">
        <v>194201</v>
      </c>
      <c r="E72" s="279">
        <v>13088</v>
      </c>
      <c r="F72" s="279">
        <v>39636</v>
      </c>
      <c r="G72" s="279">
        <v>3137</v>
      </c>
      <c r="H72" s="279">
        <v>11591</v>
      </c>
      <c r="I72" s="279">
        <v>110790</v>
      </c>
      <c r="J72" s="279">
        <v>15959</v>
      </c>
      <c r="K72" s="279">
        <f t="shared" si="12"/>
        <v>165154</v>
      </c>
      <c r="L72" s="280">
        <v>0.08</v>
      </c>
      <c r="M72" s="280">
        <v>0.24</v>
      </c>
      <c r="N72" s="281">
        <v>0.192</v>
      </c>
      <c r="O72" s="282">
        <f t="shared" si="13"/>
        <v>1047.04</v>
      </c>
      <c r="P72" s="283">
        <f t="shared" si="14"/>
        <v>3170.88</v>
      </c>
      <c r="Q72" s="275">
        <f t="shared" si="15"/>
        <v>250.96</v>
      </c>
      <c r="R72" s="283">
        <f t="shared" si="16"/>
        <v>2781.8399999999997</v>
      </c>
      <c r="S72" s="275">
        <f t="shared" si="17"/>
        <v>3032.7999999999997</v>
      </c>
      <c r="T72" s="283">
        <f t="shared" si="11"/>
        <v>26589.599999999999</v>
      </c>
      <c r="U72" s="283">
        <f t="shared" si="18"/>
        <v>29622.399999999998</v>
      </c>
      <c r="V72" s="283">
        <f t="shared" si="19"/>
        <v>32793.279999999999</v>
      </c>
    </row>
    <row r="73" spans="1:22" ht="24.95" customHeight="1" x14ac:dyDescent="0.2">
      <c r="A73" s="284" t="s">
        <v>58</v>
      </c>
      <c r="B73" s="285" t="s">
        <v>14</v>
      </c>
      <c r="C73" s="286" t="s">
        <v>285</v>
      </c>
      <c r="D73" s="279">
        <v>140723</v>
      </c>
      <c r="E73" s="279">
        <v>3868</v>
      </c>
      <c r="F73" s="279">
        <v>24611</v>
      </c>
      <c r="G73" s="279">
        <v>3058</v>
      </c>
      <c r="H73" s="279">
        <v>9109</v>
      </c>
      <c r="I73" s="279">
        <v>84587</v>
      </c>
      <c r="J73" s="279">
        <v>15490</v>
      </c>
      <c r="K73" s="279">
        <f t="shared" si="12"/>
        <v>121365</v>
      </c>
      <c r="L73" s="280">
        <v>8.2000000000000003E-2</v>
      </c>
      <c r="M73" s="280">
        <v>0.19500000000000001</v>
      </c>
      <c r="N73" s="281">
        <v>0.16400000000000001</v>
      </c>
      <c r="O73" s="282">
        <f t="shared" si="13"/>
        <v>317.17599999999999</v>
      </c>
      <c r="P73" s="283">
        <f t="shared" si="14"/>
        <v>2018.1020000000001</v>
      </c>
      <c r="Q73" s="275">
        <f t="shared" si="15"/>
        <v>250.756</v>
      </c>
      <c r="R73" s="283">
        <f t="shared" si="16"/>
        <v>1776.2550000000001</v>
      </c>
      <c r="S73" s="275">
        <f t="shared" si="17"/>
        <v>2027.0110000000002</v>
      </c>
      <c r="T73" s="283">
        <f t="shared" si="11"/>
        <v>16494.465</v>
      </c>
      <c r="U73" s="283">
        <f t="shared" si="18"/>
        <v>18521.475999999999</v>
      </c>
      <c r="V73" s="283">
        <f t="shared" si="19"/>
        <v>20539.577999999998</v>
      </c>
    </row>
    <row r="74" spans="1:22" ht="24.95" customHeight="1" x14ac:dyDescent="0.2">
      <c r="A74" s="284" t="s">
        <v>87</v>
      </c>
      <c r="B74" s="285" t="s">
        <v>17</v>
      </c>
      <c r="C74" s="286" t="s">
        <v>286</v>
      </c>
      <c r="D74" s="279">
        <v>13320</v>
      </c>
      <c r="E74" s="279">
        <v>302</v>
      </c>
      <c r="F74" s="279">
        <v>1949</v>
      </c>
      <c r="G74" s="279">
        <v>124</v>
      </c>
      <c r="H74" s="279">
        <v>218</v>
      </c>
      <c r="I74" s="279">
        <v>7441</v>
      </c>
      <c r="J74" s="279">
        <v>3286</v>
      </c>
      <c r="K74" s="279">
        <f t="shared" si="12"/>
        <v>9732</v>
      </c>
      <c r="L74" s="280">
        <v>7.9000000000000001E-2</v>
      </c>
      <c r="M74" s="280">
        <v>0.20200000000000001</v>
      </c>
      <c r="N74" s="281">
        <v>0.17199999999999999</v>
      </c>
      <c r="O74" s="282">
        <f t="shared" si="13"/>
        <v>23.858000000000001</v>
      </c>
      <c r="P74" s="283">
        <f t="shared" si="14"/>
        <v>153.971</v>
      </c>
      <c r="Q74" s="275">
        <f t="shared" si="15"/>
        <v>9.7959999999999994</v>
      </c>
      <c r="R74" s="283">
        <f t="shared" si="16"/>
        <v>44.036000000000001</v>
      </c>
      <c r="S74" s="275">
        <f t="shared" si="17"/>
        <v>53.832000000000001</v>
      </c>
      <c r="T74" s="283">
        <f t="shared" si="11"/>
        <v>1503.0820000000001</v>
      </c>
      <c r="U74" s="283">
        <f t="shared" si="18"/>
        <v>1556.9140000000002</v>
      </c>
      <c r="V74" s="283">
        <f t="shared" si="19"/>
        <v>1710.8850000000002</v>
      </c>
    </row>
    <row r="75" spans="1:22" ht="24.95" customHeight="1" x14ac:dyDescent="0.2">
      <c r="A75" s="284" t="s">
        <v>88</v>
      </c>
      <c r="B75" s="285" t="s">
        <v>17</v>
      </c>
      <c r="C75" s="286" t="s">
        <v>286</v>
      </c>
      <c r="D75" s="279">
        <v>39740</v>
      </c>
      <c r="E75" s="279">
        <v>1386</v>
      </c>
      <c r="F75" s="279">
        <v>7578</v>
      </c>
      <c r="G75" s="279">
        <v>746</v>
      </c>
      <c r="H75" s="279">
        <v>1568</v>
      </c>
      <c r="I75" s="279">
        <v>22697</v>
      </c>
      <c r="J75" s="279">
        <v>5765</v>
      </c>
      <c r="K75" s="279">
        <f t="shared" si="12"/>
        <v>32589</v>
      </c>
      <c r="L75" s="280">
        <v>8.2000000000000003E-2</v>
      </c>
      <c r="M75" s="280">
        <v>0.21099999999999999</v>
      </c>
      <c r="N75" s="281">
        <v>0.17399999999999999</v>
      </c>
      <c r="O75" s="282">
        <f t="shared" si="13"/>
        <v>113.652</v>
      </c>
      <c r="P75" s="283">
        <f t="shared" si="14"/>
        <v>621.39600000000007</v>
      </c>
      <c r="Q75" s="275">
        <f t="shared" si="15"/>
        <v>61.172000000000004</v>
      </c>
      <c r="R75" s="283">
        <f t="shared" si="16"/>
        <v>330.84800000000001</v>
      </c>
      <c r="S75" s="275">
        <f t="shared" si="17"/>
        <v>392.02000000000004</v>
      </c>
      <c r="T75" s="283">
        <f t="shared" si="11"/>
        <v>4789.067</v>
      </c>
      <c r="U75" s="283">
        <f t="shared" si="18"/>
        <v>5181.0870000000004</v>
      </c>
      <c r="V75" s="283">
        <f t="shared" si="19"/>
        <v>5802.4830000000002</v>
      </c>
    </row>
    <row r="76" spans="1:22" ht="24.95" customHeight="1" x14ac:dyDescent="0.2">
      <c r="A76" s="284" t="s">
        <v>73</v>
      </c>
      <c r="B76" s="285" t="s">
        <v>16</v>
      </c>
      <c r="C76" s="286" t="s">
        <v>286</v>
      </c>
      <c r="D76" s="279">
        <v>55313</v>
      </c>
      <c r="E76" s="279">
        <v>1825</v>
      </c>
      <c r="F76" s="279">
        <v>10092</v>
      </c>
      <c r="G76" s="279">
        <v>664</v>
      </c>
      <c r="H76" s="279">
        <v>1422</v>
      </c>
      <c r="I76" s="279">
        <v>32078</v>
      </c>
      <c r="J76" s="279">
        <v>9232</v>
      </c>
      <c r="K76" s="279">
        <f t="shared" si="12"/>
        <v>44256</v>
      </c>
      <c r="L76" s="280">
        <v>0.08</v>
      </c>
      <c r="M76" s="280">
        <v>0.222</v>
      </c>
      <c r="N76" s="281">
        <v>0.182</v>
      </c>
      <c r="O76" s="282">
        <f t="shared" si="13"/>
        <v>146</v>
      </c>
      <c r="P76" s="283">
        <f t="shared" si="14"/>
        <v>807.36</v>
      </c>
      <c r="Q76" s="275">
        <f t="shared" si="15"/>
        <v>53.120000000000005</v>
      </c>
      <c r="R76" s="283">
        <f t="shared" si="16"/>
        <v>315.68400000000003</v>
      </c>
      <c r="S76" s="275">
        <f t="shared" si="17"/>
        <v>368.80400000000003</v>
      </c>
      <c r="T76" s="283">
        <f t="shared" si="11"/>
        <v>7121.3159999999998</v>
      </c>
      <c r="U76" s="283">
        <f t="shared" si="18"/>
        <v>7490.12</v>
      </c>
      <c r="V76" s="283">
        <f t="shared" si="19"/>
        <v>8297.48</v>
      </c>
    </row>
    <row r="77" spans="1:22" ht="24.95" customHeight="1" x14ac:dyDescent="0.2">
      <c r="A77" s="284" t="s">
        <v>89</v>
      </c>
      <c r="B77" s="285" t="s">
        <v>17</v>
      </c>
      <c r="C77" s="286" t="s">
        <v>286</v>
      </c>
      <c r="D77" s="279">
        <v>13771</v>
      </c>
      <c r="E77" s="279">
        <v>382</v>
      </c>
      <c r="F77" s="279">
        <v>2284</v>
      </c>
      <c r="G77" s="279">
        <v>134</v>
      </c>
      <c r="H77" s="279">
        <v>330</v>
      </c>
      <c r="I77" s="279">
        <v>7302</v>
      </c>
      <c r="J77" s="279">
        <v>3339</v>
      </c>
      <c r="K77" s="279">
        <f t="shared" si="12"/>
        <v>10050</v>
      </c>
      <c r="L77" s="280">
        <v>7.6999999999999999E-2</v>
      </c>
      <c r="M77" s="280">
        <v>0.215</v>
      </c>
      <c r="N77" s="281">
        <v>0.17799999999999999</v>
      </c>
      <c r="O77" s="282">
        <f t="shared" si="13"/>
        <v>29.413999999999998</v>
      </c>
      <c r="P77" s="283">
        <f t="shared" si="14"/>
        <v>175.86799999999999</v>
      </c>
      <c r="Q77" s="275">
        <f t="shared" si="15"/>
        <v>10.318</v>
      </c>
      <c r="R77" s="283">
        <f t="shared" si="16"/>
        <v>70.95</v>
      </c>
      <c r="S77" s="275">
        <f t="shared" si="17"/>
        <v>81.268000000000001</v>
      </c>
      <c r="T77" s="283">
        <f t="shared" si="11"/>
        <v>1569.93</v>
      </c>
      <c r="U77" s="283">
        <f t="shared" si="18"/>
        <v>1651.1980000000001</v>
      </c>
      <c r="V77" s="283">
        <f t="shared" si="19"/>
        <v>1827.066</v>
      </c>
    </row>
    <row r="78" spans="1:22" ht="24.95" customHeight="1" x14ac:dyDescent="0.2">
      <c r="A78" s="284" t="s">
        <v>59</v>
      </c>
      <c r="B78" s="285" t="s">
        <v>14</v>
      </c>
      <c r="C78" s="286" t="s">
        <v>286</v>
      </c>
      <c r="D78" s="279">
        <v>39309</v>
      </c>
      <c r="E78" s="279">
        <v>1233</v>
      </c>
      <c r="F78" s="279">
        <v>7390</v>
      </c>
      <c r="G78" s="279">
        <v>452</v>
      </c>
      <c r="H78" s="279">
        <v>886</v>
      </c>
      <c r="I78" s="279">
        <v>22799</v>
      </c>
      <c r="J78" s="279">
        <v>6549</v>
      </c>
      <c r="K78" s="279">
        <f t="shared" si="12"/>
        <v>31527</v>
      </c>
      <c r="L78" s="280">
        <v>7.9000000000000001E-2</v>
      </c>
      <c r="M78" s="280">
        <v>0.20699999999999999</v>
      </c>
      <c r="N78" s="281">
        <v>0.17100000000000001</v>
      </c>
      <c r="O78" s="282">
        <f t="shared" si="13"/>
        <v>97.406999999999996</v>
      </c>
      <c r="P78" s="283">
        <f t="shared" si="14"/>
        <v>583.81000000000006</v>
      </c>
      <c r="Q78" s="275">
        <f t="shared" si="15"/>
        <v>35.707999999999998</v>
      </c>
      <c r="R78" s="283">
        <f t="shared" si="16"/>
        <v>183.40199999999999</v>
      </c>
      <c r="S78" s="275">
        <f t="shared" si="17"/>
        <v>219.10999999999999</v>
      </c>
      <c r="T78" s="283">
        <f t="shared" si="11"/>
        <v>4719.393</v>
      </c>
      <c r="U78" s="283">
        <f t="shared" si="18"/>
        <v>4938.5029999999997</v>
      </c>
      <c r="V78" s="283">
        <f t="shared" si="19"/>
        <v>5522.3130000000001</v>
      </c>
    </row>
    <row r="79" spans="1:22" ht="24.95" customHeight="1" x14ac:dyDescent="0.2">
      <c r="A79" s="284" t="s">
        <v>90</v>
      </c>
      <c r="B79" s="285" t="s">
        <v>17</v>
      </c>
      <c r="C79" s="286" t="s">
        <v>286</v>
      </c>
      <c r="D79" s="279">
        <v>174501</v>
      </c>
      <c r="E79" s="279">
        <v>6447</v>
      </c>
      <c r="F79" s="279">
        <v>32215</v>
      </c>
      <c r="G79" s="279">
        <v>3850</v>
      </c>
      <c r="H79" s="279">
        <v>11148</v>
      </c>
      <c r="I79" s="279">
        <v>101692</v>
      </c>
      <c r="J79" s="279">
        <v>19149</v>
      </c>
      <c r="K79" s="279">
        <f t="shared" si="12"/>
        <v>148905</v>
      </c>
      <c r="L79" s="280">
        <v>8.5000000000000006E-2</v>
      </c>
      <c r="M79" s="280">
        <v>0.22</v>
      </c>
      <c r="N79" s="281">
        <v>0.18099999999999999</v>
      </c>
      <c r="O79" s="282">
        <f t="shared" si="13"/>
        <v>547.995</v>
      </c>
      <c r="P79" s="283">
        <f t="shared" si="14"/>
        <v>2738.2750000000001</v>
      </c>
      <c r="Q79" s="275">
        <f t="shared" si="15"/>
        <v>327.25</v>
      </c>
      <c r="R79" s="283">
        <f t="shared" si="16"/>
        <v>2452.56</v>
      </c>
      <c r="S79" s="275">
        <f t="shared" si="17"/>
        <v>2779.81</v>
      </c>
      <c r="T79" s="283">
        <f t="shared" si="11"/>
        <v>22372.240000000002</v>
      </c>
      <c r="U79" s="283">
        <f t="shared" si="18"/>
        <v>25152.050000000003</v>
      </c>
      <c r="V79" s="283">
        <f t="shared" si="19"/>
        <v>27890.325000000004</v>
      </c>
    </row>
    <row r="80" spans="1:22" ht="24.95" customHeight="1" x14ac:dyDescent="0.2">
      <c r="A80" s="284" t="s">
        <v>139</v>
      </c>
      <c r="B80" s="285" t="s">
        <v>292</v>
      </c>
      <c r="C80" s="286" t="s">
        <v>286</v>
      </c>
      <c r="D80" s="279">
        <v>20077</v>
      </c>
      <c r="E80" s="279">
        <v>384</v>
      </c>
      <c r="F80" s="279">
        <v>3151</v>
      </c>
      <c r="G80" s="279">
        <v>205</v>
      </c>
      <c r="H80" s="279">
        <v>402</v>
      </c>
      <c r="I80" s="279">
        <v>10633</v>
      </c>
      <c r="J80" s="279">
        <v>5302</v>
      </c>
      <c r="K80" s="279">
        <f t="shared" si="12"/>
        <v>14391</v>
      </c>
      <c r="L80" s="280">
        <v>0.08</v>
      </c>
      <c r="M80" s="280">
        <v>0.186</v>
      </c>
      <c r="N80" s="281">
        <v>0.159</v>
      </c>
      <c r="O80" s="282">
        <f t="shared" si="13"/>
        <v>30.72</v>
      </c>
      <c r="P80" s="283">
        <f t="shared" si="14"/>
        <v>252.08</v>
      </c>
      <c r="Q80" s="275">
        <f t="shared" si="15"/>
        <v>16.399999999999999</v>
      </c>
      <c r="R80" s="283">
        <f t="shared" si="16"/>
        <v>74.772000000000006</v>
      </c>
      <c r="S80" s="275">
        <f t="shared" si="17"/>
        <v>91.171999999999997</v>
      </c>
      <c r="T80" s="283">
        <f t="shared" si="11"/>
        <v>1977.7380000000001</v>
      </c>
      <c r="U80" s="283">
        <f t="shared" si="18"/>
        <v>2068.91</v>
      </c>
      <c r="V80" s="283">
        <f t="shared" si="19"/>
        <v>2320.9899999999998</v>
      </c>
    </row>
    <row r="81" spans="1:22" ht="24.95" customHeight="1" x14ac:dyDescent="0.2">
      <c r="A81" s="284" t="s">
        <v>121</v>
      </c>
      <c r="B81" s="285" t="s">
        <v>21</v>
      </c>
      <c r="C81" s="286" t="s">
        <v>286</v>
      </c>
      <c r="D81" s="279">
        <v>142646</v>
      </c>
      <c r="E81" s="279">
        <v>4875</v>
      </c>
      <c r="F81" s="279">
        <v>28657</v>
      </c>
      <c r="G81" s="279">
        <v>1949</v>
      </c>
      <c r="H81" s="279">
        <v>3998</v>
      </c>
      <c r="I81" s="279">
        <v>80978</v>
      </c>
      <c r="J81" s="279">
        <v>22189</v>
      </c>
      <c r="K81" s="279">
        <f t="shared" si="12"/>
        <v>115582</v>
      </c>
      <c r="L81" s="280">
        <v>8.3000000000000004E-2</v>
      </c>
      <c r="M81" s="280">
        <v>0.20499999999999999</v>
      </c>
      <c r="N81" s="281">
        <v>0.16900000000000001</v>
      </c>
      <c r="O81" s="282">
        <f t="shared" si="13"/>
        <v>404.625</v>
      </c>
      <c r="P81" s="283">
        <f t="shared" si="14"/>
        <v>2378.5309999999999</v>
      </c>
      <c r="Q81" s="275">
        <f t="shared" si="15"/>
        <v>161.767</v>
      </c>
      <c r="R81" s="283">
        <f t="shared" si="16"/>
        <v>819.58999999999992</v>
      </c>
      <c r="S81" s="275">
        <f t="shared" si="17"/>
        <v>981.35699999999997</v>
      </c>
      <c r="T81" s="283">
        <f t="shared" si="11"/>
        <v>16600.489999999998</v>
      </c>
      <c r="U81" s="283">
        <f t="shared" si="18"/>
        <v>17581.846999999998</v>
      </c>
      <c r="V81" s="283">
        <f t="shared" si="19"/>
        <v>19960.377999999997</v>
      </c>
    </row>
    <row r="82" spans="1:22" ht="24.95" customHeight="1" x14ac:dyDescent="0.2">
      <c r="A82" s="284" t="s">
        <v>122</v>
      </c>
      <c r="B82" s="285" t="s">
        <v>21</v>
      </c>
      <c r="C82" s="286" t="s">
        <v>286</v>
      </c>
      <c r="D82" s="279">
        <v>46253</v>
      </c>
      <c r="E82" s="279">
        <v>1690</v>
      </c>
      <c r="F82" s="279">
        <v>9365</v>
      </c>
      <c r="G82" s="279">
        <v>681</v>
      </c>
      <c r="H82" s="279">
        <v>1451</v>
      </c>
      <c r="I82" s="279">
        <v>25905</v>
      </c>
      <c r="J82" s="279">
        <v>7161</v>
      </c>
      <c r="K82" s="279">
        <f t="shared" si="12"/>
        <v>37402</v>
      </c>
      <c r="L82" s="280">
        <v>8.5999999999999993E-2</v>
      </c>
      <c r="M82" s="280">
        <v>0.22800000000000001</v>
      </c>
      <c r="N82" s="281">
        <v>0.186</v>
      </c>
      <c r="O82" s="282">
        <f t="shared" si="13"/>
        <v>145.33999999999997</v>
      </c>
      <c r="P82" s="283">
        <f t="shared" si="14"/>
        <v>805.39</v>
      </c>
      <c r="Q82" s="275">
        <f t="shared" si="15"/>
        <v>58.565999999999995</v>
      </c>
      <c r="R82" s="283">
        <f t="shared" si="16"/>
        <v>330.82800000000003</v>
      </c>
      <c r="S82" s="275">
        <f t="shared" si="17"/>
        <v>389.39400000000001</v>
      </c>
      <c r="T82" s="283">
        <f t="shared" si="11"/>
        <v>5906.34</v>
      </c>
      <c r="U82" s="283">
        <f t="shared" si="18"/>
        <v>6295.7340000000004</v>
      </c>
      <c r="V82" s="283">
        <f t="shared" si="19"/>
        <v>7101.1240000000007</v>
      </c>
    </row>
    <row r="83" spans="1:22" ht="24.95" customHeight="1" x14ac:dyDescent="0.2">
      <c r="A83" s="284" t="s">
        <v>100</v>
      </c>
      <c r="B83" s="285" t="s">
        <v>18</v>
      </c>
      <c r="C83" s="286" t="s">
        <v>286</v>
      </c>
      <c r="D83" s="279">
        <v>134553</v>
      </c>
      <c r="E83" s="279">
        <v>5555</v>
      </c>
      <c r="F83" s="279">
        <v>29084</v>
      </c>
      <c r="G83" s="279">
        <v>2413</v>
      </c>
      <c r="H83" s="279">
        <v>4983</v>
      </c>
      <c r="I83" s="279">
        <v>75522</v>
      </c>
      <c r="J83" s="279">
        <v>16996</v>
      </c>
      <c r="K83" s="279">
        <f t="shared" si="12"/>
        <v>112002</v>
      </c>
      <c r="L83" s="280">
        <v>9.8000000000000004E-2</v>
      </c>
      <c r="M83" s="280">
        <v>0.254</v>
      </c>
      <c r="N83" s="281">
        <v>0.20300000000000001</v>
      </c>
      <c r="O83" s="282">
        <f t="shared" si="13"/>
        <v>544.39</v>
      </c>
      <c r="P83" s="283">
        <f t="shared" si="14"/>
        <v>2850.232</v>
      </c>
      <c r="Q83" s="275">
        <f t="shared" si="15"/>
        <v>236.47400000000002</v>
      </c>
      <c r="R83" s="283">
        <f t="shared" si="16"/>
        <v>1265.682</v>
      </c>
      <c r="S83" s="275">
        <f t="shared" si="17"/>
        <v>1502.1559999999999</v>
      </c>
      <c r="T83" s="283">
        <f t="shared" si="11"/>
        <v>19182.588</v>
      </c>
      <c r="U83" s="283">
        <f t="shared" si="18"/>
        <v>20684.743999999999</v>
      </c>
      <c r="V83" s="283">
        <f t="shared" si="19"/>
        <v>23534.975999999999</v>
      </c>
    </row>
    <row r="84" spans="1:22" ht="24.95" customHeight="1" x14ac:dyDescent="0.2">
      <c r="A84" s="284" t="s">
        <v>67</v>
      </c>
      <c r="B84" s="285" t="s">
        <v>15</v>
      </c>
      <c r="C84" s="286" t="s">
        <v>286</v>
      </c>
      <c r="D84" s="279">
        <v>92494</v>
      </c>
      <c r="E84" s="279">
        <v>2761</v>
      </c>
      <c r="F84" s="279">
        <v>16778</v>
      </c>
      <c r="G84" s="279">
        <v>1178</v>
      </c>
      <c r="H84" s="279">
        <v>2274</v>
      </c>
      <c r="I84" s="279">
        <v>53113</v>
      </c>
      <c r="J84" s="279">
        <v>16390</v>
      </c>
      <c r="K84" s="279">
        <f t="shared" si="12"/>
        <v>73343</v>
      </c>
      <c r="L84" s="280">
        <v>0.08</v>
      </c>
      <c r="M84" s="280">
        <v>0.20300000000000001</v>
      </c>
      <c r="N84" s="281">
        <v>0.17</v>
      </c>
      <c r="O84" s="282">
        <f t="shared" si="13"/>
        <v>220.88</v>
      </c>
      <c r="P84" s="283">
        <f t="shared" si="14"/>
        <v>1342.24</v>
      </c>
      <c r="Q84" s="275">
        <f t="shared" si="15"/>
        <v>94.24</v>
      </c>
      <c r="R84" s="283">
        <f t="shared" si="16"/>
        <v>461.62200000000001</v>
      </c>
      <c r="S84" s="275">
        <f t="shared" si="17"/>
        <v>555.86199999999997</v>
      </c>
      <c r="T84" s="283">
        <f t="shared" si="11"/>
        <v>10781.939</v>
      </c>
      <c r="U84" s="283">
        <f t="shared" si="18"/>
        <v>11337.800999999999</v>
      </c>
      <c r="V84" s="283">
        <f t="shared" si="19"/>
        <v>12680.040999999999</v>
      </c>
    </row>
    <row r="85" spans="1:22" ht="24.95" customHeight="1" x14ac:dyDescent="0.2">
      <c r="A85" s="284" t="s">
        <v>60</v>
      </c>
      <c r="B85" s="285" t="s">
        <v>14</v>
      </c>
      <c r="C85" s="286" t="s">
        <v>285</v>
      </c>
      <c r="D85" s="279">
        <v>138251</v>
      </c>
      <c r="E85" s="279">
        <v>4650</v>
      </c>
      <c r="F85" s="279">
        <v>27084</v>
      </c>
      <c r="G85" s="279">
        <v>1853</v>
      </c>
      <c r="H85" s="279">
        <v>3922</v>
      </c>
      <c r="I85" s="279">
        <v>79282</v>
      </c>
      <c r="J85" s="279">
        <v>21460</v>
      </c>
      <c r="K85" s="279">
        <f t="shared" si="12"/>
        <v>112141</v>
      </c>
      <c r="L85" s="280">
        <v>8.2000000000000003E-2</v>
      </c>
      <c r="M85" s="280">
        <v>0.20799999999999999</v>
      </c>
      <c r="N85" s="281">
        <v>0.17199999999999999</v>
      </c>
      <c r="O85" s="282">
        <f t="shared" si="13"/>
        <v>381.3</v>
      </c>
      <c r="P85" s="283">
        <f t="shared" si="14"/>
        <v>2220.8879999999999</v>
      </c>
      <c r="Q85" s="275">
        <f t="shared" si="15"/>
        <v>151.946</v>
      </c>
      <c r="R85" s="283">
        <f t="shared" si="16"/>
        <v>815.77599999999995</v>
      </c>
      <c r="S85" s="275">
        <f t="shared" si="17"/>
        <v>967.72199999999998</v>
      </c>
      <c r="T85" s="283">
        <f t="shared" si="11"/>
        <v>16490.655999999999</v>
      </c>
      <c r="U85" s="283">
        <f t="shared" si="18"/>
        <v>17458.378000000001</v>
      </c>
      <c r="V85" s="283">
        <f t="shared" si="19"/>
        <v>19679.266</v>
      </c>
    </row>
    <row r="86" spans="1:22" ht="24.95" customHeight="1" x14ac:dyDescent="0.2">
      <c r="A86" s="284" t="s">
        <v>140</v>
      </c>
      <c r="B86" s="285" t="s">
        <v>292</v>
      </c>
      <c r="C86" s="286" t="s">
        <v>286</v>
      </c>
      <c r="D86" s="279">
        <v>68892</v>
      </c>
      <c r="E86" s="279">
        <v>2118</v>
      </c>
      <c r="F86" s="279">
        <v>12643</v>
      </c>
      <c r="G86" s="279">
        <v>924</v>
      </c>
      <c r="H86" s="279">
        <v>1555</v>
      </c>
      <c r="I86" s="279">
        <v>38547</v>
      </c>
      <c r="J86" s="279">
        <v>13105</v>
      </c>
      <c r="K86" s="279">
        <f t="shared" si="12"/>
        <v>53669</v>
      </c>
      <c r="L86" s="280">
        <v>7.9000000000000001E-2</v>
      </c>
      <c r="M86" s="280">
        <v>0.20200000000000001</v>
      </c>
      <c r="N86" s="281">
        <v>0.16800000000000001</v>
      </c>
      <c r="O86" s="282">
        <f t="shared" si="13"/>
        <v>167.322</v>
      </c>
      <c r="P86" s="283">
        <f t="shared" si="14"/>
        <v>998.79700000000003</v>
      </c>
      <c r="Q86" s="275">
        <f t="shared" si="15"/>
        <v>72.995999999999995</v>
      </c>
      <c r="R86" s="283">
        <f t="shared" si="16"/>
        <v>314.11</v>
      </c>
      <c r="S86" s="275">
        <f t="shared" si="17"/>
        <v>387.10599999999999</v>
      </c>
      <c r="T86" s="283">
        <f t="shared" si="11"/>
        <v>7786.4940000000006</v>
      </c>
      <c r="U86" s="283">
        <f t="shared" si="18"/>
        <v>8173.6</v>
      </c>
      <c r="V86" s="283">
        <f t="shared" si="19"/>
        <v>9172.3970000000008</v>
      </c>
    </row>
    <row r="87" spans="1:22" ht="24.95" customHeight="1" x14ac:dyDescent="0.2">
      <c r="A87" s="284" t="s">
        <v>101</v>
      </c>
      <c r="B87" s="285" t="s">
        <v>18</v>
      </c>
      <c r="C87" s="286" t="s">
        <v>286</v>
      </c>
      <c r="D87" s="279">
        <v>64673</v>
      </c>
      <c r="E87" s="279">
        <v>2542</v>
      </c>
      <c r="F87" s="279">
        <v>13583</v>
      </c>
      <c r="G87" s="279">
        <v>896</v>
      </c>
      <c r="H87" s="279">
        <v>1870</v>
      </c>
      <c r="I87" s="279">
        <v>35806</v>
      </c>
      <c r="J87" s="279">
        <v>9976</v>
      </c>
      <c r="K87" s="279">
        <f t="shared" si="12"/>
        <v>52155</v>
      </c>
      <c r="L87" s="280">
        <v>9.6000000000000002E-2</v>
      </c>
      <c r="M87" s="280">
        <v>0.26</v>
      </c>
      <c r="N87" s="281">
        <v>0.21</v>
      </c>
      <c r="O87" s="282">
        <f t="shared" si="13"/>
        <v>244.03200000000001</v>
      </c>
      <c r="P87" s="283">
        <f t="shared" si="14"/>
        <v>1303.9680000000001</v>
      </c>
      <c r="Q87" s="275">
        <f t="shared" si="15"/>
        <v>86.016000000000005</v>
      </c>
      <c r="R87" s="283">
        <f t="shared" si="16"/>
        <v>486.2</v>
      </c>
      <c r="S87" s="275">
        <f t="shared" si="17"/>
        <v>572.21600000000001</v>
      </c>
      <c r="T87" s="283">
        <f t="shared" si="11"/>
        <v>9309.56</v>
      </c>
      <c r="U87" s="283">
        <f t="shared" si="18"/>
        <v>9881.7759999999998</v>
      </c>
      <c r="V87" s="283">
        <f t="shared" si="19"/>
        <v>11185.744000000001</v>
      </c>
    </row>
    <row r="88" spans="1:22" ht="24.95" customHeight="1" x14ac:dyDescent="0.2">
      <c r="A88" s="284" t="s">
        <v>102</v>
      </c>
      <c r="B88" s="285" t="s">
        <v>18</v>
      </c>
      <c r="C88" s="286" t="s">
        <v>286</v>
      </c>
      <c r="D88" s="279">
        <v>36192</v>
      </c>
      <c r="E88" s="279">
        <v>1376</v>
      </c>
      <c r="F88" s="279">
        <v>7404</v>
      </c>
      <c r="G88" s="279">
        <v>500</v>
      </c>
      <c r="H88" s="279">
        <v>990</v>
      </c>
      <c r="I88" s="279">
        <v>20495</v>
      </c>
      <c r="J88" s="279">
        <v>5427</v>
      </c>
      <c r="K88" s="279">
        <f t="shared" si="12"/>
        <v>29389</v>
      </c>
      <c r="L88" s="280">
        <v>8.5000000000000006E-2</v>
      </c>
      <c r="M88" s="280">
        <v>0.217</v>
      </c>
      <c r="N88" s="281">
        <v>0.17699999999999999</v>
      </c>
      <c r="O88" s="282">
        <f t="shared" si="13"/>
        <v>116.96000000000001</v>
      </c>
      <c r="P88" s="283">
        <f t="shared" si="14"/>
        <v>629.34</v>
      </c>
      <c r="Q88" s="275">
        <f t="shared" si="15"/>
        <v>42.5</v>
      </c>
      <c r="R88" s="283">
        <f t="shared" si="16"/>
        <v>214.83</v>
      </c>
      <c r="S88" s="275">
        <f t="shared" si="17"/>
        <v>257.33000000000004</v>
      </c>
      <c r="T88" s="283">
        <f t="shared" si="11"/>
        <v>4447.415</v>
      </c>
      <c r="U88" s="283">
        <f t="shared" si="18"/>
        <v>4704.7449999999999</v>
      </c>
      <c r="V88" s="283">
        <f t="shared" si="19"/>
        <v>5334.085</v>
      </c>
    </row>
    <row r="89" spans="1:22" ht="24.95" customHeight="1" x14ac:dyDescent="0.2">
      <c r="A89" s="284" t="s">
        <v>61</v>
      </c>
      <c r="B89" s="285" t="s">
        <v>14</v>
      </c>
      <c r="C89" s="286" t="s">
        <v>286</v>
      </c>
      <c r="D89" s="279">
        <v>60403</v>
      </c>
      <c r="E89" s="279">
        <v>1925</v>
      </c>
      <c r="F89" s="279">
        <v>11202</v>
      </c>
      <c r="G89" s="279">
        <v>815</v>
      </c>
      <c r="H89" s="279">
        <v>1646</v>
      </c>
      <c r="I89" s="279">
        <v>34578</v>
      </c>
      <c r="J89" s="279">
        <v>10237</v>
      </c>
      <c r="K89" s="279">
        <f t="shared" si="12"/>
        <v>48241</v>
      </c>
      <c r="L89" s="280">
        <v>7.4999999999999997E-2</v>
      </c>
      <c r="M89" s="280">
        <v>0.189</v>
      </c>
      <c r="N89" s="281">
        <v>0.156</v>
      </c>
      <c r="O89" s="282">
        <f t="shared" si="13"/>
        <v>144.375</v>
      </c>
      <c r="P89" s="283">
        <f t="shared" si="14"/>
        <v>840.15</v>
      </c>
      <c r="Q89" s="275">
        <f t="shared" si="15"/>
        <v>61.125</v>
      </c>
      <c r="R89" s="283">
        <f t="shared" si="16"/>
        <v>311.09399999999999</v>
      </c>
      <c r="S89" s="275">
        <f t="shared" si="17"/>
        <v>372.21899999999999</v>
      </c>
      <c r="T89" s="283">
        <f t="shared" si="11"/>
        <v>6535.2420000000002</v>
      </c>
      <c r="U89" s="283">
        <f t="shared" si="18"/>
        <v>6907.4610000000002</v>
      </c>
      <c r="V89" s="283">
        <f t="shared" si="19"/>
        <v>7747.6109999999999</v>
      </c>
    </row>
    <row r="90" spans="1:22" ht="24.95" customHeight="1" x14ac:dyDescent="0.2">
      <c r="A90" s="284" t="s">
        <v>68</v>
      </c>
      <c r="B90" s="285" t="s">
        <v>15</v>
      </c>
      <c r="C90" s="286" t="s">
        <v>286</v>
      </c>
      <c r="D90" s="279">
        <v>46859</v>
      </c>
      <c r="E90" s="279">
        <v>1244</v>
      </c>
      <c r="F90" s="279">
        <v>8358</v>
      </c>
      <c r="G90" s="279">
        <v>521</v>
      </c>
      <c r="H90" s="279">
        <v>1085</v>
      </c>
      <c r="I90" s="279">
        <v>27325</v>
      </c>
      <c r="J90" s="279">
        <v>8326</v>
      </c>
      <c r="K90" s="279">
        <f t="shared" si="12"/>
        <v>37289</v>
      </c>
      <c r="L90" s="280">
        <v>7.0999999999999994E-2</v>
      </c>
      <c r="M90" s="280">
        <v>0.2</v>
      </c>
      <c r="N90" s="281">
        <v>0.16500000000000001</v>
      </c>
      <c r="O90" s="282">
        <f t="shared" si="13"/>
        <v>88.323999999999998</v>
      </c>
      <c r="P90" s="283">
        <f t="shared" si="14"/>
        <v>593.41799999999989</v>
      </c>
      <c r="Q90" s="275">
        <f t="shared" si="15"/>
        <v>36.991</v>
      </c>
      <c r="R90" s="283">
        <f t="shared" si="16"/>
        <v>217</v>
      </c>
      <c r="S90" s="275">
        <f t="shared" si="17"/>
        <v>253.99099999999999</v>
      </c>
      <c r="T90" s="283">
        <f t="shared" si="11"/>
        <v>5465</v>
      </c>
      <c r="U90" s="283">
        <f t="shared" si="18"/>
        <v>5718.991</v>
      </c>
      <c r="V90" s="283">
        <f t="shared" si="19"/>
        <v>6312.4089999999997</v>
      </c>
    </row>
    <row r="91" spans="1:22" ht="24.95" customHeight="1" x14ac:dyDescent="0.2">
      <c r="A91" s="284" t="s">
        <v>112</v>
      </c>
      <c r="B91" s="285" t="s">
        <v>20</v>
      </c>
      <c r="C91" s="286" t="s">
        <v>286</v>
      </c>
      <c r="D91" s="279">
        <v>73898</v>
      </c>
      <c r="E91" s="279">
        <v>2367</v>
      </c>
      <c r="F91" s="279">
        <v>14173</v>
      </c>
      <c r="G91" s="279">
        <v>1045</v>
      </c>
      <c r="H91" s="279">
        <v>2053</v>
      </c>
      <c r="I91" s="279">
        <v>41049</v>
      </c>
      <c r="J91" s="279">
        <v>13211</v>
      </c>
      <c r="K91" s="279">
        <f t="shared" si="12"/>
        <v>58320</v>
      </c>
      <c r="L91" s="280">
        <v>8.4000000000000005E-2</v>
      </c>
      <c r="M91" s="280">
        <v>0.19700000000000001</v>
      </c>
      <c r="N91" s="281">
        <v>0.16500000000000001</v>
      </c>
      <c r="O91" s="282">
        <f t="shared" si="13"/>
        <v>198.828</v>
      </c>
      <c r="P91" s="283">
        <f t="shared" si="14"/>
        <v>1190.5320000000002</v>
      </c>
      <c r="Q91" s="275">
        <f t="shared" si="15"/>
        <v>87.78</v>
      </c>
      <c r="R91" s="283">
        <f t="shared" si="16"/>
        <v>404.44100000000003</v>
      </c>
      <c r="S91" s="275">
        <f t="shared" si="17"/>
        <v>492.221</v>
      </c>
      <c r="T91" s="283">
        <f t="shared" si="11"/>
        <v>8086.6530000000002</v>
      </c>
      <c r="U91" s="283">
        <f t="shared" si="18"/>
        <v>8578.8739999999998</v>
      </c>
      <c r="V91" s="283">
        <f t="shared" si="19"/>
        <v>9769.405999999999</v>
      </c>
    </row>
    <row r="92" spans="1:22" ht="24.95" customHeight="1" x14ac:dyDescent="0.2">
      <c r="A92" s="284" t="s">
        <v>141</v>
      </c>
      <c r="B92" s="285" t="s">
        <v>292</v>
      </c>
      <c r="C92" s="286" t="s">
        <v>286</v>
      </c>
      <c r="D92" s="279">
        <v>14652</v>
      </c>
      <c r="E92" s="279">
        <v>599</v>
      </c>
      <c r="F92" s="279">
        <v>2829</v>
      </c>
      <c r="G92" s="279">
        <v>172</v>
      </c>
      <c r="H92" s="279">
        <v>326</v>
      </c>
      <c r="I92" s="279">
        <v>8129</v>
      </c>
      <c r="J92" s="279">
        <v>2597</v>
      </c>
      <c r="K92" s="279">
        <f t="shared" si="12"/>
        <v>11456</v>
      </c>
      <c r="L92" s="280">
        <v>9.4E-2</v>
      </c>
      <c r="M92" s="280">
        <v>0.218</v>
      </c>
      <c r="N92" s="281">
        <v>0.18099999999999999</v>
      </c>
      <c r="O92" s="282">
        <f t="shared" si="13"/>
        <v>56.305999999999997</v>
      </c>
      <c r="P92" s="283">
        <f t="shared" si="14"/>
        <v>265.92599999999999</v>
      </c>
      <c r="Q92" s="275">
        <f t="shared" si="15"/>
        <v>16.167999999999999</v>
      </c>
      <c r="R92" s="283">
        <f t="shared" si="16"/>
        <v>71.067999999999998</v>
      </c>
      <c r="S92" s="275">
        <f t="shared" si="17"/>
        <v>87.23599999999999</v>
      </c>
      <c r="T92" s="283">
        <f t="shared" si="11"/>
        <v>1772.1220000000001</v>
      </c>
      <c r="U92" s="283">
        <f t="shared" si="18"/>
        <v>1859.3580000000002</v>
      </c>
      <c r="V92" s="283">
        <f t="shared" si="19"/>
        <v>2125.2840000000001</v>
      </c>
    </row>
    <row r="93" spans="1:22" ht="24.95" customHeight="1" x14ac:dyDescent="0.2">
      <c r="A93" s="284" t="s">
        <v>142</v>
      </c>
      <c r="B93" s="285" t="s">
        <v>292</v>
      </c>
      <c r="C93" s="286" t="s">
        <v>286</v>
      </c>
      <c r="D93" s="279">
        <v>32971</v>
      </c>
      <c r="E93" s="279">
        <v>794</v>
      </c>
      <c r="F93" s="279">
        <v>4881</v>
      </c>
      <c r="G93" s="279">
        <v>429</v>
      </c>
      <c r="H93" s="279">
        <v>795</v>
      </c>
      <c r="I93" s="279">
        <v>16724</v>
      </c>
      <c r="J93" s="279">
        <v>9348</v>
      </c>
      <c r="K93" s="279">
        <f t="shared" si="12"/>
        <v>22829</v>
      </c>
      <c r="L93" s="280">
        <v>7.6999999999999999E-2</v>
      </c>
      <c r="M93" s="280">
        <v>0.185</v>
      </c>
      <c r="N93" s="281">
        <v>0.157</v>
      </c>
      <c r="O93" s="282">
        <f t="shared" si="13"/>
        <v>61.137999999999998</v>
      </c>
      <c r="P93" s="283">
        <f t="shared" si="14"/>
        <v>375.83699999999999</v>
      </c>
      <c r="Q93" s="275">
        <f t="shared" si="15"/>
        <v>33.033000000000001</v>
      </c>
      <c r="R93" s="283">
        <f t="shared" si="16"/>
        <v>147.07499999999999</v>
      </c>
      <c r="S93" s="275">
        <f t="shared" si="17"/>
        <v>180.108</v>
      </c>
      <c r="T93" s="283">
        <f t="shared" si="11"/>
        <v>3093.94</v>
      </c>
      <c r="U93" s="283">
        <f t="shared" si="18"/>
        <v>3274.0480000000002</v>
      </c>
      <c r="V93" s="283">
        <f t="shared" si="19"/>
        <v>3649.8850000000002</v>
      </c>
    </row>
    <row r="94" spans="1:22" ht="24.95" customHeight="1" x14ac:dyDescent="0.2">
      <c r="A94" s="284" t="s">
        <v>91</v>
      </c>
      <c r="B94" s="285" t="s">
        <v>17</v>
      </c>
      <c r="C94" s="286" t="s">
        <v>286</v>
      </c>
      <c r="D94" s="279">
        <v>4157</v>
      </c>
      <c r="E94" s="279">
        <v>126</v>
      </c>
      <c r="F94" s="279">
        <v>609</v>
      </c>
      <c r="G94" s="279">
        <v>32</v>
      </c>
      <c r="H94" s="279">
        <v>91</v>
      </c>
      <c r="I94" s="279">
        <v>2534</v>
      </c>
      <c r="J94" s="279">
        <v>765</v>
      </c>
      <c r="K94" s="279">
        <f t="shared" si="12"/>
        <v>3266</v>
      </c>
      <c r="L94" s="280">
        <v>0.09</v>
      </c>
      <c r="M94" s="280">
        <v>0.26600000000000001</v>
      </c>
      <c r="N94" s="281">
        <v>0.22500000000000001</v>
      </c>
      <c r="O94" s="282">
        <f t="shared" si="13"/>
        <v>11.34</v>
      </c>
      <c r="P94" s="283">
        <f t="shared" si="14"/>
        <v>54.809999999999995</v>
      </c>
      <c r="Q94" s="275">
        <f t="shared" si="15"/>
        <v>2.88</v>
      </c>
      <c r="R94" s="283">
        <f t="shared" si="16"/>
        <v>24.206000000000003</v>
      </c>
      <c r="S94" s="275">
        <f t="shared" si="17"/>
        <v>27.086000000000002</v>
      </c>
      <c r="T94" s="283">
        <f t="shared" si="11"/>
        <v>674.04399999999998</v>
      </c>
      <c r="U94" s="283">
        <f t="shared" si="18"/>
        <v>701.13</v>
      </c>
      <c r="V94" s="283">
        <f t="shared" si="19"/>
        <v>755.93999999999994</v>
      </c>
    </row>
    <row r="95" spans="1:22" ht="24.95" customHeight="1" x14ac:dyDescent="0.2">
      <c r="A95" s="284" t="s">
        <v>62</v>
      </c>
      <c r="B95" s="285" t="s">
        <v>14</v>
      </c>
      <c r="C95" s="286" t="s">
        <v>286</v>
      </c>
      <c r="D95" s="279">
        <v>210410</v>
      </c>
      <c r="E95" s="279">
        <v>7574</v>
      </c>
      <c r="F95" s="279">
        <v>51984</v>
      </c>
      <c r="G95" s="279">
        <v>3492</v>
      </c>
      <c r="H95" s="279">
        <v>5268</v>
      </c>
      <c r="I95" s="279">
        <v>119020</v>
      </c>
      <c r="J95" s="279">
        <v>23072</v>
      </c>
      <c r="K95" s="279">
        <f t="shared" si="12"/>
        <v>179764</v>
      </c>
      <c r="L95" s="280">
        <v>7.6999999999999999E-2</v>
      </c>
      <c r="M95" s="280">
        <v>0.21299999999999999</v>
      </c>
      <c r="N95" s="281">
        <v>0.16600000000000001</v>
      </c>
      <c r="O95" s="282">
        <f t="shared" si="13"/>
        <v>583.19799999999998</v>
      </c>
      <c r="P95" s="283">
        <f t="shared" si="14"/>
        <v>4002.768</v>
      </c>
      <c r="Q95" s="275">
        <f t="shared" si="15"/>
        <v>268.88400000000001</v>
      </c>
      <c r="R95" s="283">
        <f t="shared" si="16"/>
        <v>1122.0840000000001</v>
      </c>
      <c r="S95" s="275">
        <f t="shared" si="17"/>
        <v>1390.9680000000001</v>
      </c>
      <c r="T95" s="283">
        <f t="shared" si="11"/>
        <v>25351.26</v>
      </c>
      <c r="U95" s="283">
        <f t="shared" si="18"/>
        <v>26742.227999999999</v>
      </c>
      <c r="V95" s="283">
        <f t="shared" si="19"/>
        <v>30744.995999999999</v>
      </c>
    </row>
    <row r="96" spans="1:22" ht="24.95" customHeight="1" x14ac:dyDescent="0.2">
      <c r="A96" s="284" t="s">
        <v>63</v>
      </c>
      <c r="B96" s="285" t="s">
        <v>14</v>
      </c>
      <c r="C96" s="286" t="s">
        <v>286</v>
      </c>
      <c r="D96" s="279">
        <v>45565</v>
      </c>
      <c r="E96" s="279">
        <v>1761</v>
      </c>
      <c r="F96" s="279">
        <v>9354</v>
      </c>
      <c r="G96" s="279">
        <v>604</v>
      </c>
      <c r="H96" s="279">
        <v>1419</v>
      </c>
      <c r="I96" s="279">
        <v>25321</v>
      </c>
      <c r="J96" s="279">
        <v>7106</v>
      </c>
      <c r="K96" s="279">
        <f t="shared" si="12"/>
        <v>36698</v>
      </c>
      <c r="L96" s="280">
        <v>9.0999999999999998E-2</v>
      </c>
      <c r="M96" s="280">
        <v>0.23200000000000001</v>
      </c>
      <c r="N96" s="281">
        <v>0.188</v>
      </c>
      <c r="O96" s="282">
        <f t="shared" si="13"/>
        <v>160.251</v>
      </c>
      <c r="P96" s="283">
        <f t="shared" si="14"/>
        <v>851.21399999999994</v>
      </c>
      <c r="Q96" s="275">
        <f t="shared" si="15"/>
        <v>54.963999999999999</v>
      </c>
      <c r="R96" s="283">
        <f t="shared" si="16"/>
        <v>329.20800000000003</v>
      </c>
      <c r="S96" s="275">
        <f t="shared" si="17"/>
        <v>384.17200000000003</v>
      </c>
      <c r="T96" s="283">
        <f t="shared" si="11"/>
        <v>5874.4720000000007</v>
      </c>
      <c r="U96" s="283">
        <f t="shared" si="18"/>
        <v>6258.6440000000002</v>
      </c>
      <c r="V96" s="283">
        <f t="shared" si="19"/>
        <v>7109.8580000000002</v>
      </c>
    </row>
    <row r="97" spans="1:22" ht="24.95" customHeight="1" x14ac:dyDescent="0.2">
      <c r="A97" s="284" t="s">
        <v>49</v>
      </c>
      <c r="B97" s="285" t="s">
        <v>13</v>
      </c>
      <c r="C97" s="286" t="s">
        <v>285</v>
      </c>
      <c r="D97" s="279">
        <v>966424</v>
      </c>
      <c r="E97" s="279">
        <v>38262</v>
      </c>
      <c r="F97" s="279">
        <v>205774</v>
      </c>
      <c r="G97" s="279">
        <v>12977</v>
      </c>
      <c r="H97" s="279">
        <v>25467</v>
      </c>
      <c r="I97" s="279">
        <v>590105</v>
      </c>
      <c r="J97" s="279">
        <v>93839</v>
      </c>
      <c r="K97" s="279">
        <f t="shared" si="12"/>
        <v>834323</v>
      </c>
      <c r="L97" s="280">
        <v>8.1000000000000003E-2</v>
      </c>
      <c r="M97" s="280">
        <v>0.19700000000000001</v>
      </c>
      <c r="N97" s="281">
        <v>0.16200000000000001</v>
      </c>
      <c r="O97" s="282">
        <f t="shared" si="13"/>
        <v>3099.2220000000002</v>
      </c>
      <c r="P97" s="283">
        <f t="shared" si="14"/>
        <v>16667.694</v>
      </c>
      <c r="Q97" s="275">
        <f t="shared" si="15"/>
        <v>1051.1369999999999</v>
      </c>
      <c r="R97" s="283">
        <f t="shared" si="16"/>
        <v>5016.9989999999998</v>
      </c>
      <c r="S97" s="275">
        <f t="shared" si="17"/>
        <v>6068.1359999999995</v>
      </c>
      <c r="T97" s="283">
        <f t="shared" si="11"/>
        <v>116250.68500000001</v>
      </c>
      <c r="U97" s="283">
        <f t="shared" si="18"/>
        <v>122318.82100000001</v>
      </c>
      <c r="V97" s="283">
        <f t="shared" si="19"/>
        <v>138986.51500000001</v>
      </c>
    </row>
    <row r="98" spans="1:22" ht="24.95" customHeight="1" x14ac:dyDescent="0.2">
      <c r="A98" s="276" t="s">
        <v>64</v>
      </c>
      <c r="B98" s="277" t="s">
        <v>14</v>
      </c>
      <c r="C98" s="278" t="s">
        <v>286</v>
      </c>
      <c r="D98" s="279">
        <v>20668</v>
      </c>
      <c r="E98" s="279">
        <v>544</v>
      </c>
      <c r="F98" s="279">
        <v>3400</v>
      </c>
      <c r="G98" s="279">
        <v>231</v>
      </c>
      <c r="H98" s="279">
        <v>460</v>
      </c>
      <c r="I98" s="279">
        <v>11674</v>
      </c>
      <c r="J98" s="279">
        <v>4359</v>
      </c>
      <c r="K98" s="279">
        <f t="shared" si="12"/>
        <v>15765</v>
      </c>
      <c r="L98" s="280">
        <v>8.8999999999999996E-2</v>
      </c>
      <c r="M98" s="280">
        <v>0.252</v>
      </c>
      <c r="N98" s="281">
        <v>0.20899999999999999</v>
      </c>
      <c r="O98" s="282">
        <f t="shared" si="13"/>
        <v>48.415999999999997</v>
      </c>
      <c r="P98" s="283">
        <f t="shared" si="14"/>
        <v>302.59999999999997</v>
      </c>
      <c r="Q98" s="275">
        <f t="shared" si="15"/>
        <v>20.558999999999997</v>
      </c>
      <c r="R98" s="283">
        <f t="shared" si="16"/>
        <v>115.92</v>
      </c>
      <c r="S98" s="275">
        <f t="shared" si="17"/>
        <v>136.47899999999998</v>
      </c>
      <c r="T98" s="283">
        <f t="shared" si="11"/>
        <v>2941.848</v>
      </c>
      <c r="U98" s="283">
        <f t="shared" si="18"/>
        <v>3078.3269999999998</v>
      </c>
      <c r="V98" s="283">
        <f t="shared" si="19"/>
        <v>3380.9269999999997</v>
      </c>
    </row>
    <row r="99" spans="1:22" ht="24.95" customHeight="1" x14ac:dyDescent="0.2">
      <c r="A99" s="276" t="s">
        <v>92</v>
      </c>
      <c r="B99" s="277" t="s">
        <v>17</v>
      </c>
      <c r="C99" s="278" t="s">
        <v>286</v>
      </c>
      <c r="D99" s="279">
        <v>12914</v>
      </c>
      <c r="E99" s="279">
        <v>403</v>
      </c>
      <c r="F99" s="279">
        <v>2461</v>
      </c>
      <c r="G99" s="279">
        <v>124</v>
      </c>
      <c r="H99" s="279">
        <v>274</v>
      </c>
      <c r="I99" s="279">
        <v>7060</v>
      </c>
      <c r="J99" s="279">
        <v>2592</v>
      </c>
      <c r="K99" s="279">
        <f t="shared" si="12"/>
        <v>9919</v>
      </c>
      <c r="L99" s="280">
        <v>8.7999999999999995E-2</v>
      </c>
      <c r="M99" s="280">
        <v>0.221</v>
      </c>
      <c r="N99" s="281">
        <v>0.183</v>
      </c>
      <c r="O99" s="282">
        <f t="shared" si="13"/>
        <v>35.463999999999999</v>
      </c>
      <c r="P99" s="283">
        <f t="shared" si="14"/>
        <v>216.56799999999998</v>
      </c>
      <c r="Q99" s="275">
        <f t="shared" si="15"/>
        <v>10.911999999999999</v>
      </c>
      <c r="R99" s="283">
        <f t="shared" si="16"/>
        <v>60.554000000000002</v>
      </c>
      <c r="S99" s="275">
        <f t="shared" si="17"/>
        <v>71.466000000000008</v>
      </c>
      <c r="T99" s="283">
        <f t="shared" si="11"/>
        <v>1560.26</v>
      </c>
      <c r="U99" s="283">
        <f t="shared" si="18"/>
        <v>1631.7260000000001</v>
      </c>
      <c r="V99" s="283">
        <f t="shared" si="19"/>
        <v>1848.2940000000001</v>
      </c>
    </row>
    <row r="100" spans="1:22" ht="24.95" customHeight="1" x14ac:dyDescent="0.2">
      <c r="A100" s="276" t="s">
        <v>143</v>
      </c>
      <c r="B100" s="277" t="s">
        <v>292</v>
      </c>
      <c r="C100" s="278" t="s">
        <v>286</v>
      </c>
      <c r="D100" s="279">
        <v>52953</v>
      </c>
      <c r="E100" s="279">
        <v>1055</v>
      </c>
      <c r="F100" s="279">
        <v>5933</v>
      </c>
      <c r="G100" s="279">
        <v>1798</v>
      </c>
      <c r="H100" s="279">
        <v>6765</v>
      </c>
      <c r="I100" s="279">
        <v>30052</v>
      </c>
      <c r="J100" s="279">
        <v>7350</v>
      </c>
      <c r="K100" s="279">
        <f t="shared" si="12"/>
        <v>44548</v>
      </c>
      <c r="L100" s="280">
        <v>8.1000000000000003E-2</v>
      </c>
      <c r="M100" s="280">
        <v>0.218</v>
      </c>
      <c r="N100" s="281">
        <v>0.186</v>
      </c>
      <c r="O100" s="282">
        <f t="shared" si="13"/>
        <v>85.454999999999998</v>
      </c>
      <c r="P100" s="283">
        <f t="shared" si="14"/>
        <v>480.57300000000004</v>
      </c>
      <c r="Q100" s="275">
        <f t="shared" si="15"/>
        <v>145.63800000000001</v>
      </c>
      <c r="R100" s="283">
        <f t="shared" si="16"/>
        <v>1474.77</v>
      </c>
      <c r="S100" s="275">
        <f t="shared" si="17"/>
        <v>1620.4079999999999</v>
      </c>
      <c r="T100" s="283">
        <f t="shared" si="11"/>
        <v>6551.3360000000002</v>
      </c>
      <c r="U100" s="283">
        <f t="shared" si="18"/>
        <v>8171.7440000000006</v>
      </c>
      <c r="V100" s="283">
        <f t="shared" si="19"/>
        <v>8652.3170000000009</v>
      </c>
    </row>
    <row r="101" spans="1:22" ht="24.95" customHeight="1" x14ac:dyDescent="0.2">
      <c r="A101" s="276" t="s">
        <v>103</v>
      </c>
      <c r="B101" s="277" t="s">
        <v>18</v>
      </c>
      <c r="C101" s="278" t="s">
        <v>286</v>
      </c>
      <c r="D101" s="279">
        <v>126287</v>
      </c>
      <c r="E101" s="279">
        <v>5187</v>
      </c>
      <c r="F101" s="279">
        <v>25668</v>
      </c>
      <c r="G101" s="279">
        <v>1686</v>
      </c>
      <c r="H101" s="279">
        <v>3586</v>
      </c>
      <c r="I101" s="279">
        <v>72406</v>
      </c>
      <c r="J101" s="279">
        <v>17754</v>
      </c>
      <c r="K101" s="279">
        <f t="shared" si="12"/>
        <v>103346</v>
      </c>
      <c r="L101" s="280">
        <v>8.7999999999999995E-2</v>
      </c>
      <c r="M101" s="280">
        <v>0.22600000000000001</v>
      </c>
      <c r="N101" s="281">
        <v>0.185</v>
      </c>
      <c r="O101" s="282">
        <f t="shared" si="13"/>
        <v>456.45599999999996</v>
      </c>
      <c r="P101" s="283">
        <f t="shared" si="14"/>
        <v>2258.7839999999997</v>
      </c>
      <c r="Q101" s="275">
        <f t="shared" si="15"/>
        <v>148.36799999999999</v>
      </c>
      <c r="R101" s="283">
        <f t="shared" si="16"/>
        <v>810.43600000000004</v>
      </c>
      <c r="S101" s="275">
        <f t="shared" si="17"/>
        <v>958.80400000000009</v>
      </c>
      <c r="T101" s="283">
        <f t="shared" si="11"/>
        <v>16363.756000000001</v>
      </c>
      <c r="U101" s="283">
        <f t="shared" si="18"/>
        <v>17322.560000000001</v>
      </c>
      <c r="V101" s="283">
        <f t="shared" si="19"/>
        <v>19581.344000000001</v>
      </c>
    </row>
    <row r="102" spans="1:22" ht="24.95" customHeight="1" x14ac:dyDescent="0.2">
      <c r="A102" s="276" t="s">
        <v>144</v>
      </c>
      <c r="B102" s="277" t="s">
        <v>292</v>
      </c>
      <c r="C102" s="278" t="s">
        <v>286</v>
      </c>
      <c r="D102" s="279">
        <v>70076</v>
      </c>
      <c r="E102" s="279">
        <v>2076</v>
      </c>
      <c r="F102" s="279">
        <v>12920</v>
      </c>
      <c r="G102" s="279">
        <v>877</v>
      </c>
      <c r="H102" s="279">
        <v>1602</v>
      </c>
      <c r="I102" s="279">
        <v>39428</v>
      </c>
      <c r="J102" s="279">
        <v>13173</v>
      </c>
      <c r="K102" s="279">
        <f t="shared" si="12"/>
        <v>54827</v>
      </c>
      <c r="L102" s="280">
        <v>7.6999999999999999E-2</v>
      </c>
      <c r="M102" s="280">
        <v>0.192</v>
      </c>
      <c r="N102" s="281">
        <v>0.16</v>
      </c>
      <c r="O102" s="282">
        <f t="shared" si="13"/>
        <v>159.852</v>
      </c>
      <c r="P102" s="283">
        <f t="shared" si="14"/>
        <v>994.84</v>
      </c>
      <c r="Q102" s="275">
        <f t="shared" si="15"/>
        <v>67.528999999999996</v>
      </c>
      <c r="R102" s="283">
        <f t="shared" si="16"/>
        <v>307.584</v>
      </c>
      <c r="S102" s="275">
        <f t="shared" si="17"/>
        <v>375.113</v>
      </c>
      <c r="T102" s="283">
        <f t="shared" si="11"/>
        <v>7570.1760000000004</v>
      </c>
      <c r="U102" s="283">
        <f t="shared" si="18"/>
        <v>7945.2890000000007</v>
      </c>
      <c r="V102" s="283">
        <f t="shared" si="19"/>
        <v>8940.1290000000008</v>
      </c>
    </row>
    <row r="103" spans="1:22" ht="24.95" customHeight="1" x14ac:dyDescent="0.2">
      <c r="A103" s="276" t="s">
        <v>104</v>
      </c>
      <c r="B103" s="277" t="s">
        <v>18</v>
      </c>
      <c r="C103" s="278" t="s">
        <v>286</v>
      </c>
      <c r="D103" s="279">
        <v>82433</v>
      </c>
      <c r="E103" s="279">
        <v>2969</v>
      </c>
      <c r="F103" s="279">
        <v>16677</v>
      </c>
      <c r="G103" s="279">
        <v>1060</v>
      </c>
      <c r="H103" s="279">
        <v>2150</v>
      </c>
      <c r="I103" s="279">
        <v>46744</v>
      </c>
      <c r="J103" s="279">
        <v>12833</v>
      </c>
      <c r="K103" s="279">
        <f t="shared" si="12"/>
        <v>66631</v>
      </c>
      <c r="L103" s="280">
        <v>0.09</v>
      </c>
      <c r="M103" s="280">
        <v>0.221</v>
      </c>
      <c r="N103" s="281">
        <v>0.18099999999999999</v>
      </c>
      <c r="O103" s="282">
        <f t="shared" si="13"/>
        <v>267.20999999999998</v>
      </c>
      <c r="P103" s="283">
        <f t="shared" si="14"/>
        <v>1500.9299999999998</v>
      </c>
      <c r="Q103" s="275">
        <f t="shared" si="15"/>
        <v>95.399999999999991</v>
      </c>
      <c r="R103" s="283">
        <f t="shared" si="16"/>
        <v>475.15</v>
      </c>
      <c r="S103" s="275">
        <f t="shared" si="17"/>
        <v>570.54999999999995</v>
      </c>
      <c r="T103" s="283">
        <f t="shared" si="11"/>
        <v>10330.424000000001</v>
      </c>
      <c r="U103" s="283">
        <f t="shared" si="18"/>
        <v>10900.974</v>
      </c>
      <c r="V103" s="283">
        <f t="shared" si="19"/>
        <v>12401.904</v>
      </c>
    </row>
    <row r="104" spans="1:22" ht="24.95" customHeight="1" x14ac:dyDescent="0.2">
      <c r="A104" s="276" t="s">
        <v>113</v>
      </c>
      <c r="B104" s="277" t="s">
        <v>20</v>
      </c>
      <c r="C104" s="278" t="s">
        <v>286</v>
      </c>
      <c r="D104" s="279">
        <v>38160</v>
      </c>
      <c r="E104" s="279">
        <v>1234</v>
      </c>
      <c r="F104" s="279">
        <v>7236</v>
      </c>
      <c r="G104" s="279">
        <v>470</v>
      </c>
      <c r="H104" s="279">
        <v>986</v>
      </c>
      <c r="I104" s="279">
        <v>21525</v>
      </c>
      <c r="J104" s="279">
        <v>6709</v>
      </c>
      <c r="K104" s="279">
        <f t="shared" si="12"/>
        <v>30217</v>
      </c>
      <c r="L104" s="280">
        <v>8.3000000000000004E-2</v>
      </c>
      <c r="M104" s="280">
        <v>0.20899999999999999</v>
      </c>
      <c r="N104" s="281">
        <v>0.17299999999999999</v>
      </c>
      <c r="O104" s="282">
        <f t="shared" si="13"/>
        <v>102.42200000000001</v>
      </c>
      <c r="P104" s="283">
        <f t="shared" si="14"/>
        <v>600.58800000000008</v>
      </c>
      <c r="Q104" s="275">
        <f t="shared" si="15"/>
        <v>39.010000000000005</v>
      </c>
      <c r="R104" s="283">
        <f t="shared" si="16"/>
        <v>206.07399999999998</v>
      </c>
      <c r="S104" s="275">
        <f t="shared" si="17"/>
        <v>245.084</v>
      </c>
      <c r="T104" s="283">
        <f t="shared" si="11"/>
        <v>4498.7249999999995</v>
      </c>
      <c r="U104" s="283">
        <f t="shared" si="18"/>
        <v>4743.8089999999993</v>
      </c>
      <c r="V104" s="283">
        <f t="shared" si="19"/>
        <v>5344.396999999999</v>
      </c>
    </row>
    <row r="105" spans="1:22" ht="24.95" customHeight="1" x14ac:dyDescent="0.2">
      <c r="A105" s="276" t="s">
        <v>145</v>
      </c>
      <c r="B105" s="277" t="s">
        <v>292</v>
      </c>
      <c r="C105" s="278" t="s">
        <v>286</v>
      </c>
      <c r="D105" s="279">
        <v>17877</v>
      </c>
      <c r="E105" s="279">
        <v>521</v>
      </c>
      <c r="F105" s="279">
        <v>2916</v>
      </c>
      <c r="G105" s="279">
        <v>172</v>
      </c>
      <c r="H105" s="279">
        <v>388</v>
      </c>
      <c r="I105" s="279">
        <v>9880</v>
      </c>
      <c r="J105" s="279">
        <v>4000</v>
      </c>
      <c r="K105" s="279">
        <f t="shared" si="12"/>
        <v>13356</v>
      </c>
      <c r="L105" s="287">
        <v>7.9000000000000001E-2</v>
      </c>
      <c r="M105" s="287">
        <v>0.19900000000000001</v>
      </c>
      <c r="N105" s="288">
        <v>0.16800000000000001</v>
      </c>
      <c r="O105" s="282">
        <f t="shared" si="13"/>
        <v>41.158999999999999</v>
      </c>
      <c r="P105" s="283">
        <f t="shared" si="14"/>
        <v>230.364</v>
      </c>
      <c r="Q105" s="275">
        <f t="shared" si="15"/>
        <v>13.588000000000001</v>
      </c>
      <c r="R105" s="283">
        <f t="shared" si="16"/>
        <v>77.212000000000003</v>
      </c>
      <c r="S105" s="275">
        <f t="shared" si="17"/>
        <v>90.800000000000011</v>
      </c>
      <c r="T105" s="283">
        <f t="shared" si="11"/>
        <v>1966.1200000000001</v>
      </c>
      <c r="U105" s="283">
        <f t="shared" si="18"/>
        <v>2056.92</v>
      </c>
      <c r="V105" s="283">
        <f t="shared" si="19"/>
        <v>2287.2840000000001</v>
      </c>
    </row>
    <row r="106" spans="1:22" ht="20.100000000000001" customHeight="1" x14ac:dyDescent="0.2">
      <c r="D106" s="290"/>
      <c r="E106" s="290"/>
      <c r="F106" s="290"/>
      <c r="G106" s="290"/>
      <c r="H106" s="290"/>
      <c r="I106" s="290"/>
      <c r="J106" s="291"/>
      <c r="K106" s="291"/>
      <c r="L106" s="292" t="s">
        <v>287</v>
      </c>
      <c r="M106" s="293"/>
      <c r="N106" s="294"/>
      <c r="O106" s="295"/>
      <c r="P106" s="295"/>
      <c r="Q106" s="295"/>
      <c r="R106" s="295"/>
      <c r="S106" s="295"/>
      <c r="T106" s="295"/>
      <c r="U106" s="295"/>
      <c r="V106" s="290"/>
    </row>
    <row r="107" spans="1:22" ht="24.95" customHeight="1" x14ac:dyDescent="0.2">
      <c r="A107" s="296" t="s">
        <v>288</v>
      </c>
      <c r="B107" s="306" t="str">
        <f>A107</f>
        <v>North Carolina</v>
      </c>
      <c r="C107" s="270"/>
      <c r="D107" s="297">
        <f>SUBTOTAL(9,D6:D105)</f>
        <v>9873948</v>
      </c>
      <c r="E107" s="297">
        <f t="shared" ref="E107:K107" si="20">SUBTOTAL(9,E6:E105)</f>
        <v>365208</v>
      </c>
      <c r="F107" s="297">
        <f t="shared" si="20"/>
        <v>1930215</v>
      </c>
      <c r="G107" s="297">
        <f t="shared" si="20"/>
        <v>137577</v>
      </c>
      <c r="H107" s="297">
        <f t="shared" si="20"/>
        <v>297776</v>
      </c>
      <c r="I107" s="297">
        <f t="shared" si="20"/>
        <v>5740125</v>
      </c>
      <c r="J107" s="297">
        <f t="shared" si="20"/>
        <v>1403047</v>
      </c>
      <c r="K107" s="297">
        <f t="shared" si="20"/>
        <v>8105693</v>
      </c>
      <c r="L107" s="298">
        <f>214000/2304514</f>
        <v>9.2861228007293517E-2</v>
      </c>
      <c r="M107" s="299">
        <f>1341000/5997347</f>
        <v>0.22359886796611902</v>
      </c>
      <c r="N107" s="300">
        <f>1562000/8301861</f>
        <v>0.188150584549657</v>
      </c>
      <c r="O107" s="297">
        <f t="shared" ref="O107:V107" si="21">SUBTOTAL(9,O6:O105)</f>
        <v>30562.660999999996</v>
      </c>
      <c r="P107" s="297">
        <f t="shared" si="21"/>
        <v>161025.07800000001</v>
      </c>
      <c r="Q107" s="297">
        <f t="shared" si="21"/>
        <v>11469.267</v>
      </c>
      <c r="R107" s="297">
        <f t="shared" si="21"/>
        <v>62621.282999999967</v>
      </c>
      <c r="S107" s="297">
        <f t="shared" si="21"/>
        <v>74090.550000000017</v>
      </c>
      <c r="T107" s="297">
        <f t="shared" si="21"/>
        <v>1199611.8020000004</v>
      </c>
      <c r="U107" s="297">
        <f t="shared" si="21"/>
        <v>1273702.352</v>
      </c>
      <c r="V107" s="297">
        <f t="shared" si="21"/>
        <v>1434727.4300000004</v>
      </c>
    </row>
    <row r="108" spans="1:22" x14ac:dyDescent="0.2">
      <c r="O108" s="301">
        <f>O107/E107</f>
        <v>8.3685628463779541E-2</v>
      </c>
      <c r="P108" s="301">
        <f>P107/F107</f>
        <v>8.3423389622399577E-2</v>
      </c>
      <c r="Q108" s="301">
        <f>Q107/G107</f>
        <v>8.3366165856211427E-2</v>
      </c>
      <c r="R108" s="301">
        <f>R107/H107</f>
        <v>0.21029660886035129</v>
      </c>
      <c r="S108" s="301">
        <f>S107/SUM(G107:H107)</f>
        <v>0.17018499929941913</v>
      </c>
      <c r="T108" s="301">
        <f>T107/I107</f>
        <v>0.20898705202412846</v>
      </c>
      <c r="U108" s="301">
        <f>U107/SUM(G107:I107)</f>
        <v>0.2062516216558459</v>
      </c>
      <c r="V108" s="301">
        <f>V107/K107</f>
        <v>0.17700243890312653</v>
      </c>
    </row>
    <row r="109" spans="1:22" ht="20.100000000000001" customHeight="1" x14ac:dyDescent="0.2">
      <c r="B109" s="246" t="s">
        <v>289</v>
      </c>
    </row>
    <row r="110" spans="1:22" ht="20.100000000000001" customHeight="1" x14ac:dyDescent="0.2">
      <c r="B110" s="246" t="s">
        <v>290</v>
      </c>
    </row>
    <row r="111" spans="1:22" ht="45.75" customHeight="1" x14ac:dyDescent="0.2">
      <c r="B111" s="562" t="s">
        <v>291</v>
      </c>
      <c r="C111" s="562"/>
      <c r="D111" s="562"/>
      <c r="E111" s="562"/>
      <c r="F111" s="562"/>
      <c r="G111" s="562"/>
      <c r="H111" s="562"/>
      <c r="I111" s="562"/>
      <c r="J111" s="562"/>
      <c r="K111" s="562"/>
      <c r="L111" s="562"/>
      <c r="M111" s="562"/>
      <c r="N111" s="562"/>
      <c r="O111" s="562"/>
      <c r="P111" s="562"/>
      <c r="Q111" s="562"/>
      <c r="R111" s="562"/>
      <c r="S111" s="562"/>
      <c r="T111" s="562"/>
      <c r="U111" s="562"/>
      <c r="V111" s="562"/>
    </row>
  </sheetData>
  <sheetProtection sheet="1" objects="1" scenarios="1" autoFilter="0"/>
  <autoFilter ref="A5:V111"/>
  <mergeCells count="1">
    <mergeCell ref="B111:V111"/>
  </mergeCells>
  <printOptions horizontalCentered="1"/>
  <pageMargins left="0.3" right="0.3" top="0.5" bottom="0.5" header="0.3" footer="0.3"/>
  <pageSetup paperSize="5" scale="52" fitToWidth="2" fitToHeight="0" orientation="landscape" r:id="rId1"/>
  <drawing r:id="rId2"/>
  <legacy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
  <sheetViews>
    <sheetView showGridLines="0" workbookViewId="0">
      <pane ySplit="5" topLeftCell="A6" activePane="bottomLeft" state="frozen"/>
      <selection activeCell="B6" sqref="B6"/>
      <selection pane="bottomLeft" activeCell="G2" sqref="G2"/>
    </sheetView>
  </sheetViews>
  <sheetFormatPr defaultRowHeight="12.75" x14ac:dyDescent="0.2"/>
  <cols>
    <col min="1" max="1" width="42.140625" style="22" bestFit="1" customWidth="1"/>
    <col min="2" max="2" width="18.7109375" style="45" customWidth="1"/>
    <col min="3" max="4" width="18.7109375" style="22" customWidth="1"/>
    <col min="5" max="5" width="20.7109375" style="22" customWidth="1"/>
    <col min="6" max="6" width="9.140625" style="22"/>
    <col min="7" max="7" width="42.140625" style="22" bestFit="1" customWidth="1"/>
    <col min="8" max="8" width="18.7109375" style="45" customWidth="1"/>
    <col min="9" max="10" width="18.7109375" style="22" customWidth="1"/>
    <col min="11" max="11" width="20.7109375" style="22" customWidth="1"/>
    <col min="12" max="16384" width="9.140625" style="22"/>
  </cols>
  <sheetData>
    <row r="1" spans="1:11" x14ac:dyDescent="0.2">
      <c r="A1" s="50" t="s">
        <v>540</v>
      </c>
      <c r="B1" s="44"/>
      <c r="C1" s="44"/>
      <c r="D1" s="44"/>
      <c r="E1" s="44"/>
      <c r="G1" s="50" t="s">
        <v>540</v>
      </c>
      <c r="H1" s="44"/>
      <c r="I1" s="44"/>
      <c r="J1" s="44"/>
      <c r="K1" s="44"/>
    </row>
    <row r="2" spans="1:11" x14ac:dyDescent="0.2">
      <c r="A2" s="50" t="s">
        <v>304</v>
      </c>
      <c r="B2" s="44"/>
      <c r="C2" s="44"/>
      <c r="D2" s="44"/>
      <c r="E2" s="44"/>
      <c r="G2" s="50" t="s">
        <v>304</v>
      </c>
      <c r="H2" s="44"/>
      <c r="I2" s="44"/>
      <c r="J2" s="44"/>
      <c r="K2" s="44"/>
    </row>
    <row r="3" spans="1:11" x14ac:dyDescent="0.2">
      <c r="A3" s="394" t="s">
        <v>423</v>
      </c>
      <c r="B3" s="44"/>
      <c r="C3" s="44"/>
      <c r="D3" s="44"/>
      <c r="E3" s="44"/>
      <c r="G3" s="394" t="s">
        <v>424</v>
      </c>
      <c r="H3" s="44"/>
      <c r="I3" s="44"/>
      <c r="J3" s="44"/>
      <c r="K3" s="44"/>
    </row>
    <row r="5" spans="1:11" ht="51" x14ac:dyDescent="0.2">
      <c r="A5" s="392" t="s">
        <v>303</v>
      </c>
      <c r="B5" s="393" t="s">
        <v>299</v>
      </c>
      <c r="C5" s="393" t="s">
        <v>300</v>
      </c>
      <c r="D5" s="393" t="s">
        <v>301</v>
      </c>
      <c r="E5" s="393" t="s">
        <v>302</v>
      </c>
      <c r="G5" s="390" t="s">
        <v>303</v>
      </c>
      <c r="H5" s="391" t="s">
        <v>299</v>
      </c>
      <c r="I5" s="391" t="s">
        <v>300</v>
      </c>
      <c r="J5" s="391" t="s">
        <v>301</v>
      </c>
      <c r="K5" s="391" t="s">
        <v>302</v>
      </c>
    </row>
    <row r="6" spans="1:11" x14ac:dyDescent="0.2">
      <c r="A6" s="399" t="s">
        <v>13</v>
      </c>
      <c r="B6" s="400">
        <v>31132.073</v>
      </c>
      <c r="C6" s="400">
        <v>12814.112000000001</v>
      </c>
      <c r="D6" s="400">
        <v>222533.89500000002</v>
      </c>
      <c r="E6" s="400">
        <v>266480.08</v>
      </c>
      <c r="G6" s="309" t="s">
        <v>13</v>
      </c>
      <c r="H6" s="310">
        <v>31132.073</v>
      </c>
      <c r="I6" s="310">
        <v>12814.112000000001</v>
      </c>
      <c r="J6" s="310">
        <v>222533.89500000002</v>
      </c>
      <c r="K6" s="310">
        <v>266480.08</v>
      </c>
    </row>
    <row r="7" spans="1:11" x14ac:dyDescent="0.2">
      <c r="A7" s="395" t="s">
        <v>46</v>
      </c>
      <c r="B7" s="396">
        <v>6218.66</v>
      </c>
      <c r="C7" s="396">
        <v>3006.1779999999999</v>
      </c>
      <c r="D7" s="396">
        <v>44145.815999999999</v>
      </c>
      <c r="E7" s="396">
        <v>53370.653999999995</v>
      </c>
      <c r="G7" s="307" t="s">
        <v>46</v>
      </c>
      <c r="H7" s="308">
        <v>6218.66</v>
      </c>
      <c r="I7" s="308">
        <v>3006.1779999999999</v>
      </c>
      <c r="J7" s="308">
        <v>44145.815999999999</v>
      </c>
      <c r="K7" s="308">
        <v>53370.653999999995</v>
      </c>
    </row>
    <row r="8" spans="1:11" x14ac:dyDescent="0.2">
      <c r="A8" s="397" t="s">
        <v>47</v>
      </c>
      <c r="B8" s="398">
        <v>4800.1589999999997</v>
      </c>
      <c r="C8" s="398">
        <v>2554.4870000000001</v>
      </c>
      <c r="D8" s="398">
        <v>38311.279999999999</v>
      </c>
      <c r="E8" s="398">
        <v>45665.925999999999</v>
      </c>
      <c r="G8" s="307" t="s">
        <v>47</v>
      </c>
      <c r="H8" s="308">
        <v>4800.1589999999997</v>
      </c>
      <c r="I8" s="308">
        <v>2554.4870000000001</v>
      </c>
      <c r="J8" s="308">
        <v>38311.279999999999</v>
      </c>
      <c r="K8" s="308">
        <v>45665.925999999999</v>
      </c>
    </row>
    <row r="9" spans="1:11" x14ac:dyDescent="0.2">
      <c r="A9" s="397" t="s">
        <v>48</v>
      </c>
      <c r="B9" s="398">
        <v>3445.5600000000004</v>
      </c>
      <c r="C9" s="398">
        <v>1185.3110000000001</v>
      </c>
      <c r="D9" s="398">
        <v>23826.114000000001</v>
      </c>
      <c r="E9" s="398">
        <v>28456.985000000004</v>
      </c>
      <c r="G9" s="307" t="s">
        <v>48</v>
      </c>
      <c r="H9" s="308">
        <v>3445.5600000000004</v>
      </c>
      <c r="I9" s="308">
        <v>1185.3110000000001</v>
      </c>
      <c r="J9" s="308">
        <v>23826.114000000001</v>
      </c>
      <c r="K9" s="308">
        <v>28456.985000000004</v>
      </c>
    </row>
    <row r="10" spans="1:11" x14ac:dyDescent="0.2">
      <c r="A10" s="397" t="s">
        <v>49</v>
      </c>
      <c r="B10" s="398">
        <v>16667.694</v>
      </c>
      <c r="C10" s="398">
        <v>6068.1359999999995</v>
      </c>
      <c r="D10" s="398">
        <v>116250.68500000001</v>
      </c>
      <c r="E10" s="398">
        <v>138986.51500000001</v>
      </c>
      <c r="G10" s="307" t="s">
        <v>49</v>
      </c>
      <c r="H10" s="308">
        <v>16667.694</v>
      </c>
      <c r="I10" s="308">
        <v>6068.1359999999995</v>
      </c>
      <c r="J10" s="308">
        <v>116250.68500000001</v>
      </c>
      <c r="K10" s="308">
        <v>138986.51500000001</v>
      </c>
    </row>
    <row r="11" spans="1:11" x14ac:dyDescent="0.2">
      <c r="A11" s="307"/>
      <c r="B11" s="308"/>
      <c r="C11" s="308"/>
      <c r="D11" s="308"/>
      <c r="E11" s="308"/>
      <c r="G11" s="307"/>
      <c r="H11" s="308"/>
      <c r="I11" s="308"/>
      <c r="J11" s="308"/>
      <c r="K11" s="308"/>
    </row>
    <row r="12" spans="1:11" x14ac:dyDescent="0.2">
      <c r="A12" s="401" t="s">
        <v>14</v>
      </c>
      <c r="B12" s="402">
        <v>23519.61</v>
      </c>
      <c r="C12" s="402">
        <v>10882.692999999999</v>
      </c>
      <c r="D12" s="402">
        <v>172914.299</v>
      </c>
      <c r="E12" s="402">
        <v>207316.60200000004</v>
      </c>
      <c r="G12" s="309" t="s">
        <v>14</v>
      </c>
      <c r="H12" s="310">
        <v>23519.61</v>
      </c>
      <c r="I12" s="310">
        <v>10882.692999999999</v>
      </c>
      <c r="J12" s="310">
        <v>172914.299</v>
      </c>
      <c r="K12" s="310">
        <v>207316.60200000004</v>
      </c>
    </row>
    <row r="13" spans="1:11" x14ac:dyDescent="0.2">
      <c r="A13" s="395" t="s">
        <v>50</v>
      </c>
      <c r="B13" s="396">
        <v>2631.5519999999997</v>
      </c>
      <c r="C13" s="396">
        <v>1368.79</v>
      </c>
      <c r="D13" s="396">
        <v>18545.697</v>
      </c>
      <c r="E13" s="396">
        <v>22546.039000000001</v>
      </c>
      <c r="G13" s="307" t="s">
        <v>50</v>
      </c>
      <c r="H13" s="308">
        <v>2631.5519999999997</v>
      </c>
      <c r="I13" s="308">
        <v>1368.79</v>
      </c>
      <c r="J13" s="308">
        <v>18545.697</v>
      </c>
      <c r="K13" s="308">
        <v>22546.039000000001</v>
      </c>
    </row>
    <row r="14" spans="1:11" x14ac:dyDescent="0.2">
      <c r="A14" s="395" t="s">
        <v>51</v>
      </c>
      <c r="B14" s="396">
        <v>3377.7000000000003</v>
      </c>
      <c r="C14" s="396">
        <v>1252.0539999999999</v>
      </c>
      <c r="D14" s="396">
        <v>22452.242999999999</v>
      </c>
      <c r="E14" s="396">
        <v>27081.996999999999</v>
      </c>
      <c r="G14" s="307" t="s">
        <v>51</v>
      </c>
      <c r="H14" s="308">
        <v>3377.7000000000003</v>
      </c>
      <c r="I14" s="308">
        <v>1252.0539999999999</v>
      </c>
      <c r="J14" s="308">
        <v>22452.242999999999</v>
      </c>
      <c r="K14" s="308">
        <v>27081.996999999999</v>
      </c>
    </row>
    <row r="15" spans="1:11" x14ac:dyDescent="0.2">
      <c r="A15" s="395" t="s">
        <v>52</v>
      </c>
      <c r="B15" s="396">
        <v>316.38600000000002</v>
      </c>
      <c r="C15" s="396">
        <v>150.27300000000002</v>
      </c>
      <c r="D15" s="396">
        <v>3262.848</v>
      </c>
      <c r="E15" s="396">
        <v>3729.5070000000001</v>
      </c>
      <c r="G15" s="307" t="s">
        <v>52</v>
      </c>
      <c r="H15" s="308">
        <v>316.38600000000002</v>
      </c>
      <c r="I15" s="308">
        <v>150.27300000000002</v>
      </c>
      <c r="J15" s="308">
        <v>3262.848</v>
      </c>
      <c r="K15" s="308">
        <v>3729.5070000000001</v>
      </c>
    </row>
    <row r="16" spans="1:11" x14ac:dyDescent="0.2">
      <c r="A16" s="395" t="s">
        <v>53</v>
      </c>
      <c r="B16" s="396">
        <v>1070.136</v>
      </c>
      <c r="C16" s="396">
        <v>365.66899999999998</v>
      </c>
      <c r="D16" s="396">
        <v>8423.5500000000011</v>
      </c>
      <c r="E16" s="396">
        <v>9859.3550000000014</v>
      </c>
      <c r="G16" s="307" t="s">
        <v>53</v>
      </c>
      <c r="H16" s="308">
        <v>1070.136</v>
      </c>
      <c r="I16" s="308">
        <v>365.66899999999998</v>
      </c>
      <c r="J16" s="308">
        <v>8423.5500000000011</v>
      </c>
      <c r="K16" s="308">
        <v>9859.3550000000014</v>
      </c>
    </row>
    <row r="17" spans="1:11" x14ac:dyDescent="0.2">
      <c r="A17" s="395" t="s">
        <v>54</v>
      </c>
      <c r="B17" s="396">
        <v>2513.94</v>
      </c>
      <c r="C17" s="396">
        <v>960.12099999999987</v>
      </c>
      <c r="D17" s="396">
        <v>19428.875</v>
      </c>
      <c r="E17" s="396">
        <v>22902.935999999998</v>
      </c>
      <c r="G17" s="307" t="s">
        <v>54</v>
      </c>
      <c r="H17" s="308">
        <v>2513.94</v>
      </c>
      <c r="I17" s="308">
        <v>960.12099999999987</v>
      </c>
      <c r="J17" s="308">
        <v>19428.875</v>
      </c>
      <c r="K17" s="308">
        <v>22902.935999999998</v>
      </c>
    </row>
    <row r="18" spans="1:11" x14ac:dyDescent="0.2">
      <c r="A18" s="395" t="s">
        <v>55</v>
      </c>
      <c r="B18" s="396">
        <v>1055.796</v>
      </c>
      <c r="C18" s="396">
        <v>425.09199999999998</v>
      </c>
      <c r="D18" s="396">
        <v>8375.4500000000007</v>
      </c>
      <c r="E18" s="396">
        <v>9856.3380000000016</v>
      </c>
      <c r="G18" s="307" t="s">
        <v>55</v>
      </c>
      <c r="H18" s="308">
        <v>1055.796</v>
      </c>
      <c r="I18" s="308">
        <v>425.09199999999998</v>
      </c>
      <c r="J18" s="308">
        <v>8375.4500000000007</v>
      </c>
      <c r="K18" s="308">
        <v>9856.3380000000016</v>
      </c>
    </row>
    <row r="19" spans="1:11" x14ac:dyDescent="0.2">
      <c r="A19" s="395" t="s">
        <v>56</v>
      </c>
      <c r="B19" s="396">
        <v>865.452</v>
      </c>
      <c r="C19" s="396">
        <v>463.18099999999998</v>
      </c>
      <c r="D19" s="396">
        <v>6989.2699999999995</v>
      </c>
      <c r="E19" s="396">
        <v>8317.9029999999984</v>
      </c>
      <c r="G19" s="307" t="s">
        <v>56</v>
      </c>
      <c r="H19" s="308">
        <v>865.452</v>
      </c>
      <c r="I19" s="308">
        <v>463.18099999999998</v>
      </c>
      <c r="J19" s="308">
        <v>6989.2699999999995</v>
      </c>
      <c r="K19" s="308">
        <v>8317.9029999999984</v>
      </c>
    </row>
    <row r="20" spans="1:11" x14ac:dyDescent="0.2">
      <c r="A20" s="395" t="s">
        <v>57</v>
      </c>
      <c r="B20" s="396">
        <v>869.11599999999999</v>
      </c>
      <c r="C20" s="396">
        <v>399.83199999999999</v>
      </c>
      <c r="D20" s="396">
        <v>7029.0300000000007</v>
      </c>
      <c r="E20" s="396">
        <v>8297.978000000001</v>
      </c>
      <c r="G20" s="307" t="s">
        <v>57</v>
      </c>
      <c r="H20" s="308">
        <v>869.11599999999999</v>
      </c>
      <c r="I20" s="308">
        <v>399.83199999999999</v>
      </c>
      <c r="J20" s="308">
        <v>7029.0300000000007</v>
      </c>
      <c r="K20" s="308">
        <v>8297.978000000001</v>
      </c>
    </row>
    <row r="21" spans="1:11" x14ac:dyDescent="0.2">
      <c r="A21" s="395" t="s">
        <v>58</v>
      </c>
      <c r="B21" s="396">
        <v>2018.1020000000001</v>
      </c>
      <c r="C21" s="396">
        <v>2027.0110000000002</v>
      </c>
      <c r="D21" s="396">
        <v>16494.465</v>
      </c>
      <c r="E21" s="396">
        <v>20539.577999999998</v>
      </c>
      <c r="G21" s="307" t="s">
        <v>58</v>
      </c>
      <c r="H21" s="308">
        <v>2018.1020000000001</v>
      </c>
      <c r="I21" s="308">
        <v>2027.0110000000002</v>
      </c>
      <c r="J21" s="308">
        <v>16494.465</v>
      </c>
      <c r="K21" s="308">
        <v>20539.577999999998</v>
      </c>
    </row>
    <row r="22" spans="1:11" x14ac:dyDescent="0.2">
      <c r="A22" s="395" t="s">
        <v>59</v>
      </c>
      <c r="B22" s="396">
        <v>583.81000000000006</v>
      </c>
      <c r="C22" s="396">
        <v>219.10999999999999</v>
      </c>
      <c r="D22" s="396">
        <v>4719.393</v>
      </c>
      <c r="E22" s="396">
        <v>5522.3130000000001</v>
      </c>
      <c r="G22" s="307" t="s">
        <v>59</v>
      </c>
      <c r="H22" s="308">
        <v>583.81000000000006</v>
      </c>
      <c r="I22" s="308">
        <v>219.10999999999999</v>
      </c>
      <c r="J22" s="308">
        <v>4719.393</v>
      </c>
      <c r="K22" s="308">
        <v>5522.3130000000001</v>
      </c>
    </row>
    <row r="23" spans="1:11" x14ac:dyDescent="0.2">
      <c r="A23" s="395" t="s">
        <v>60</v>
      </c>
      <c r="B23" s="396">
        <v>2220.8879999999999</v>
      </c>
      <c r="C23" s="396">
        <v>967.72199999999998</v>
      </c>
      <c r="D23" s="396">
        <v>16490.655999999999</v>
      </c>
      <c r="E23" s="396">
        <v>19679.266</v>
      </c>
      <c r="G23" s="307" t="s">
        <v>60</v>
      </c>
      <c r="H23" s="308">
        <v>2220.8879999999999</v>
      </c>
      <c r="I23" s="308">
        <v>967.72199999999998</v>
      </c>
      <c r="J23" s="308">
        <v>16490.655999999999</v>
      </c>
      <c r="K23" s="308">
        <v>19679.266</v>
      </c>
    </row>
    <row r="24" spans="1:11" x14ac:dyDescent="0.2">
      <c r="A24" s="395" t="s">
        <v>61</v>
      </c>
      <c r="B24" s="396">
        <v>840.15</v>
      </c>
      <c r="C24" s="396">
        <v>372.21899999999999</v>
      </c>
      <c r="D24" s="396">
        <v>6535.2420000000002</v>
      </c>
      <c r="E24" s="396">
        <v>7747.6109999999999</v>
      </c>
      <c r="G24" s="307" t="s">
        <v>61</v>
      </c>
      <c r="H24" s="308">
        <v>840.15</v>
      </c>
      <c r="I24" s="308">
        <v>372.21899999999999</v>
      </c>
      <c r="J24" s="308">
        <v>6535.2420000000002</v>
      </c>
      <c r="K24" s="308">
        <v>7747.6109999999999</v>
      </c>
    </row>
    <row r="25" spans="1:11" x14ac:dyDescent="0.2">
      <c r="A25" s="395" t="s">
        <v>62</v>
      </c>
      <c r="B25" s="396">
        <v>4002.768</v>
      </c>
      <c r="C25" s="396">
        <v>1390.9680000000001</v>
      </c>
      <c r="D25" s="396">
        <v>25351.26</v>
      </c>
      <c r="E25" s="396">
        <v>30744.995999999999</v>
      </c>
      <c r="G25" s="307" t="s">
        <v>62</v>
      </c>
      <c r="H25" s="308">
        <v>4002.768</v>
      </c>
      <c r="I25" s="308">
        <v>1390.9680000000001</v>
      </c>
      <c r="J25" s="308">
        <v>25351.26</v>
      </c>
      <c r="K25" s="308">
        <v>30744.995999999999</v>
      </c>
    </row>
    <row r="26" spans="1:11" x14ac:dyDescent="0.2">
      <c r="A26" s="395" t="s">
        <v>63</v>
      </c>
      <c r="B26" s="396">
        <v>851.21399999999994</v>
      </c>
      <c r="C26" s="396">
        <v>384.17200000000003</v>
      </c>
      <c r="D26" s="396">
        <v>5874.4720000000007</v>
      </c>
      <c r="E26" s="396">
        <v>7109.8580000000002</v>
      </c>
      <c r="G26" s="307" t="s">
        <v>63</v>
      </c>
      <c r="H26" s="308">
        <v>851.21399999999994</v>
      </c>
      <c r="I26" s="308">
        <v>384.17200000000003</v>
      </c>
      <c r="J26" s="308">
        <v>5874.4720000000007</v>
      </c>
      <c r="K26" s="308">
        <v>7109.8580000000002</v>
      </c>
    </row>
    <row r="27" spans="1:11" x14ac:dyDescent="0.2">
      <c r="A27" s="395" t="s">
        <v>64</v>
      </c>
      <c r="B27" s="396">
        <v>302.59999999999997</v>
      </c>
      <c r="C27" s="396">
        <v>136.47899999999998</v>
      </c>
      <c r="D27" s="396">
        <v>2941.848</v>
      </c>
      <c r="E27" s="396">
        <v>3380.9269999999997</v>
      </c>
      <c r="G27" s="307" t="s">
        <v>64</v>
      </c>
      <c r="H27" s="308">
        <v>302.59999999999997</v>
      </c>
      <c r="I27" s="308">
        <v>136.47899999999998</v>
      </c>
      <c r="J27" s="308">
        <v>2941.848</v>
      </c>
      <c r="K27" s="308">
        <v>3380.9269999999997</v>
      </c>
    </row>
    <row r="28" spans="1:11" x14ac:dyDescent="0.2">
      <c r="A28" s="307"/>
      <c r="B28" s="308"/>
      <c r="C28" s="308"/>
      <c r="D28" s="308"/>
      <c r="E28" s="308"/>
      <c r="G28" s="307"/>
      <c r="H28" s="308"/>
      <c r="I28" s="308"/>
      <c r="J28" s="308"/>
      <c r="K28" s="308"/>
    </row>
    <row r="29" spans="1:11" x14ac:dyDescent="0.2">
      <c r="A29" s="401" t="s">
        <v>15</v>
      </c>
      <c r="B29" s="402">
        <v>9000.36</v>
      </c>
      <c r="C29" s="402">
        <v>3469.5530000000003</v>
      </c>
      <c r="D29" s="402">
        <v>63429.742000000006</v>
      </c>
      <c r="E29" s="402">
        <v>75899.654999999999</v>
      </c>
      <c r="G29" s="309" t="s">
        <v>15</v>
      </c>
      <c r="H29" s="310">
        <v>9000.36</v>
      </c>
      <c r="I29" s="310">
        <v>3469.5530000000003</v>
      </c>
      <c r="J29" s="310">
        <v>63429.742000000006</v>
      </c>
      <c r="K29" s="310">
        <v>75899.654999999999</v>
      </c>
    </row>
    <row r="30" spans="1:11" x14ac:dyDescent="0.2">
      <c r="A30" s="395" t="s">
        <v>65</v>
      </c>
      <c r="B30" s="396">
        <v>599.56399999999996</v>
      </c>
      <c r="C30" s="396">
        <v>228.20200000000003</v>
      </c>
      <c r="D30" s="396">
        <v>4609.4400000000005</v>
      </c>
      <c r="E30" s="396">
        <v>5437.206000000001</v>
      </c>
      <c r="G30" s="307" t="s">
        <v>65</v>
      </c>
      <c r="H30" s="308">
        <v>599.56399999999996</v>
      </c>
      <c r="I30" s="308">
        <v>228.20200000000003</v>
      </c>
      <c r="J30" s="308">
        <v>4609.4400000000005</v>
      </c>
      <c r="K30" s="308">
        <v>5437.206000000001</v>
      </c>
    </row>
    <row r="31" spans="1:11" x14ac:dyDescent="0.2">
      <c r="A31" s="395" t="s">
        <v>66</v>
      </c>
      <c r="B31" s="396">
        <v>6465.1379999999999</v>
      </c>
      <c r="C31" s="396">
        <v>2431.498</v>
      </c>
      <c r="D31" s="396">
        <v>42573.363000000005</v>
      </c>
      <c r="E31" s="396">
        <v>51469.999000000003</v>
      </c>
      <c r="G31" s="307" t="s">
        <v>66</v>
      </c>
      <c r="H31" s="308">
        <v>6465.1379999999999</v>
      </c>
      <c r="I31" s="308">
        <v>2431.498</v>
      </c>
      <c r="J31" s="308">
        <v>42573.363000000005</v>
      </c>
      <c r="K31" s="308">
        <v>51469.999000000003</v>
      </c>
    </row>
    <row r="32" spans="1:11" x14ac:dyDescent="0.2">
      <c r="A32" s="395" t="s">
        <v>67</v>
      </c>
      <c r="B32" s="396">
        <v>1342.24</v>
      </c>
      <c r="C32" s="396">
        <v>555.86199999999997</v>
      </c>
      <c r="D32" s="396">
        <v>10781.939</v>
      </c>
      <c r="E32" s="396">
        <v>12680.040999999999</v>
      </c>
      <c r="G32" s="307" t="s">
        <v>67</v>
      </c>
      <c r="H32" s="308">
        <v>1342.24</v>
      </c>
      <c r="I32" s="308">
        <v>555.86199999999997</v>
      </c>
      <c r="J32" s="308">
        <v>10781.939</v>
      </c>
      <c r="K32" s="308">
        <v>12680.040999999999</v>
      </c>
    </row>
    <row r="33" spans="1:11" x14ac:dyDescent="0.2">
      <c r="A33" s="395" t="s">
        <v>68</v>
      </c>
      <c r="B33" s="396">
        <v>593.41799999999989</v>
      </c>
      <c r="C33" s="396">
        <v>253.99099999999999</v>
      </c>
      <c r="D33" s="396">
        <v>5465</v>
      </c>
      <c r="E33" s="396">
        <v>6312.4089999999997</v>
      </c>
      <c r="G33" s="307" t="s">
        <v>68</v>
      </c>
      <c r="H33" s="308">
        <v>593.41799999999989</v>
      </c>
      <c r="I33" s="308">
        <v>253.99099999999999</v>
      </c>
      <c r="J33" s="308">
        <v>5465</v>
      </c>
      <c r="K33" s="308">
        <v>6312.4089999999997</v>
      </c>
    </row>
    <row r="34" spans="1:11" x14ac:dyDescent="0.2">
      <c r="A34" s="307"/>
      <c r="B34" s="308"/>
      <c r="C34" s="308"/>
      <c r="D34" s="308"/>
      <c r="E34" s="308"/>
      <c r="G34" s="307"/>
      <c r="H34" s="308"/>
      <c r="I34" s="308"/>
      <c r="J34" s="308"/>
      <c r="K34" s="308"/>
    </row>
    <row r="35" spans="1:11" x14ac:dyDescent="0.2">
      <c r="A35" s="401" t="s">
        <v>16</v>
      </c>
      <c r="B35" s="402">
        <v>8873.9179999999997</v>
      </c>
      <c r="C35" s="402">
        <v>6147.3220000000001</v>
      </c>
      <c r="D35" s="402">
        <v>79134.207999999999</v>
      </c>
      <c r="E35" s="402">
        <v>94155.447999999989</v>
      </c>
      <c r="G35" s="309" t="s">
        <v>16</v>
      </c>
      <c r="H35" s="310">
        <v>8873.9179999999997</v>
      </c>
      <c r="I35" s="310">
        <v>6147.3220000000001</v>
      </c>
      <c r="J35" s="310">
        <v>79134.207999999999</v>
      </c>
      <c r="K35" s="310">
        <v>94155.447999999989</v>
      </c>
    </row>
    <row r="36" spans="1:11" x14ac:dyDescent="0.2">
      <c r="A36" s="395" t="s">
        <v>69</v>
      </c>
      <c r="B36" s="396">
        <v>1373.19</v>
      </c>
      <c r="C36" s="396">
        <v>494.60400000000004</v>
      </c>
      <c r="D36" s="396">
        <v>12336</v>
      </c>
      <c r="E36" s="396">
        <v>14203.794</v>
      </c>
      <c r="G36" s="307" t="s">
        <v>69</v>
      </c>
      <c r="H36" s="308">
        <v>1373.19</v>
      </c>
      <c r="I36" s="308">
        <v>494.60400000000004</v>
      </c>
      <c r="J36" s="308">
        <v>12336</v>
      </c>
      <c r="K36" s="308">
        <v>14203.794</v>
      </c>
    </row>
    <row r="37" spans="1:11" x14ac:dyDescent="0.2">
      <c r="A37" s="395" t="s">
        <v>70</v>
      </c>
      <c r="B37" s="396">
        <v>787.50799999999992</v>
      </c>
      <c r="C37" s="396">
        <v>340.64799999999997</v>
      </c>
      <c r="D37" s="396">
        <v>7465.2920000000004</v>
      </c>
      <c r="E37" s="396">
        <v>8593.4480000000003</v>
      </c>
      <c r="G37" s="307" t="s">
        <v>70</v>
      </c>
      <c r="H37" s="308">
        <v>787.50799999999992</v>
      </c>
      <c r="I37" s="308">
        <v>340.64799999999997</v>
      </c>
      <c r="J37" s="308">
        <v>7465.2920000000004</v>
      </c>
      <c r="K37" s="308">
        <v>8593.4480000000003</v>
      </c>
    </row>
    <row r="38" spans="1:11" x14ac:dyDescent="0.2">
      <c r="A38" s="395" t="s">
        <v>71</v>
      </c>
      <c r="B38" s="396">
        <v>2734.98</v>
      </c>
      <c r="C38" s="396">
        <v>1910.4660000000001</v>
      </c>
      <c r="D38" s="396">
        <v>25622</v>
      </c>
      <c r="E38" s="396">
        <v>30267.446</v>
      </c>
      <c r="G38" s="307" t="s">
        <v>71</v>
      </c>
      <c r="H38" s="308">
        <v>2734.98</v>
      </c>
      <c r="I38" s="308">
        <v>1910.4660000000001</v>
      </c>
      <c r="J38" s="308">
        <v>25622</v>
      </c>
      <c r="K38" s="308">
        <v>30267.446</v>
      </c>
    </row>
    <row r="39" spans="1:11" x14ac:dyDescent="0.2">
      <c r="A39" s="395" t="s">
        <v>72</v>
      </c>
      <c r="B39" s="396">
        <v>3170.88</v>
      </c>
      <c r="C39" s="396">
        <v>3032.7999999999997</v>
      </c>
      <c r="D39" s="396">
        <v>26589.599999999999</v>
      </c>
      <c r="E39" s="396">
        <v>32793.279999999999</v>
      </c>
      <c r="G39" s="307" t="s">
        <v>72</v>
      </c>
      <c r="H39" s="308">
        <v>3170.88</v>
      </c>
      <c r="I39" s="308">
        <v>3032.7999999999997</v>
      </c>
      <c r="J39" s="308">
        <v>26589.599999999999</v>
      </c>
      <c r="K39" s="308">
        <v>32793.279999999999</v>
      </c>
    </row>
    <row r="40" spans="1:11" x14ac:dyDescent="0.2">
      <c r="A40" s="395" t="s">
        <v>73</v>
      </c>
      <c r="B40" s="396">
        <v>807.36</v>
      </c>
      <c r="C40" s="396">
        <v>368.80400000000003</v>
      </c>
      <c r="D40" s="396">
        <v>7121.3159999999998</v>
      </c>
      <c r="E40" s="396">
        <v>8297.48</v>
      </c>
      <c r="G40" s="307" t="s">
        <v>73</v>
      </c>
      <c r="H40" s="308">
        <v>807.36</v>
      </c>
      <c r="I40" s="308">
        <v>368.80400000000003</v>
      </c>
      <c r="J40" s="308">
        <v>7121.3159999999998</v>
      </c>
      <c r="K40" s="308">
        <v>8297.48</v>
      </c>
    </row>
    <row r="41" spans="1:11" x14ac:dyDescent="0.2">
      <c r="A41" s="307"/>
      <c r="B41" s="308"/>
      <c r="C41" s="308"/>
      <c r="D41" s="308"/>
      <c r="E41" s="308"/>
      <c r="G41" s="307"/>
      <c r="H41" s="308"/>
      <c r="I41" s="308"/>
      <c r="J41" s="308"/>
      <c r="K41" s="308"/>
    </row>
    <row r="42" spans="1:11" x14ac:dyDescent="0.2">
      <c r="A42" s="401" t="s">
        <v>17</v>
      </c>
      <c r="B42" s="402">
        <v>9217.8169999999991</v>
      </c>
      <c r="C42" s="402">
        <v>5730.4760000000006</v>
      </c>
      <c r="D42" s="402">
        <v>74458.883999999991</v>
      </c>
      <c r="E42" s="402">
        <v>89407.176999999996</v>
      </c>
      <c r="G42" s="309" t="s">
        <v>17</v>
      </c>
      <c r="H42" s="310">
        <v>9217.8169999999991</v>
      </c>
      <c r="I42" s="310">
        <v>5730.4760000000006</v>
      </c>
      <c r="J42" s="310">
        <v>74458.883999999991</v>
      </c>
      <c r="K42" s="310">
        <v>89407.176999999996</v>
      </c>
    </row>
    <row r="43" spans="1:11" x14ac:dyDescent="0.2">
      <c r="A43" s="395" t="s">
        <v>74</v>
      </c>
      <c r="B43" s="396">
        <v>743.83500000000004</v>
      </c>
      <c r="C43" s="396">
        <v>257.39800000000002</v>
      </c>
      <c r="D43" s="396">
        <v>5306.42</v>
      </c>
      <c r="E43" s="396">
        <v>6307.6530000000002</v>
      </c>
      <c r="G43" s="307" t="s">
        <v>74</v>
      </c>
      <c r="H43" s="308">
        <v>743.83500000000004</v>
      </c>
      <c r="I43" s="308">
        <v>257.39800000000002</v>
      </c>
      <c r="J43" s="308">
        <v>5306.42</v>
      </c>
      <c r="K43" s="308">
        <v>6307.6530000000002</v>
      </c>
    </row>
    <row r="44" spans="1:11" x14ac:dyDescent="0.2">
      <c r="A44" s="395" t="s">
        <v>75</v>
      </c>
      <c r="B44" s="396">
        <v>305.19599999999997</v>
      </c>
      <c r="C44" s="396">
        <v>122.617</v>
      </c>
      <c r="D44" s="396">
        <v>2986.4160000000002</v>
      </c>
      <c r="E44" s="396">
        <v>3414.2290000000003</v>
      </c>
      <c r="G44" s="307" t="s">
        <v>75</v>
      </c>
      <c r="H44" s="308">
        <v>305.19599999999997</v>
      </c>
      <c r="I44" s="308">
        <v>122.617</v>
      </c>
      <c r="J44" s="308">
        <v>2986.4160000000002</v>
      </c>
      <c r="K44" s="308">
        <v>3414.2290000000003</v>
      </c>
    </row>
    <row r="45" spans="1:11" x14ac:dyDescent="0.2">
      <c r="A45" s="395" t="s">
        <v>76</v>
      </c>
      <c r="B45" s="396">
        <v>132.19200000000001</v>
      </c>
      <c r="C45" s="396">
        <v>58.533000000000001</v>
      </c>
      <c r="D45" s="396">
        <v>1124.3700000000001</v>
      </c>
      <c r="E45" s="396">
        <v>1315.095</v>
      </c>
      <c r="G45" s="307" t="s">
        <v>76</v>
      </c>
      <c r="H45" s="308">
        <v>132.19200000000001</v>
      </c>
      <c r="I45" s="308">
        <v>58.533000000000001</v>
      </c>
      <c r="J45" s="308">
        <v>1124.3700000000001</v>
      </c>
      <c r="K45" s="308">
        <v>1315.095</v>
      </c>
    </row>
    <row r="46" spans="1:11" x14ac:dyDescent="0.2">
      <c r="A46" s="395" t="s">
        <v>77</v>
      </c>
      <c r="B46" s="396">
        <v>221.31800000000001</v>
      </c>
      <c r="C46" s="396">
        <v>83.429999999999993</v>
      </c>
      <c r="D46" s="396">
        <v>1630.078</v>
      </c>
      <c r="E46" s="396">
        <v>1934.826</v>
      </c>
      <c r="G46" s="307" t="s">
        <v>77</v>
      </c>
      <c r="H46" s="308">
        <v>221.31800000000001</v>
      </c>
      <c r="I46" s="308">
        <v>83.429999999999993</v>
      </c>
      <c r="J46" s="308">
        <v>1630.078</v>
      </c>
      <c r="K46" s="308">
        <v>1934.826</v>
      </c>
    </row>
    <row r="47" spans="1:11" x14ac:dyDescent="0.2">
      <c r="A47" s="395" t="s">
        <v>78</v>
      </c>
      <c r="B47" s="396">
        <v>1648.8</v>
      </c>
      <c r="C47" s="396">
        <v>813.1160000000001</v>
      </c>
      <c r="D47" s="396">
        <v>11700.042000000001</v>
      </c>
      <c r="E47" s="396">
        <v>14161.958000000001</v>
      </c>
      <c r="G47" s="307" t="s">
        <v>78</v>
      </c>
      <c r="H47" s="308">
        <v>1648.8</v>
      </c>
      <c r="I47" s="308">
        <v>813.1160000000001</v>
      </c>
      <c r="J47" s="308">
        <v>11700.042000000001</v>
      </c>
      <c r="K47" s="308">
        <v>14161.958000000001</v>
      </c>
    </row>
    <row r="48" spans="1:11" x14ac:dyDescent="0.2">
      <c r="A48" s="395" t="s">
        <v>79</v>
      </c>
      <c r="B48" s="396">
        <v>311.64000000000004</v>
      </c>
      <c r="C48" s="396">
        <v>140.852</v>
      </c>
      <c r="D48" s="396">
        <v>2794.1759999999999</v>
      </c>
      <c r="E48" s="396">
        <v>3246.6679999999997</v>
      </c>
      <c r="G48" s="307" t="s">
        <v>79</v>
      </c>
      <c r="H48" s="308">
        <v>311.64000000000004</v>
      </c>
      <c r="I48" s="308">
        <v>140.852</v>
      </c>
      <c r="J48" s="308">
        <v>2794.1759999999999</v>
      </c>
      <c r="K48" s="308">
        <v>3246.6679999999997</v>
      </c>
    </row>
    <row r="49" spans="1:11" x14ac:dyDescent="0.2">
      <c r="A49" s="395" t="s">
        <v>80</v>
      </c>
      <c r="B49" s="396">
        <v>448.81200000000001</v>
      </c>
      <c r="C49" s="396">
        <v>136.136</v>
      </c>
      <c r="D49" s="396">
        <v>3875.8719999999998</v>
      </c>
      <c r="E49" s="396">
        <v>4460.82</v>
      </c>
      <c r="G49" s="307" t="s">
        <v>80</v>
      </c>
      <c r="H49" s="308">
        <v>448.81200000000001</v>
      </c>
      <c r="I49" s="308">
        <v>136.136</v>
      </c>
      <c r="J49" s="308">
        <v>3875.8719999999998</v>
      </c>
      <c r="K49" s="308">
        <v>4460.82</v>
      </c>
    </row>
    <row r="50" spans="1:11" x14ac:dyDescent="0.2">
      <c r="A50" s="395" t="s">
        <v>81</v>
      </c>
      <c r="B50" s="396">
        <v>162.547</v>
      </c>
      <c r="C50" s="396">
        <v>101.622</v>
      </c>
      <c r="D50" s="396">
        <v>1519.164</v>
      </c>
      <c r="E50" s="396">
        <v>1783.3330000000001</v>
      </c>
      <c r="G50" s="307" t="s">
        <v>81</v>
      </c>
      <c r="H50" s="308">
        <v>162.547</v>
      </c>
      <c r="I50" s="308">
        <v>101.622</v>
      </c>
      <c r="J50" s="308">
        <v>1519.164</v>
      </c>
      <c r="K50" s="308">
        <v>1783.3330000000001</v>
      </c>
    </row>
    <row r="51" spans="1:11" x14ac:dyDescent="0.2">
      <c r="A51" s="395" t="s">
        <v>82</v>
      </c>
      <c r="B51" s="396">
        <v>377.44899999999996</v>
      </c>
      <c r="C51" s="396">
        <v>238.66899999999998</v>
      </c>
      <c r="D51" s="396">
        <v>3205.0129999999999</v>
      </c>
      <c r="E51" s="396">
        <v>3821.1309999999999</v>
      </c>
      <c r="G51" s="307" t="s">
        <v>82</v>
      </c>
      <c r="H51" s="308">
        <v>377.44899999999996</v>
      </c>
      <c r="I51" s="308">
        <v>238.66899999999998</v>
      </c>
      <c r="J51" s="308">
        <v>3205.0129999999999</v>
      </c>
      <c r="K51" s="308">
        <v>3821.1309999999999</v>
      </c>
    </row>
    <row r="52" spans="1:11" x14ac:dyDescent="0.2">
      <c r="A52" s="395" t="s">
        <v>83</v>
      </c>
      <c r="B52" s="396">
        <v>72.930000000000007</v>
      </c>
      <c r="C52" s="396">
        <v>36.372999999999998</v>
      </c>
      <c r="D52" s="396">
        <v>891.01199999999994</v>
      </c>
      <c r="E52" s="396">
        <v>1000.3150000000001</v>
      </c>
      <c r="G52" s="307" t="s">
        <v>83</v>
      </c>
      <c r="H52" s="308">
        <v>72.930000000000007</v>
      </c>
      <c r="I52" s="308">
        <v>36.372999999999998</v>
      </c>
      <c r="J52" s="308">
        <v>891.01199999999994</v>
      </c>
      <c r="K52" s="308">
        <v>1000.3150000000001</v>
      </c>
    </row>
    <row r="53" spans="1:11" x14ac:dyDescent="0.2">
      <c r="A53" s="395" t="s">
        <v>84</v>
      </c>
      <c r="B53" s="396">
        <v>156.87</v>
      </c>
      <c r="C53" s="396">
        <v>63.195000000000007</v>
      </c>
      <c r="D53" s="396">
        <v>1386.0620000000001</v>
      </c>
      <c r="E53" s="396">
        <v>1606.127</v>
      </c>
      <c r="G53" s="307" t="s">
        <v>84</v>
      </c>
      <c r="H53" s="308">
        <v>156.87</v>
      </c>
      <c r="I53" s="308">
        <v>63.195000000000007</v>
      </c>
      <c r="J53" s="308">
        <v>1386.0620000000001</v>
      </c>
      <c r="K53" s="308">
        <v>1606.127</v>
      </c>
    </row>
    <row r="54" spans="1:11" x14ac:dyDescent="0.2">
      <c r="A54" s="395" t="s">
        <v>85</v>
      </c>
      <c r="B54" s="396">
        <v>367.03000000000003</v>
      </c>
      <c r="C54" s="396">
        <v>140.852</v>
      </c>
      <c r="D54" s="396">
        <v>2818.116</v>
      </c>
      <c r="E54" s="396">
        <v>3325.998</v>
      </c>
      <c r="G54" s="307" t="s">
        <v>85</v>
      </c>
      <c r="H54" s="308">
        <v>367.03000000000003</v>
      </c>
      <c r="I54" s="308">
        <v>140.852</v>
      </c>
      <c r="J54" s="308">
        <v>2818.116</v>
      </c>
      <c r="K54" s="308">
        <v>3325.998</v>
      </c>
    </row>
    <row r="55" spans="1:11" x14ac:dyDescent="0.2">
      <c r="A55" s="395" t="s">
        <v>86</v>
      </c>
      <c r="B55" s="396">
        <v>308.31</v>
      </c>
      <c r="C55" s="396">
        <v>132.20100000000002</v>
      </c>
      <c r="D55" s="396">
        <v>2753.52</v>
      </c>
      <c r="E55" s="396">
        <v>3194.0309999999999</v>
      </c>
      <c r="G55" s="307" t="s">
        <v>86</v>
      </c>
      <c r="H55" s="308">
        <v>308.31</v>
      </c>
      <c r="I55" s="308">
        <v>132.20100000000002</v>
      </c>
      <c r="J55" s="308">
        <v>2753.52</v>
      </c>
      <c r="K55" s="308">
        <v>3194.0309999999999</v>
      </c>
    </row>
    <row r="56" spans="1:11" x14ac:dyDescent="0.2">
      <c r="A56" s="395" t="s">
        <v>87</v>
      </c>
      <c r="B56" s="396">
        <v>153.971</v>
      </c>
      <c r="C56" s="396">
        <v>53.832000000000001</v>
      </c>
      <c r="D56" s="396">
        <v>1503.0820000000001</v>
      </c>
      <c r="E56" s="396">
        <v>1710.8850000000002</v>
      </c>
      <c r="G56" s="307" t="s">
        <v>87</v>
      </c>
      <c r="H56" s="308">
        <v>153.971</v>
      </c>
      <c r="I56" s="308">
        <v>53.832000000000001</v>
      </c>
      <c r="J56" s="308">
        <v>1503.0820000000001</v>
      </c>
      <c r="K56" s="308">
        <v>1710.8850000000002</v>
      </c>
    </row>
    <row r="57" spans="1:11" x14ac:dyDescent="0.2">
      <c r="A57" s="395" t="s">
        <v>88</v>
      </c>
      <c r="B57" s="396">
        <v>621.39600000000007</v>
      </c>
      <c r="C57" s="396">
        <v>392.02000000000004</v>
      </c>
      <c r="D57" s="396">
        <v>4789.067</v>
      </c>
      <c r="E57" s="396">
        <v>5802.4830000000002</v>
      </c>
      <c r="G57" s="307" t="s">
        <v>88</v>
      </c>
      <c r="H57" s="308">
        <v>621.39600000000007</v>
      </c>
      <c r="I57" s="308">
        <v>392.02000000000004</v>
      </c>
      <c r="J57" s="308">
        <v>4789.067</v>
      </c>
      <c r="K57" s="308">
        <v>5802.4830000000002</v>
      </c>
    </row>
    <row r="58" spans="1:11" x14ac:dyDescent="0.2">
      <c r="A58" s="395" t="s">
        <v>89</v>
      </c>
      <c r="B58" s="396">
        <v>175.86799999999999</v>
      </c>
      <c r="C58" s="396">
        <v>81.268000000000001</v>
      </c>
      <c r="D58" s="396">
        <v>1569.93</v>
      </c>
      <c r="E58" s="396">
        <v>1827.066</v>
      </c>
      <c r="G58" s="307" t="s">
        <v>89</v>
      </c>
      <c r="H58" s="308">
        <v>175.86799999999999</v>
      </c>
      <c r="I58" s="308">
        <v>81.268000000000001</v>
      </c>
      <c r="J58" s="308">
        <v>1569.93</v>
      </c>
      <c r="K58" s="308">
        <v>1827.066</v>
      </c>
    </row>
    <row r="59" spans="1:11" x14ac:dyDescent="0.2">
      <c r="A59" s="395" t="s">
        <v>90</v>
      </c>
      <c r="B59" s="396">
        <v>2738.2750000000001</v>
      </c>
      <c r="C59" s="396">
        <v>2779.81</v>
      </c>
      <c r="D59" s="396">
        <v>22372.240000000002</v>
      </c>
      <c r="E59" s="396">
        <v>27890.325000000004</v>
      </c>
      <c r="G59" s="307" t="s">
        <v>90</v>
      </c>
      <c r="H59" s="308">
        <v>2738.2750000000001</v>
      </c>
      <c r="I59" s="308">
        <v>2779.81</v>
      </c>
      <c r="J59" s="308">
        <v>22372.240000000002</v>
      </c>
      <c r="K59" s="308">
        <v>27890.325000000004</v>
      </c>
    </row>
    <row r="60" spans="1:11" x14ac:dyDescent="0.2">
      <c r="A60" s="395" t="s">
        <v>91</v>
      </c>
      <c r="B60" s="396">
        <v>54.809999999999995</v>
      </c>
      <c r="C60" s="396">
        <v>27.086000000000002</v>
      </c>
      <c r="D60" s="396">
        <v>674.04399999999998</v>
      </c>
      <c r="E60" s="396">
        <v>755.93999999999994</v>
      </c>
      <c r="G60" s="307" t="s">
        <v>91</v>
      </c>
      <c r="H60" s="308">
        <v>54.809999999999995</v>
      </c>
      <c r="I60" s="308">
        <v>27.086000000000002</v>
      </c>
      <c r="J60" s="308">
        <v>674.04399999999998</v>
      </c>
      <c r="K60" s="308">
        <v>755.93999999999994</v>
      </c>
    </row>
    <row r="61" spans="1:11" x14ac:dyDescent="0.2">
      <c r="A61" s="395" t="s">
        <v>92</v>
      </c>
      <c r="B61" s="396">
        <v>216.56799999999998</v>
      </c>
      <c r="C61" s="396">
        <v>71.466000000000008</v>
      </c>
      <c r="D61" s="396">
        <v>1560.26</v>
      </c>
      <c r="E61" s="396">
        <v>1848.2940000000001</v>
      </c>
      <c r="G61" s="307" t="s">
        <v>92</v>
      </c>
      <c r="H61" s="308">
        <v>216.56799999999998</v>
      </c>
      <c r="I61" s="308">
        <v>71.466000000000008</v>
      </c>
      <c r="J61" s="308">
        <v>1560.26</v>
      </c>
      <c r="K61" s="308">
        <v>1848.2940000000001</v>
      </c>
    </row>
    <row r="62" spans="1:11" x14ac:dyDescent="0.2">
      <c r="A62" s="307"/>
      <c r="B62" s="308"/>
      <c r="C62" s="308"/>
      <c r="D62" s="308"/>
      <c r="E62" s="308"/>
      <c r="G62" s="307"/>
      <c r="H62" s="308"/>
      <c r="I62" s="308"/>
      <c r="J62" s="308"/>
      <c r="K62" s="308"/>
    </row>
    <row r="63" spans="1:11" x14ac:dyDescent="0.2">
      <c r="A63" s="401" t="s">
        <v>18</v>
      </c>
      <c r="B63" s="402">
        <v>15292.871000000001</v>
      </c>
      <c r="C63" s="402">
        <v>6566.1810000000005</v>
      </c>
      <c r="D63" s="402">
        <v>108833.31599999999</v>
      </c>
      <c r="E63" s="402">
        <v>130692.368</v>
      </c>
      <c r="G63" s="309" t="s">
        <v>18</v>
      </c>
      <c r="H63" s="310">
        <v>15292.871000000001</v>
      </c>
      <c r="I63" s="310">
        <v>6566.1810000000005</v>
      </c>
      <c r="J63" s="310">
        <v>108833.31599999999</v>
      </c>
      <c r="K63" s="310">
        <v>130692.368</v>
      </c>
    </row>
    <row r="64" spans="1:11" x14ac:dyDescent="0.2">
      <c r="A64" s="395" t="s">
        <v>93</v>
      </c>
      <c r="B64" s="396">
        <v>571.72799999999995</v>
      </c>
      <c r="C64" s="396">
        <v>231.202</v>
      </c>
      <c r="D64" s="396">
        <v>4235.5479999999998</v>
      </c>
      <c r="E64" s="396">
        <v>5038.4780000000001</v>
      </c>
      <c r="G64" s="307" t="s">
        <v>93</v>
      </c>
      <c r="H64" s="308">
        <v>571.72799999999995</v>
      </c>
      <c r="I64" s="308">
        <v>231.202</v>
      </c>
      <c r="J64" s="308">
        <v>4235.5479999999998</v>
      </c>
      <c r="K64" s="308">
        <v>5038.4780000000001</v>
      </c>
    </row>
    <row r="65" spans="1:11" x14ac:dyDescent="0.2">
      <c r="A65" s="395" t="s">
        <v>94</v>
      </c>
      <c r="B65" s="396">
        <v>937.97500000000002</v>
      </c>
      <c r="C65" s="396">
        <v>389.58300000000003</v>
      </c>
      <c r="D65" s="396">
        <v>7306.9080000000004</v>
      </c>
      <c r="E65" s="396">
        <v>8634.4660000000003</v>
      </c>
      <c r="G65" s="307" t="s">
        <v>94</v>
      </c>
      <c r="H65" s="308">
        <v>937.97500000000002</v>
      </c>
      <c r="I65" s="308">
        <v>389.58300000000003</v>
      </c>
      <c r="J65" s="308">
        <v>7306.9080000000004</v>
      </c>
      <c r="K65" s="308">
        <v>8634.4660000000003</v>
      </c>
    </row>
    <row r="66" spans="1:11" x14ac:dyDescent="0.2">
      <c r="A66" s="395" t="s">
        <v>95</v>
      </c>
      <c r="B66" s="396">
        <v>1268</v>
      </c>
      <c r="C66" s="396">
        <v>492.952</v>
      </c>
      <c r="D66" s="396">
        <v>9021.3960000000006</v>
      </c>
      <c r="E66" s="396">
        <v>10782.348</v>
      </c>
      <c r="G66" s="307" t="s">
        <v>95</v>
      </c>
      <c r="H66" s="308">
        <v>1268</v>
      </c>
      <c r="I66" s="308">
        <v>492.952</v>
      </c>
      <c r="J66" s="308">
        <v>9021.3960000000006</v>
      </c>
      <c r="K66" s="308">
        <v>10782.348</v>
      </c>
    </row>
    <row r="67" spans="1:11" x14ac:dyDescent="0.2">
      <c r="A67" s="395" t="s">
        <v>96</v>
      </c>
      <c r="B67" s="396">
        <v>981.19999999999993</v>
      </c>
      <c r="C67" s="396">
        <v>424.83</v>
      </c>
      <c r="D67" s="396">
        <v>6951.2640000000001</v>
      </c>
      <c r="E67" s="396">
        <v>8357.2939999999999</v>
      </c>
      <c r="G67" s="307" t="s">
        <v>96</v>
      </c>
      <c r="H67" s="308">
        <v>981.19999999999993</v>
      </c>
      <c r="I67" s="308">
        <v>424.83</v>
      </c>
      <c r="J67" s="308">
        <v>6951.2640000000001</v>
      </c>
      <c r="K67" s="308">
        <v>8357.2939999999999</v>
      </c>
    </row>
    <row r="68" spans="1:11" x14ac:dyDescent="0.2">
      <c r="A68" s="395" t="s">
        <v>97</v>
      </c>
      <c r="B68" s="396">
        <v>400.90100000000001</v>
      </c>
      <c r="C68" s="396">
        <v>155.09500000000003</v>
      </c>
      <c r="D68" s="396">
        <v>3459.2400000000002</v>
      </c>
      <c r="E68" s="396">
        <v>4015.2359999999999</v>
      </c>
      <c r="G68" s="307" t="s">
        <v>97</v>
      </c>
      <c r="H68" s="308">
        <v>400.90100000000001</v>
      </c>
      <c r="I68" s="308">
        <v>155.09500000000003</v>
      </c>
      <c r="J68" s="308">
        <v>3459.2400000000002</v>
      </c>
      <c r="K68" s="308">
        <v>4015.2359999999999</v>
      </c>
    </row>
    <row r="69" spans="1:11" x14ac:dyDescent="0.2">
      <c r="A69" s="395" t="s">
        <v>98</v>
      </c>
      <c r="B69" s="396">
        <v>1010.853</v>
      </c>
      <c r="C69" s="396">
        <v>411.71600000000001</v>
      </c>
      <c r="D69" s="396">
        <v>6911.8389999999999</v>
      </c>
      <c r="E69" s="396">
        <v>8334.4079999999994</v>
      </c>
      <c r="G69" s="307" t="s">
        <v>98</v>
      </c>
      <c r="H69" s="308">
        <v>1010.853</v>
      </c>
      <c r="I69" s="308">
        <v>411.71600000000001</v>
      </c>
      <c r="J69" s="308">
        <v>6911.8389999999999</v>
      </c>
      <c r="K69" s="308">
        <v>8334.4079999999994</v>
      </c>
    </row>
    <row r="70" spans="1:11" x14ac:dyDescent="0.2">
      <c r="A70" s="395" t="s">
        <v>99</v>
      </c>
      <c r="B70" s="396">
        <v>1578.9599999999998</v>
      </c>
      <c r="C70" s="396">
        <v>599.74699999999996</v>
      </c>
      <c r="D70" s="396">
        <v>11313.377999999999</v>
      </c>
      <c r="E70" s="396">
        <v>13492.084999999997</v>
      </c>
      <c r="G70" s="307" t="s">
        <v>99</v>
      </c>
      <c r="H70" s="308">
        <v>1578.9599999999998</v>
      </c>
      <c r="I70" s="308">
        <v>599.74699999999996</v>
      </c>
      <c r="J70" s="308">
        <v>11313.377999999999</v>
      </c>
      <c r="K70" s="308">
        <v>13492.084999999997</v>
      </c>
    </row>
    <row r="71" spans="1:11" x14ac:dyDescent="0.2">
      <c r="A71" s="395" t="s">
        <v>100</v>
      </c>
      <c r="B71" s="396">
        <v>2850.232</v>
      </c>
      <c r="C71" s="396">
        <v>1502.1559999999999</v>
      </c>
      <c r="D71" s="396">
        <v>19182.588</v>
      </c>
      <c r="E71" s="396">
        <v>23534.975999999999</v>
      </c>
      <c r="G71" s="307" t="s">
        <v>100</v>
      </c>
      <c r="H71" s="308">
        <v>2850.232</v>
      </c>
      <c r="I71" s="308">
        <v>1502.1559999999999</v>
      </c>
      <c r="J71" s="308">
        <v>19182.588</v>
      </c>
      <c r="K71" s="308">
        <v>23534.975999999999</v>
      </c>
    </row>
    <row r="72" spans="1:11" x14ac:dyDescent="0.2">
      <c r="A72" s="395" t="s">
        <v>101</v>
      </c>
      <c r="B72" s="396">
        <v>1303.9680000000001</v>
      </c>
      <c r="C72" s="396">
        <v>572.21600000000001</v>
      </c>
      <c r="D72" s="396">
        <v>9309.56</v>
      </c>
      <c r="E72" s="396">
        <v>11185.744000000001</v>
      </c>
      <c r="G72" s="307" t="s">
        <v>101</v>
      </c>
      <c r="H72" s="308">
        <v>1303.9680000000001</v>
      </c>
      <c r="I72" s="308">
        <v>572.21600000000001</v>
      </c>
      <c r="J72" s="308">
        <v>9309.56</v>
      </c>
      <c r="K72" s="308">
        <v>11185.744000000001</v>
      </c>
    </row>
    <row r="73" spans="1:11" x14ac:dyDescent="0.2">
      <c r="A73" s="395" t="s">
        <v>102</v>
      </c>
      <c r="B73" s="396">
        <v>629.34</v>
      </c>
      <c r="C73" s="396">
        <v>257.33000000000004</v>
      </c>
      <c r="D73" s="396">
        <v>4447.415</v>
      </c>
      <c r="E73" s="396">
        <v>5334.085</v>
      </c>
      <c r="G73" s="307" t="s">
        <v>102</v>
      </c>
      <c r="H73" s="308">
        <v>629.34</v>
      </c>
      <c r="I73" s="308">
        <v>257.33000000000004</v>
      </c>
      <c r="J73" s="308">
        <v>4447.415</v>
      </c>
      <c r="K73" s="308">
        <v>5334.085</v>
      </c>
    </row>
    <row r="74" spans="1:11" x14ac:dyDescent="0.2">
      <c r="A74" s="395" t="s">
        <v>103</v>
      </c>
      <c r="B74" s="396">
        <v>2258.7839999999997</v>
      </c>
      <c r="C74" s="396">
        <v>958.80400000000009</v>
      </c>
      <c r="D74" s="396">
        <v>16363.756000000001</v>
      </c>
      <c r="E74" s="396">
        <v>19581.344000000001</v>
      </c>
      <c r="G74" s="307" t="s">
        <v>103</v>
      </c>
      <c r="H74" s="308">
        <v>2258.7839999999997</v>
      </c>
      <c r="I74" s="308">
        <v>958.80400000000009</v>
      </c>
      <c r="J74" s="308">
        <v>16363.756000000001</v>
      </c>
      <c r="K74" s="308">
        <v>19581.344000000001</v>
      </c>
    </row>
    <row r="75" spans="1:11" x14ac:dyDescent="0.2">
      <c r="A75" s="395" t="s">
        <v>104</v>
      </c>
      <c r="B75" s="396">
        <v>1500.9299999999998</v>
      </c>
      <c r="C75" s="396">
        <v>570.54999999999995</v>
      </c>
      <c r="D75" s="396">
        <v>10330.424000000001</v>
      </c>
      <c r="E75" s="396">
        <v>12401.904</v>
      </c>
      <c r="G75" s="307" t="s">
        <v>104</v>
      </c>
      <c r="H75" s="308">
        <v>1500.9299999999998</v>
      </c>
      <c r="I75" s="308">
        <v>570.54999999999995</v>
      </c>
      <c r="J75" s="308">
        <v>10330.424000000001</v>
      </c>
      <c r="K75" s="308">
        <v>12401.904</v>
      </c>
    </row>
    <row r="76" spans="1:11" x14ac:dyDescent="0.2">
      <c r="A76" s="307"/>
      <c r="B76" s="308"/>
      <c r="C76" s="308"/>
      <c r="D76" s="308"/>
      <c r="E76" s="308"/>
      <c r="G76" s="307"/>
      <c r="H76" s="308"/>
      <c r="I76" s="308"/>
      <c r="J76" s="308"/>
      <c r="K76" s="308"/>
    </row>
    <row r="77" spans="1:11" x14ac:dyDescent="0.2">
      <c r="A77" s="401" t="s">
        <v>19</v>
      </c>
      <c r="B77" s="402">
        <v>17455.418999999998</v>
      </c>
      <c r="C77" s="402">
        <v>6436.3029999999999</v>
      </c>
      <c r="D77" s="402">
        <v>129252.796</v>
      </c>
      <c r="E77" s="402">
        <v>153144.51799999998</v>
      </c>
      <c r="G77" s="309" t="s">
        <v>19</v>
      </c>
      <c r="H77" s="310">
        <v>17455.418999999998</v>
      </c>
      <c r="I77" s="310">
        <v>6436.3029999999999</v>
      </c>
      <c r="J77" s="310">
        <v>129252.796</v>
      </c>
      <c r="K77" s="310">
        <v>153144.51799999998</v>
      </c>
    </row>
    <row r="78" spans="1:11" x14ac:dyDescent="0.2">
      <c r="A78" s="395" t="s">
        <v>105</v>
      </c>
      <c r="B78" s="396">
        <v>17455.418999999998</v>
      </c>
      <c r="C78" s="396">
        <v>6436.3029999999999</v>
      </c>
      <c r="D78" s="396">
        <v>129252.796</v>
      </c>
      <c r="E78" s="396">
        <v>153144.51799999998</v>
      </c>
      <c r="G78" s="307" t="s">
        <v>105</v>
      </c>
      <c r="H78" s="308">
        <v>17455.418999999998</v>
      </c>
      <c r="I78" s="308">
        <v>6436.3029999999999</v>
      </c>
      <c r="J78" s="308">
        <v>129252.796</v>
      </c>
      <c r="K78" s="308">
        <v>153144.51799999998</v>
      </c>
    </row>
    <row r="79" spans="1:11" x14ac:dyDescent="0.2">
      <c r="A79" s="307"/>
      <c r="B79" s="308"/>
      <c r="C79" s="308"/>
      <c r="D79" s="308"/>
      <c r="E79" s="308"/>
      <c r="G79" s="307"/>
      <c r="H79" s="308"/>
      <c r="I79" s="308"/>
      <c r="J79" s="308"/>
      <c r="K79" s="308"/>
    </row>
    <row r="80" spans="1:11" x14ac:dyDescent="0.2">
      <c r="A80" s="401" t="s">
        <v>20</v>
      </c>
      <c r="B80" s="402">
        <v>14077.001</v>
      </c>
      <c r="C80" s="402">
        <v>5872.7889999999998</v>
      </c>
      <c r="D80" s="402">
        <v>100762.85500000003</v>
      </c>
      <c r="E80" s="402">
        <v>120712.645</v>
      </c>
      <c r="G80" s="309" t="s">
        <v>20</v>
      </c>
      <c r="H80" s="310">
        <v>14077.001</v>
      </c>
      <c r="I80" s="310">
        <v>5872.7889999999998</v>
      </c>
      <c r="J80" s="310">
        <v>100762.85500000003</v>
      </c>
      <c r="K80" s="310">
        <v>120712.645</v>
      </c>
    </row>
    <row r="81" spans="1:11" x14ac:dyDescent="0.2">
      <c r="A81" s="395" t="s">
        <v>106</v>
      </c>
      <c r="B81" s="396">
        <v>1312.48</v>
      </c>
      <c r="C81" s="396">
        <v>661.81700000000001</v>
      </c>
      <c r="D81" s="396">
        <v>9409.0920000000006</v>
      </c>
      <c r="E81" s="396">
        <v>11383.388999999999</v>
      </c>
      <c r="G81" s="307" t="s">
        <v>106</v>
      </c>
      <c r="H81" s="308">
        <v>1312.48</v>
      </c>
      <c r="I81" s="308">
        <v>661.81700000000001</v>
      </c>
      <c r="J81" s="308">
        <v>9409.0920000000006</v>
      </c>
      <c r="K81" s="308">
        <v>11383.388999999999</v>
      </c>
    </row>
    <row r="82" spans="1:11" x14ac:dyDescent="0.2">
      <c r="A82" s="395" t="s">
        <v>107</v>
      </c>
      <c r="B82" s="396">
        <v>2418.5059999999999</v>
      </c>
      <c r="C82" s="396">
        <v>914.154</v>
      </c>
      <c r="D82" s="396">
        <v>15659.174999999999</v>
      </c>
      <c r="E82" s="396">
        <v>18991.834999999999</v>
      </c>
      <c r="G82" s="307" t="s">
        <v>107</v>
      </c>
      <c r="H82" s="308">
        <v>2418.5059999999999</v>
      </c>
      <c r="I82" s="308">
        <v>914.154</v>
      </c>
      <c r="J82" s="308">
        <v>15659.174999999999</v>
      </c>
      <c r="K82" s="308">
        <v>18991.834999999999</v>
      </c>
    </row>
    <row r="83" spans="1:11" x14ac:dyDescent="0.2">
      <c r="A83" s="395" t="s">
        <v>108</v>
      </c>
      <c r="B83" s="396">
        <v>1469.953</v>
      </c>
      <c r="C83" s="396">
        <v>699.43700000000001</v>
      </c>
      <c r="D83" s="396">
        <v>10593.191000000001</v>
      </c>
      <c r="E83" s="396">
        <v>12762.581</v>
      </c>
      <c r="G83" s="307" t="s">
        <v>108</v>
      </c>
      <c r="H83" s="308">
        <v>1469.953</v>
      </c>
      <c r="I83" s="308">
        <v>699.43700000000001</v>
      </c>
      <c r="J83" s="308">
        <v>10593.191000000001</v>
      </c>
      <c r="K83" s="308">
        <v>12762.581</v>
      </c>
    </row>
    <row r="84" spans="1:11" x14ac:dyDescent="0.2">
      <c r="A84" s="395" t="s">
        <v>109</v>
      </c>
      <c r="B84" s="396">
        <v>3293.52</v>
      </c>
      <c r="C84" s="396">
        <v>1359.367</v>
      </c>
      <c r="D84" s="396">
        <v>24795.638000000003</v>
      </c>
      <c r="E84" s="396">
        <v>29448.525000000001</v>
      </c>
      <c r="G84" s="307" t="s">
        <v>109</v>
      </c>
      <c r="H84" s="308">
        <v>3293.52</v>
      </c>
      <c r="I84" s="308">
        <v>1359.367</v>
      </c>
      <c r="J84" s="308">
        <v>24795.638000000003</v>
      </c>
      <c r="K84" s="308">
        <v>29448.525000000001</v>
      </c>
    </row>
    <row r="85" spans="1:11" x14ac:dyDescent="0.2">
      <c r="A85" s="395" t="s">
        <v>110</v>
      </c>
      <c r="B85" s="396">
        <v>2628.3179999999998</v>
      </c>
      <c r="C85" s="396">
        <v>1021.128</v>
      </c>
      <c r="D85" s="396">
        <v>18214.905999999999</v>
      </c>
      <c r="E85" s="396">
        <v>21864.351999999999</v>
      </c>
      <c r="G85" s="307" t="s">
        <v>110</v>
      </c>
      <c r="H85" s="308">
        <v>2628.3179999999998</v>
      </c>
      <c r="I85" s="308">
        <v>1021.128</v>
      </c>
      <c r="J85" s="308">
        <v>18214.905999999999</v>
      </c>
      <c r="K85" s="308">
        <v>21864.351999999999</v>
      </c>
    </row>
    <row r="86" spans="1:11" x14ac:dyDescent="0.2">
      <c r="A86" s="395" t="s">
        <v>111</v>
      </c>
      <c r="B86" s="396">
        <v>1163.104</v>
      </c>
      <c r="C86" s="396">
        <v>479.58100000000002</v>
      </c>
      <c r="D86" s="396">
        <v>9505.4750000000004</v>
      </c>
      <c r="E86" s="396">
        <v>11148.16</v>
      </c>
      <c r="G86" s="307" t="s">
        <v>111</v>
      </c>
      <c r="H86" s="308">
        <v>1163.104</v>
      </c>
      <c r="I86" s="308">
        <v>479.58100000000002</v>
      </c>
      <c r="J86" s="308">
        <v>9505.4750000000004</v>
      </c>
      <c r="K86" s="308">
        <v>11148.16</v>
      </c>
    </row>
    <row r="87" spans="1:11" x14ac:dyDescent="0.2">
      <c r="A87" s="395" t="s">
        <v>112</v>
      </c>
      <c r="B87" s="396">
        <v>1190.5320000000002</v>
      </c>
      <c r="C87" s="396">
        <v>492.221</v>
      </c>
      <c r="D87" s="396">
        <v>8086.6530000000002</v>
      </c>
      <c r="E87" s="396">
        <v>9769.405999999999</v>
      </c>
      <c r="G87" s="307" t="s">
        <v>112</v>
      </c>
      <c r="H87" s="308">
        <v>1190.5320000000002</v>
      </c>
      <c r="I87" s="308">
        <v>492.221</v>
      </c>
      <c r="J87" s="308">
        <v>8086.6530000000002</v>
      </c>
      <c r="K87" s="308">
        <v>9769.405999999999</v>
      </c>
    </row>
    <row r="88" spans="1:11" x14ac:dyDescent="0.2">
      <c r="A88" s="395" t="s">
        <v>113</v>
      </c>
      <c r="B88" s="396">
        <v>600.58800000000008</v>
      </c>
      <c r="C88" s="396">
        <v>245.084</v>
      </c>
      <c r="D88" s="396">
        <v>4498.7249999999995</v>
      </c>
      <c r="E88" s="396">
        <v>5344.396999999999</v>
      </c>
      <c r="G88" s="307" t="s">
        <v>113</v>
      </c>
      <c r="H88" s="308">
        <v>600.58800000000008</v>
      </c>
      <c r="I88" s="308">
        <v>245.084</v>
      </c>
      <c r="J88" s="308">
        <v>4498.7249999999995</v>
      </c>
      <c r="K88" s="308">
        <v>5344.396999999999</v>
      </c>
    </row>
    <row r="89" spans="1:11" x14ac:dyDescent="0.2">
      <c r="A89" s="307"/>
      <c r="B89" s="308"/>
      <c r="C89" s="308"/>
      <c r="D89" s="308"/>
      <c r="E89" s="308"/>
      <c r="G89" s="307"/>
      <c r="H89" s="308"/>
      <c r="I89" s="308"/>
      <c r="J89" s="308"/>
      <c r="K89" s="308"/>
    </row>
    <row r="90" spans="1:11" x14ac:dyDescent="0.2">
      <c r="A90" s="401" t="s">
        <v>21</v>
      </c>
      <c r="B90" s="402">
        <v>18421.758999999998</v>
      </c>
      <c r="C90" s="402">
        <v>8691.0220000000008</v>
      </c>
      <c r="D90" s="402">
        <v>131873.81099999999</v>
      </c>
      <c r="E90" s="402">
        <v>158986.59200000003</v>
      </c>
      <c r="G90" s="309" t="s">
        <v>21</v>
      </c>
      <c r="H90" s="310">
        <v>18421.758999999998</v>
      </c>
      <c r="I90" s="310">
        <v>8691.0220000000008</v>
      </c>
      <c r="J90" s="310">
        <v>131873.81099999999</v>
      </c>
      <c r="K90" s="310">
        <v>158986.59200000003</v>
      </c>
    </row>
    <row r="91" spans="1:11" x14ac:dyDescent="0.2">
      <c r="A91" s="395" t="s">
        <v>114</v>
      </c>
      <c r="B91" s="396">
        <v>405.45000000000005</v>
      </c>
      <c r="C91" s="396">
        <v>205.38400000000001</v>
      </c>
      <c r="D91" s="396">
        <v>3658.116</v>
      </c>
      <c r="E91" s="396">
        <v>4268.95</v>
      </c>
      <c r="G91" s="307" t="s">
        <v>114</v>
      </c>
      <c r="H91" s="308">
        <v>405.45000000000005</v>
      </c>
      <c r="I91" s="308">
        <v>205.38400000000001</v>
      </c>
      <c r="J91" s="308">
        <v>3658.116</v>
      </c>
      <c r="K91" s="308">
        <v>4268.95</v>
      </c>
    </row>
    <row r="92" spans="1:11" x14ac:dyDescent="0.2">
      <c r="A92" s="395" t="s">
        <v>115</v>
      </c>
      <c r="B92" s="396">
        <v>8247.2100000000009</v>
      </c>
      <c r="C92" s="396">
        <v>4555.7110000000002</v>
      </c>
      <c r="D92" s="396">
        <v>60608.289000000004</v>
      </c>
      <c r="E92" s="396">
        <v>73411.210000000006</v>
      </c>
      <c r="G92" s="307" t="s">
        <v>115</v>
      </c>
      <c r="H92" s="308">
        <v>8247.2100000000009</v>
      </c>
      <c r="I92" s="308">
        <v>4555.7110000000002</v>
      </c>
      <c r="J92" s="308">
        <v>60608.289000000004</v>
      </c>
      <c r="K92" s="308">
        <v>73411.210000000006</v>
      </c>
    </row>
    <row r="93" spans="1:11" x14ac:dyDescent="0.2">
      <c r="A93" s="395" t="s">
        <v>116</v>
      </c>
      <c r="B93" s="396">
        <v>2437.7150000000001</v>
      </c>
      <c r="C93" s="396">
        <v>1046.6320000000001</v>
      </c>
      <c r="D93" s="396">
        <v>17107.442999999999</v>
      </c>
      <c r="E93" s="396">
        <v>20591.79</v>
      </c>
      <c r="G93" s="307" t="s">
        <v>116</v>
      </c>
      <c r="H93" s="308">
        <v>2437.7150000000001</v>
      </c>
      <c r="I93" s="308">
        <v>1046.6320000000001</v>
      </c>
      <c r="J93" s="308">
        <v>17107.442999999999</v>
      </c>
      <c r="K93" s="308">
        <v>20591.79</v>
      </c>
    </row>
    <row r="94" spans="1:11" x14ac:dyDescent="0.2">
      <c r="A94" s="395" t="s">
        <v>117</v>
      </c>
      <c r="B94" s="396">
        <v>1119.5359999999998</v>
      </c>
      <c r="C94" s="396">
        <v>406.06500000000005</v>
      </c>
      <c r="D94" s="396">
        <v>7916.4520000000002</v>
      </c>
      <c r="E94" s="396">
        <v>9442.0529999999999</v>
      </c>
      <c r="G94" s="307" t="s">
        <v>117</v>
      </c>
      <c r="H94" s="308">
        <v>1119.5359999999998</v>
      </c>
      <c r="I94" s="308">
        <v>406.06500000000005</v>
      </c>
      <c r="J94" s="308">
        <v>7916.4520000000002</v>
      </c>
      <c r="K94" s="308">
        <v>9442.0529999999999</v>
      </c>
    </row>
    <row r="95" spans="1:11" x14ac:dyDescent="0.2">
      <c r="A95" s="395" t="s">
        <v>118</v>
      </c>
      <c r="B95" s="396">
        <v>1185.6220000000001</v>
      </c>
      <c r="C95" s="396">
        <v>421.73399999999998</v>
      </c>
      <c r="D95" s="396">
        <v>7436.5560000000005</v>
      </c>
      <c r="E95" s="396">
        <v>9043.9120000000003</v>
      </c>
      <c r="G95" s="307" t="s">
        <v>118</v>
      </c>
      <c r="H95" s="308">
        <v>1185.6220000000001</v>
      </c>
      <c r="I95" s="308">
        <v>421.73399999999998</v>
      </c>
      <c r="J95" s="308">
        <v>7436.5560000000005</v>
      </c>
      <c r="K95" s="308">
        <v>9043.9120000000003</v>
      </c>
    </row>
    <row r="96" spans="1:11" x14ac:dyDescent="0.2">
      <c r="A96" s="395" t="s">
        <v>119</v>
      </c>
      <c r="B96" s="396">
        <v>521.26499999999999</v>
      </c>
      <c r="C96" s="396">
        <v>223.13</v>
      </c>
      <c r="D96" s="396">
        <v>3460.5</v>
      </c>
      <c r="E96" s="396">
        <v>4204.8950000000004</v>
      </c>
      <c r="G96" s="307" t="s">
        <v>119</v>
      </c>
      <c r="H96" s="308">
        <v>521.26499999999999</v>
      </c>
      <c r="I96" s="308">
        <v>223.13</v>
      </c>
      <c r="J96" s="308">
        <v>3460.5</v>
      </c>
      <c r="K96" s="308">
        <v>4204.8950000000004</v>
      </c>
    </row>
    <row r="97" spans="1:11" x14ac:dyDescent="0.2">
      <c r="A97" s="395" t="s">
        <v>120</v>
      </c>
      <c r="B97" s="396">
        <v>1321.04</v>
      </c>
      <c r="C97" s="396">
        <v>461.61500000000001</v>
      </c>
      <c r="D97" s="396">
        <v>9179.625</v>
      </c>
      <c r="E97" s="396">
        <v>10962.279999999999</v>
      </c>
      <c r="G97" s="307" t="s">
        <v>120</v>
      </c>
      <c r="H97" s="308">
        <v>1321.04</v>
      </c>
      <c r="I97" s="308">
        <v>461.61500000000001</v>
      </c>
      <c r="J97" s="308">
        <v>9179.625</v>
      </c>
      <c r="K97" s="308">
        <v>10962.279999999999</v>
      </c>
    </row>
    <row r="98" spans="1:11" x14ac:dyDescent="0.2">
      <c r="A98" s="395" t="s">
        <v>121</v>
      </c>
      <c r="B98" s="396">
        <v>2378.5309999999999</v>
      </c>
      <c r="C98" s="396">
        <v>981.35699999999997</v>
      </c>
      <c r="D98" s="396">
        <v>16600.489999999998</v>
      </c>
      <c r="E98" s="396">
        <v>19960.377999999997</v>
      </c>
      <c r="G98" s="307" t="s">
        <v>121</v>
      </c>
      <c r="H98" s="308">
        <v>2378.5309999999999</v>
      </c>
      <c r="I98" s="308">
        <v>981.35699999999997</v>
      </c>
      <c r="J98" s="308">
        <v>16600.489999999998</v>
      </c>
      <c r="K98" s="308">
        <v>19960.377999999997</v>
      </c>
    </row>
    <row r="99" spans="1:11" x14ac:dyDescent="0.2">
      <c r="A99" s="395" t="s">
        <v>122</v>
      </c>
      <c r="B99" s="396">
        <v>805.39</v>
      </c>
      <c r="C99" s="396">
        <v>389.39400000000001</v>
      </c>
      <c r="D99" s="396">
        <v>5906.34</v>
      </c>
      <c r="E99" s="396">
        <v>7101.1240000000007</v>
      </c>
      <c r="G99" s="307" t="s">
        <v>122</v>
      </c>
      <c r="H99" s="308">
        <v>805.39</v>
      </c>
      <c r="I99" s="308">
        <v>389.39400000000001</v>
      </c>
      <c r="J99" s="308">
        <v>5906.34</v>
      </c>
      <c r="K99" s="308">
        <v>7101.1240000000007</v>
      </c>
    </row>
    <row r="100" spans="1:11" x14ac:dyDescent="0.2">
      <c r="A100" s="307"/>
      <c r="B100" s="308"/>
      <c r="C100" s="308"/>
      <c r="D100" s="308"/>
      <c r="E100" s="308"/>
      <c r="G100" s="307"/>
      <c r="H100" s="308"/>
      <c r="I100" s="308"/>
      <c r="J100" s="308"/>
      <c r="K100" s="308"/>
    </row>
    <row r="101" spans="1:11" x14ac:dyDescent="0.2">
      <c r="A101" s="401" t="s">
        <v>292</v>
      </c>
      <c r="B101" s="402">
        <v>7008.7340000000013</v>
      </c>
      <c r="C101" s="402">
        <v>4694.6120000000001</v>
      </c>
      <c r="D101" s="402">
        <v>58929.74700000001</v>
      </c>
      <c r="E101" s="402">
        <v>70633.092999999993</v>
      </c>
      <c r="G101" s="309" t="s">
        <v>292</v>
      </c>
      <c r="H101" s="310">
        <v>14034.249999999998</v>
      </c>
      <c r="I101" s="310">
        <v>7480.0990000000002</v>
      </c>
      <c r="J101" s="310">
        <v>116417.99599999998</v>
      </c>
      <c r="K101" s="310">
        <v>137932.345</v>
      </c>
    </row>
    <row r="102" spans="1:11" x14ac:dyDescent="0.2">
      <c r="A102" s="395" t="s">
        <v>123</v>
      </c>
      <c r="B102" s="396">
        <v>520.75199999999995</v>
      </c>
      <c r="C102" s="396">
        <v>206.55</v>
      </c>
      <c r="D102" s="396">
        <v>4199.91</v>
      </c>
      <c r="E102" s="396">
        <v>4927.2119999999995</v>
      </c>
      <c r="G102" s="307" t="s">
        <v>123</v>
      </c>
      <c r="H102" s="308">
        <v>520.75199999999995</v>
      </c>
      <c r="I102" s="308">
        <v>206.55</v>
      </c>
      <c r="J102" s="308">
        <v>4199.91</v>
      </c>
      <c r="K102" s="308">
        <v>4927.2119999999995</v>
      </c>
    </row>
    <row r="103" spans="1:11" x14ac:dyDescent="0.2">
      <c r="A103" s="395" t="s">
        <v>124</v>
      </c>
      <c r="B103" s="396">
        <v>154.42499999999998</v>
      </c>
      <c r="C103" s="396">
        <v>67.643999999999991</v>
      </c>
      <c r="D103" s="396">
        <v>1278.288</v>
      </c>
      <c r="E103" s="396">
        <v>1500.357</v>
      </c>
      <c r="G103" s="307" t="s">
        <v>124</v>
      </c>
      <c r="H103" s="308">
        <v>154.42499999999998</v>
      </c>
      <c r="I103" s="308">
        <v>67.643999999999991</v>
      </c>
      <c r="J103" s="308">
        <v>1278.288</v>
      </c>
      <c r="K103" s="308">
        <v>1500.357</v>
      </c>
    </row>
    <row r="104" spans="1:11" x14ac:dyDescent="0.2">
      <c r="A104" s="395" t="s">
        <v>125</v>
      </c>
      <c r="B104" s="396">
        <v>341.16399999999999</v>
      </c>
      <c r="C104" s="396">
        <v>130.14500000000001</v>
      </c>
      <c r="D104" s="396">
        <v>3010.357</v>
      </c>
      <c r="E104" s="396">
        <v>3481.6660000000002</v>
      </c>
      <c r="G104" s="307" t="s">
        <v>125</v>
      </c>
      <c r="H104" s="308">
        <v>341.16399999999999</v>
      </c>
      <c r="I104" s="308">
        <v>130.14500000000001</v>
      </c>
      <c r="J104" s="308">
        <v>3010.357</v>
      </c>
      <c r="K104" s="308">
        <v>3481.6660000000002</v>
      </c>
    </row>
    <row r="105" spans="1:11" x14ac:dyDescent="0.2">
      <c r="A105" s="395" t="s">
        <v>126</v>
      </c>
      <c r="B105" s="396">
        <v>201.63800000000001</v>
      </c>
      <c r="C105" s="396">
        <v>111.233</v>
      </c>
      <c r="D105" s="396">
        <v>2289.9829999999997</v>
      </c>
      <c r="E105" s="396">
        <v>2602.8539999999998</v>
      </c>
      <c r="G105" s="307" t="s">
        <v>126</v>
      </c>
      <c r="H105" s="308">
        <v>201.63800000000001</v>
      </c>
      <c r="I105" s="308">
        <v>111.233</v>
      </c>
      <c r="J105" s="308">
        <v>2289.9829999999997</v>
      </c>
      <c r="K105" s="308">
        <v>2602.8539999999998</v>
      </c>
    </row>
    <row r="106" spans="1:11" x14ac:dyDescent="0.2">
      <c r="A106" s="395" t="s">
        <v>128</v>
      </c>
      <c r="B106" s="396">
        <v>1169.4759999999999</v>
      </c>
      <c r="C106" s="396">
        <v>521.351</v>
      </c>
      <c r="D106" s="396">
        <v>8792.7780000000002</v>
      </c>
      <c r="E106" s="396">
        <v>10483.605000000001</v>
      </c>
      <c r="G106" s="307" t="s">
        <v>127</v>
      </c>
      <c r="H106" s="308">
        <v>3189.5709999999999</v>
      </c>
      <c r="I106" s="308">
        <v>1305.9829999999999</v>
      </c>
      <c r="J106" s="308">
        <v>27246.244999999999</v>
      </c>
      <c r="K106" s="308">
        <v>31741.798999999999</v>
      </c>
    </row>
    <row r="107" spans="1:11" x14ac:dyDescent="0.2">
      <c r="A107" s="395" t="s">
        <v>129</v>
      </c>
      <c r="B107" s="396">
        <v>340.56900000000002</v>
      </c>
      <c r="C107" s="396">
        <v>117.17499999999998</v>
      </c>
      <c r="D107" s="396">
        <v>2441.0239999999999</v>
      </c>
      <c r="E107" s="396">
        <v>2898.768</v>
      </c>
      <c r="G107" s="307" t="s">
        <v>128</v>
      </c>
      <c r="H107" s="308">
        <v>1169.4759999999999</v>
      </c>
      <c r="I107" s="308">
        <v>521.351</v>
      </c>
      <c r="J107" s="308">
        <v>8792.7780000000002</v>
      </c>
      <c r="K107" s="308">
        <v>10483.605000000001</v>
      </c>
    </row>
    <row r="108" spans="1:11" x14ac:dyDescent="0.2">
      <c r="A108" s="395" t="s">
        <v>130</v>
      </c>
      <c r="B108" s="396">
        <v>125.324</v>
      </c>
      <c r="C108" s="396">
        <v>45.602000000000004</v>
      </c>
      <c r="D108" s="396">
        <v>1035.98</v>
      </c>
      <c r="E108" s="396">
        <v>1206.9060000000002</v>
      </c>
      <c r="G108" s="307" t="s">
        <v>129</v>
      </c>
      <c r="H108" s="308">
        <v>340.56900000000002</v>
      </c>
      <c r="I108" s="308">
        <v>117.17499999999998</v>
      </c>
      <c r="J108" s="308">
        <v>2441.0239999999999</v>
      </c>
      <c r="K108" s="308">
        <v>2898.768</v>
      </c>
    </row>
    <row r="109" spans="1:11" x14ac:dyDescent="0.2">
      <c r="A109" s="395" t="s">
        <v>131</v>
      </c>
      <c r="B109" s="396">
        <v>127.664</v>
      </c>
      <c r="C109" s="396">
        <v>51.325999999999993</v>
      </c>
      <c r="D109" s="396">
        <v>984.3</v>
      </c>
      <c r="E109" s="396">
        <v>1163.29</v>
      </c>
      <c r="G109" s="307" t="s">
        <v>130</v>
      </c>
      <c r="H109" s="308">
        <v>125.324</v>
      </c>
      <c r="I109" s="308">
        <v>45.602000000000004</v>
      </c>
      <c r="J109" s="308">
        <v>1035.98</v>
      </c>
      <c r="K109" s="308">
        <v>1206.9060000000002</v>
      </c>
    </row>
    <row r="110" spans="1:11" x14ac:dyDescent="0.2">
      <c r="A110" s="395" t="s">
        <v>132</v>
      </c>
      <c r="B110" s="396">
        <v>704.99799999999993</v>
      </c>
      <c r="C110" s="396">
        <v>283.02599999999995</v>
      </c>
      <c r="D110" s="396">
        <v>5903.28</v>
      </c>
      <c r="E110" s="396">
        <v>6891.3039999999992</v>
      </c>
      <c r="G110" s="307" t="s">
        <v>131</v>
      </c>
      <c r="H110" s="308">
        <v>127.664</v>
      </c>
      <c r="I110" s="308">
        <v>51.325999999999993</v>
      </c>
      <c r="J110" s="308">
        <v>984.3</v>
      </c>
      <c r="K110" s="308">
        <v>1163.29</v>
      </c>
    </row>
    <row r="111" spans="1:11" x14ac:dyDescent="0.2">
      <c r="A111" s="395" t="s">
        <v>134</v>
      </c>
      <c r="B111" s="396">
        <v>502.399</v>
      </c>
      <c r="C111" s="396">
        <v>678.75499999999988</v>
      </c>
      <c r="D111" s="396">
        <v>4722.3440000000001</v>
      </c>
      <c r="E111" s="396">
        <v>5903.4980000000005</v>
      </c>
      <c r="G111" s="307" t="s">
        <v>132</v>
      </c>
      <c r="H111" s="308">
        <v>704.99799999999993</v>
      </c>
      <c r="I111" s="308">
        <v>283.02599999999995</v>
      </c>
      <c r="J111" s="308">
        <v>5903.28</v>
      </c>
      <c r="K111" s="308">
        <v>6891.3039999999992</v>
      </c>
    </row>
    <row r="112" spans="1:11" x14ac:dyDescent="0.2">
      <c r="A112" s="395" t="s">
        <v>135</v>
      </c>
      <c r="B112" s="396">
        <v>442.584</v>
      </c>
      <c r="C112" s="396">
        <v>168.33599999999998</v>
      </c>
      <c r="D112" s="396">
        <v>3454.23</v>
      </c>
      <c r="E112" s="396">
        <v>4065.1499999999996</v>
      </c>
      <c r="G112" s="307" t="s">
        <v>133</v>
      </c>
      <c r="H112" s="308">
        <v>1531.8420000000001</v>
      </c>
      <c r="I112" s="308">
        <v>483.28200000000004</v>
      </c>
      <c r="J112" s="308">
        <v>11487.2</v>
      </c>
      <c r="K112" s="308">
        <v>13502.324000000001</v>
      </c>
    </row>
    <row r="113" spans="1:11" x14ac:dyDescent="0.2">
      <c r="A113" s="395" t="s">
        <v>137</v>
      </c>
      <c r="B113" s="396">
        <v>636.40200000000004</v>
      </c>
      <c r="C113" s="396">
        <v>230.71200000000002</v>
      </c>
      <c r="D113" s="396">
        <v>4923.6390000000001</v>
      </c>
      <c r="E113" s="396">
        <v>5790.7530000000006</v>
      </c>
      <c r="G113" s="307" t="s">
        <v>134</v>
      </c>
      <c r="H113" s="308">
        <v>502.399</v>
      </c>
      <c r="I113" s="308">
        <v>678.75499999999988</v>
      </c>
      <c r="J113" s="308">
        <v>4722.3440000000001</v>
      </c>
      <c r="K113" s="308">
        <v>5903.4980000000005</v>
      </c>
    </row>
    <row r="114" spans="1:11" x14ac:dyDescent="0.2">
      <c r="A114" s="395" t="s">
        <v>141</v>
      </c>
      <c r="B114" s="396">
        <v>265.92599999999999</v>
      </c>
      <c r="C114" s="396">
        <v>87.23599999999999</v>
      </c>
      <c r="D114" s="396">
        <v>1772.1220000000001</v>
      </c>
      <c r="E114" s="396">
        <v>2125.2840000000001</v>
      </c>
      <c r="G114" s="307" t="s">
        <v>135</v>
      </c>
      <c r="H114" s="308">
        <v>442.584</v>
      </c>
      <c r="I114" s="308">
        <v>168.33599999999998</v>
      </c>
      <c r="J114" s="308">
        <v>3454.23</v>
      </c>
      <c r="K114" s="308">
        <v>4065.1499999999996</v>
      </c>
    </row>
    <row r="115" spans="1:11" x14ac:dyDescent="0.2">
      <c r="A115" s="395" t="s">
        <v>143</v>
      </c>
      <c r="B115" s="396">
        <v>480.57300000000004</v>
      </c>
      <c r="C115" s="396">
        <v>1620.4079999999999</v>
      </c>
      <c r="D115" s="396">
        <v>6551.3360000000002</v>
      </c>
      <c r="E115" s="396">
        <v>8652.3170000000009</v>
      </c>
      <c r="G115" s="307" t="s">
        <v>136</v>
      </c>
      <c r="H115" s="308">
        <v>262.72499999999997</v>
      </c>
      <c r="I115" s="308">
        <v>178.59</v>
      </c>
      <c r="J115" s="308">
        <v>2317.8240000000001</v>
      </c>
      <c r="K115" s="308">
        <v>2759.1390000000001</v>
      </c>
    </row>
    <row r="116" spans="1:11" x14ac:dyDescent="0.2">
      <c r="A116" s="395" t="s">
        <v>144</v>
      </c>
      <c r="B116" s="396">
        <v>994.84</v>
      </c>
      <c r="C116" s="396">
        <v>375.113</v>
      </c>
      <c r="D116" s="396">
        <v>7570.1760000000004</v>
      </c>
      <c r="E116" s="396">
        <v>8940.1290000000008</v>
      </c>
      <c r="G116" s="307" t="s">
        <v>137</v>
      </c>
      <c r="H116" s="308">
        <v>636.40200000000004</v>
      </c>
      <c r="I116" s="308">
        <v>230.71200000000002</v>
      </c>
      <c r="J116" s="308">
        <v>4923.6390000000001</v>
      </c>
      <c r="K116" s="308">
        <v>5790.7530000000006</v>
      </c>
    </row>
    <row r="117" spans="1:11" x14ac:dyDescent="0.2">
      <c r="A117" s="307"/>
      <c r="B117" s="308"/>
      <c r="C117" s="308"/>
      <c r="D117" s="308"/>
      <c r="E117" s="308"/>
      <c r="G117" s="307" t="s">
        <v>138</v>
      </c>
      <c r="H117" s="308">
        <v>184.29999999999998</v>
      </c>
      <c r="I117" s="308">
        <v>68.445999999999998</v>
      </c>
      <c r="J117" s="308">
        <v>1612.6880000000001</v>
      </c>
      <c r="K117" s="308">
        <v>1865.434</v>
      </c>
    </row>
    <row r="118" spans="1:11" x14ac:dyDescent="0.2">
      <c r="A118" s="401" t="s">
        <v>22</v>
      </c>
      <c r="B118" s="402">
        <v>7025.5159999999996</v>
      </c>
      <c r="C118" s="402">
        <v>2785.4870000000001</v>
      </c>
      <c r="D118" s="402">
        <v>57488.249000000003</v>
      </c>
      <c r="E118" s="402">
        <v>67299.252000000008</v>
      </c>
      <c r="G118" s="307" t="s">
        <v>139</v>
      </c>
      <c r="H118" s="308">
        <v>252.08</v>
      </c>
      <c r="I118" s="308">
        <v>91.171999999999997</v>
      </c>
      <c r="J118" s="308">
        <v>1977.7380000000001</v>
      </c>
      <c r="K118" s="308">
        <v>2320.9899999999998</v>
      </c>
    </row>
    <row r="119" spans="1:11" x14ac:dyDescent="0.2">
      <c r="A119" s="395" t="s">
        <v>127</v>
      </c>
      <c r="B119" s="396">
        <v>3189.5709999999999</v>
      </c>
      <c r="C119" s="396">
        <v>1305.9829999999999</v>
      </c>
      <c r="D119" s="396">
        <v>27246.244999999999</v>
      </c>
      <c r="E119" s="396">
        <v>31741.798999999999</v>
      </c>
      <c r="G119" s="307" t="s">
        <v>140</v>
      </c>
      <c r="H119" s="308">
        <v>998.79700000000003</v>
      </c>
      <c r="I119" s="308">
        <v>387.10599999999999</v>
      </c>
      <c r="J119" s="308">
        <v>7786.4940000000006</v>
      </c>
      <c r="K119" s="308">
        <v>9172.3970000000008</v>
      </c>
    </row>
    <row r="120" spans="1:11" x14ac:dyDescent="0.2">
      <c r="A120" s="395" t="s">
        <v>133</v>
      </c>
      <c r="B120" s="396">
        <v>1531.8420000000001</v>
      </c>
      <c r="C120" s="396">
        <v>483.28200000000004</v>
      </c>
      <c r="D120" s="396">
        <v>11487.2</v>
      </c>
      <c r="E120" s="396">
        <v>13502.324000000001</v>
      </c>
      <c r="G120" s="307" t="s">
        <v>141</v>
      </c>
      <c r="H120" s="308">
        <v>265.92599999999999</v>
      </c>
      <c r="I120" s="308">
        <v>87.23599999999999</v>
      </c>
      <c r="J120" s="308">
        <v>1772.1220000000001</v>
      </c>
      <c r="K120" s="308">
        <v>2125.2840000000001</v>
      </c>
    </row>
    <row r="121" spans="1:11" x14ac:dyDescent="0.2">
      <c r="A121" s="395" t="s">
        <v>136</v>
      </c>
      <c r="B121" s="396">
        <v>262.72499999999997</v>
      </c>
      <c r="C121" s="396">
        <v>178.59</v>
      </c>
      <c r="D121" s="396">
        <v>2317.8240000000001</v>
      </c>
      <c r="E121" s="396">
        <v>2759.1390000000001</v>
      </c>
      <c r="G121" s="307" t="s">
        <v>142</v>
      </c>
      <c r="H121" s="308">
        <v>375.83699999999999</v>
      </c>
      <c r="I121" s="308">
        <v>180.108</v>
      </c>
      <c r="J121" s="308">
        <v>3093.94</v>
      </c>
      <c r="K121" s="308">
        <v>3649.8850000000002</v>
      </c>
    </row>
    <row r="122" spans="1:11" x14ac:dyDescent="0.2">
      <c r="A122" s="395" t="s">
        <v>138</v>
      </c>
      <c r="B122" s="396">
        <v>184.29999999999998</v>
      </c>
      <c r="C122" s="396">
        <v>68.445999999999998</v>
      </c>
      <c r="D122" s="396">
        <v>1612.6880000000001</v>
      </c>
      <c r="E122" s="396">
        <v>1865.434</v>
      </c>
      <c r="G122" s="307" t="s">
        <v>143</v>
      </c>
      <c r="H122" s="308">
        <v>480.57300000000004</v>
      </c>
      <c r="I122" s="308">
        <v>1620.4079999999999</v>
      </c>
      <c r="J122" s="308">
        <v>6551.3360000000002</v>
      </c>
      <c r="K122" s="308">
        <v>8652.3170000000009</v>
      </c>
    </row>
    <row r="123" spans="1:11" x14ac:dyDescent="0.2">
      <c r="A123" s="395" t="s">
        <v>139</v>
      </c>
      <c r="B123" s="396">
        <v>252.08</v>
      </c>
      <c r="C123" s="396">
        <v>91.171999999999997</v>
      </c>
      <c r="D123" s="396">
        <v>1977.7380000000001</v>
      </c>
      <c r="E123" s="396">
        <v>2320.9899999999998</v>
      </c>
      <c r="G123" s="307" t="s">
        <v>144</v>
      </c>
      <c r="H123" s="308">
        <v>994.84</v>
      </c>
      <c r="I123" s="308">
        <v>375.113</v>
      </c>
      <c r="J123" s="308">
        <v>7570.1760000000004</v>
      </c>
      <c r="K123" s="308">
        <v>8940.1290000000008</v>
      </c>
    </row>
    <row r="124" spans="1:11" x14ac:dyDescent="0.2">
      <c r="A124" s="395" t="s">
        <v>140</v>
      </c>
      <c r="B124" s="396">
        <v>998.79700000000003</v>
      </c>
      <c r="C124" s="396">
        <v>387.10599999999999</v>
      </c>
      <c r="D124" s="396">
        <v>7786.4940000000006</v>
      </c>
      <c r="E124" s="396">
        <v>9172.3970000000008</v>
      </c>
      <c r="G124" s="307" t="s">
        <v>145</v>
      </c>
      <c r="H124" s="308">
        <v>230.364</v>
      </c>
      <c r="I124" s="308">
        <v>90.800000000000011</v>
      </c>
      <c r="J124" s="308">
        <v>1966.1200000000001</v>
      </c>
      <c r="K124" s="308">
        <v>2287.2840000000001</v>
      </c>
    </row>
    <row r="125" spans="1:11" x14ac:dyDescent="0.2">
      <c r="A125" s="395" t="s">
        <v>142</v>
      </c>
      <c r="B125" s="396">
        <v>375.83699999999999</v>
      </c>
      <c r="C125" s="396">
        <v>180.108</v>
      </c>
      <c r="D125" s="396">
        <v>3093.94</v>
      </c>
      <c r="E125" s="396">
        <v>3649.8850000000002</v>
      </c>
      <c r="G125" s="307"/>
      <c r="H125" s="308"/>
      <c r="I125" s="308"/>
      <c r="J125" s="308"/>
      <c r="K125" s="308"/>
    </row>
    <row r="126" spans="1:11" x14ac:dyDescent="0.2">
      <c r="A126" s="395" t="s">
        <v>145</v>
      </c>
      <c r="B126" s="396">
        <v>230.364</v>
      </c>
      <c r="C126" s="396">
        <v>90.800000000000011</v>
      </c>
      <c r="D126" s="396">
        <v>1966.1200000000001</v>
      </c>
      <c r="E126" s="396">
        <v>2287.2840000000001</v>
      </c>
      <c r="G126" s="309" t="s">
        <v>298</v>
      </c>
      <c r="H126" s="310">
        <v>161025.07799999992</v>
      </c>
      <c r="I126" s="310">
        <v>74090.549999999988</v>
      </c>
      <c r="J126" s="310">
        <v>1199611.8020000004</v>
      </c>
      <c r="K126" s="310">
        <v>1434727.4299999995</v>
      </c>
    </row>
    <row r="127" spans="1:11" x14ac:dyDescent="0.2">
      <c r="A127" s="307"/>
      <c r="B127" s="308"/>
      <c r="C127" s="308"/>
      <c r="D127" s="308"/>
      <c r="E127" s="308"/>
      <c r="G127"/>
      <c r="H127"/>
      <c r="I127"/>
      <c r="J127"/>
      <c r="K127"/>
    </row>
    <row r="128" spans="1:11" x14ac:dyDescent="0.2">
      <c r="A128" s="403" t="s">
        <v>298</v>
      </c>
      <c r="B128" s="404">
        <v>161025.07799999992</v>
      </c>
      <c r="C128" s="404">
        <v>74090.549999999988</v>
      </c>
      <c r="D128" s="404">
        <v>1199611.8020000004</v>
      </c>
      <c r="E128" s="404">
        <v>1434727.4299999995</v>
      </c>
      <c r="G128"/>
      <c r="H128"/>
      <c r="I128"/>
      <c r="J128"/>
      <c r="K128"/>
    </row>
  </sheetData>
  <sheetProtection sheet="1" objects="1" scenarios="1"/>
  <pageMargins left="0.3" right="0.3" top="0.5" bottom="0.5" header="0.3" footer="0.3"/>
  <pageSetup scale="80" fitToHeight="2" orientation="portrait"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sheetPr>
  <dimension ref="A1:V111"/>
  <sheetViews>
    <sheetView showGridLines="0" zoomScale="80" zoomScaleNormal="80" workbookViewId="0">
      <pane xSplit="1" ySplit="5" topLeftCell="B6" activePane="bottomRight" state="frozen"/>
      <selection activeCell="B6" sqref="B6"/>
      <selection pane="topRight" activeCell="B6" sqref="B6"/>
      <selection pane="bottomLeft" activeCell="B6" sqref="B6"/>
      <selection pane="bottomRight" activeCell="B12" sqref="B12"/>
    </sheetView>
  </sheetViews>
  <sheetFormatPr defaultRowHeight="14.25" x14ac:dyDescent="0.2"/>
  <cols>
    <col min="1" max="1" width="21.5703125" style="247" customWidth="1"/>
    <col min="2" max="2" width="43.5703125" style="246" customWidth="1"/>
    <col min="3" max="3" width="12.42578125" style="289" customWidth="1"/>
    <col min="4" max="11" width="15.5703125" style="246" customWidth="1"/>
    <col min="12" max="16" width="16.42578125" style="246" customWidth="1"/>
    <col min="17" max="18" width="16.42578125" style="246" hidden="1" customWidth="1"/>
    <col min="19" max="20" width="16.42578125" style="246" customWidth="1"/>
    <col min="21" max="21" width="16.42578125" style="246" hidden="1" customWidth="1"/>
    <col min="22" max="22" width="16.42578125" style="246" customWidth="1"/>
    <col min="23" max="16384" width="9.140625" style="246"/>
  </cols>
  <sheetData>
    <row r="1" spans="1:22" ht="20.100000000000001" customHeight="1" x14ac:dyDescent="0.2">
      <c r="A1" s="388" t="s">
        <v>422</v>
      </c>
      <c r="B1" s="389"/>
      <c r="C1" s="389"/>
      <c r="D1" s="389"/>
      <c r="E1" s="389"/>
      <c r="F1" s="389"/>
      <c r="G1" s="389"/>
      <c r="H1" s="389"/>
      <c r="I1" s="389"/>
      <c r="J1" s="389"/>
      <c r="K1" s="389"/>
      <c r="L1" s="389"/>
      <c r="M1" s="389"/>
      <c r="N1" s="389"/>
      <c r="O1" s="389"/>
      <c r="P1" s="389"/>
      <c r="Q1" s="389"/>
      <c r="R1" s="389"/>
      <c r="S1" s="389"/>
      <c r="T1" s="389"/>
      <c r="U1" s="389"/>
      <c r="V1" s="389"/>
    </row>
    <row r="2" spans="1:22" ht="24.95" customHeight="1" x14ac:dyDescent="0.2">
      <c r="A2" s="244" t="s">
        <v>451</v>
      </c>
      <c r="B2" s="245"/>
      <c r="C2" s="245"/>
      <c r="D2" s="245"/>
      <c r="E2" s="245"/>
      <c r="F2" s="245"/>
      <c r="G2" s="245"/>
      <c r="H2" s="245"/>
      <c r="I2" s="245"/>
      <c r="J2" s="245"/>
      <c r="K2" s="245"/>
      <c r="L2" s="245"/>
      <c r="M2" s="245"/>
      <c r="N2" s="245"/>
      <c r="O2" s="245"/>
      <c r="P2" s="245"/>
      <c r="Q2" s="304"/>
      <c r="R2" s="305"/>
      <c r="S2" s="244"/>
      <c r="T2" s="244"/>
      <c r="U2" s="305"/>
      <c r="V2" s="245"/>
    </row>
    <row r="3" spans="1:22" s="302" customFormat="1" ht="24.95" customHeight="1" thickBot="1" x14ac:dyDescent="0.25">
      <c r="A3" s="302">
        <v>1</v>
      </c>
      <c r="B3" s="302">
        <v>2</v>
      </c>
      <c r="C3" s="302">
        <v>3</v>
      </c>
      <c r="D3" s="302">
        <v>4</v>
      </c>
      <c r="E3" s="302">
        <v>5</v>
      </c>
      <c r="F3" s="302">
        <v>6</v>
      </c>
      <c r="G3" s="302">
        <v>7</v>
      </c>
      <c r="H3" s="302">
        <v>8</v>
      </c>
      <c r="I3" s="302">
        <v>9</v>
      </c>
      <c r="J3" s="302">
        <v>10</v>
      </c>
      <c r="K3" s="302">
        <v>11</v>
      </c>
      <c r="L3" s="302">
        <v>12</v>
      </c>
      <c r="M3" s="302">
        <v>13</v>
      </c>
      <c r="N3" s="302">
        <v>14</v>
      </c>
      <c r="O3" s="302">
        <v>15</v>
      </c>
      <c r="P3" s="302">
        <v>16</v>
      </c>
      <c r="Q3" s="302">
        <v>17</v>
      </c>
      <c r="R3" s="302">
        <v>18</v>
      </c>
      <c r="S3" s="302">
        <v>19</v>
      </c>
      <c r="T3" s="302">
        <v>20</v>
      </c>
      <c r="U3" s="303">
        <v>21</v>
      </c>
      <c r="V3" s="302">
        <v>22</v>
      </c>
    </row>
    <row r="4" spans="1:22" ht="24.95" customHeight="1" thickTop="1" x14ac:dyDescent="0.2">
      <c r="B4" s="245"/>
      <c r="C4" s="245"/>
      <c r="D4" s="248" t="s">
        <v>452</v>
      </c>
      <c r="E4" s="249"/>
      <c r="F4" s="250"/>
      <c r="G4" s="250"/>
      <c r="H4" s="250"/>
      <c r="I4" s="250"/>
      <c r="J4" s="250"/>
      <c r="K4" s="251"/>
      <c r="L4" s="252" t="s">
        <v>266</v>
      </c>
      <c r="M4" s="253"/>
      <c r="N4" s="254"/>
      <c r="O4" s="252" t="s">
        <v>453</v>
      </c>
      <c r="P4" s="253"/>
      <c r="Q4" s="253"/>
      <c r="R4" s="253"/>
      <c r="S4" s="253"/>
      <c r="T4" s="253"/>
      <c r="U4" s="253"/>
      <c r="V4" s="254"/>
    </row>
    <row r="5" spans="1:22" ht="71.25" customHeight="1" thickBot="1" x14ac:dyDescent="0.25">
      <c r="A5" s="255" t="s">
        <v>268</v>
      </c>
      <c r="B5" s="255" t="s">
        <v>293</v>
      </c>
      <c r="C5" s="255" t="s">
        <v>269</v>
      </c>
      <c r="D5" s="256" t="s">
        <v>270</v>
      </c>
      <c r="E5" s="257" t="s">
        <v>271</v>
      </c>
      <c r="F5" s="257" t="s">
        <v>272</v>
      </c>
      <c r="G5" s="257" t="s">
        <v>273</v>
      </c>
      <c r="H5" s="257" t="s">
        <v>274</v>
      </c>
      <c r="I5" s="257" t="s">
        <v>275</v>
      </c>
      <c r="J5" s="258" t="s">
        <v>276</v>
      </c>
      <c r="K5" s="259" t="s">
        <v>277</v>
      </c>
      <c r="L5" s="260" t="s">
        <v>278</v>
      </c>
      <c r="M5" s="261" t="s">
        <v>279</v>
      </c>
      <c r="N5" s="262" t="s">
        <v>280</v>
      </c>
      <c r="O5" s="263" t="s">
        <v>271</v>
      </c>
      <c r="P5" s="264" t="s">
        <v>272</v>
      </c>
      <c r="Q5" s="265" t="s">
        <v>273</v>
      </c>
      <c r="R5" s="266" t="s">
        <v>274</v>
      </c>
      <c r="S5" s="266" t="s">
        <v>281</v>
      </c>
      <c r="T5" s="266" t="s">
        <v>282</v>
      </c>
      <c r="U5" s="266" t="s">
        <v>283</v>
      </c>
      <c r="V5" s="267" t="s">
        <v>284</v>
      </c>
    </row>
    <row r="6" spans="1:22" ht="24.95" customHeight="1" thickTop="1" x14ac:dyDescent="0.2">
      <c r="A6" s="268" t="s">
        <v>50</v>
      </c>
      <c r="B6" s="269" t="s">
        <v>14</v>
      </c>
      <c r="C6" s="270" t="s">
        <v>285</v>
      </c>
      <c r="D6" s="271">
        <v>154256</v>
      </c>
      <c r="E6" s="271">
        <v>5250</v>
      </c>
      <c r="F6" s="271">
        <v>29771</v>
      </c>
      <c r="G6" s="271">
        <v>2362</v>
      </c>
      <c r="H6" s="271">
        <v>5400</v>
      </c>
      <c r="I6" s="271">
        <v>87003</v>
      </c>
      <c r="J6" s="271">
        <v>24470</v>
      </c>
      <c r="K6" s="271">
        <f>SUM(F6:I6)</f>
        <v>124536</v>
      </c>
      <c r="L6" s="272">
        <v>8.7999999999999995E-2</v>
      </c>
      <c r="M6" s="272">
        <v>0.21299999999999999</v>
      </c>
      <c r="N6" s="273">
        <v>0.17599999999999999</v>
      </c>
      <c r="O6" s="274">
        <f>L6*E6</f>
        <v>462</v>
      </c>
      <c r="P6" s="275">
        <f>L6*F6</f>
        <v>2619.848</v>
      </c>
      <c r="Q6" s="275">
        <f>L6*G6</f>
        <v>207.85599999999999</v>
      </c>
      <c r="R6" s="275">
        <f>M6*H6</f>
        <v>1150.2</v>
      </c>
      <c r="S6" s="275">
        <f>SUM(Q6:R6)</f>
        <v>1358.056</v>
      </c>
      <c r="T6" s="275">
        <f t="shared" ref="T6:T69" si="0">M6*I6</f>
        <v>18531.638999999999</v>
      </c>
      <c r="U6" s="275">
        <f>SUM(S6:T6)</f>
        <v>19889.695</v>
      </c>
      <c r="V6" s="275">
        <f>SUM(P6,U6)</f>
        <v>22509.542999999998</v>
      </c>
    </row>
    <row r="7" spans="1:22" ht="24.95" customHeight="1" x14ac:dyDescent="0.2">
      <c r="A7" s="276" t="s">
        <v>123</v>
      </c>
      <c r="B7" s="277" t="s">
        <v>292</v>
      </c>
      <c r="C7" s="278" t="s">
        <v>286</v>
      </c>
      <c r="D7" s="279">
        <v>37429</v>
      </c>
      <c r="E7" s="279">
        <v>1088</v>
      </c>
      <c r="F7" s="279">
        <v>6766</v>
      </c>
      <c r="G7" s="279">
        <v>459</v>
      </c>
      <c r="H7" s="279">
        <v>873</v>
      </c>
      <c r="I7" s="279">
        <v>21567</v>
      </c>
      <c r="J7" s="279">
        <v>6676</v>
      </c>
      <c r="K7" s="279">
        <f t="shared" ref="K7:K70" si="1">SUM(F7:I7)</f>
        <v>29665</v>
      </c>
      <c r="L7" s="280">
        <v>7.5999999999999998E-2</v>
      </c>
      <c r="M7" s="280">
        <v>0.19500000000000001</v>
      </c>
      <c r="N7" s="281">
        <v>0.16200000000000001</v>
      </c>
      <c r="O7" s="282">
        <f t="shared" ref="O7:O70" si="2">L7*E7</f>
        <v>82.688000000000002</v>
      </c>
      <c r="P7" s="283">
        <f t="shared" ref="P7:P70" si="3">L7*F7</f>
        <v>514.21600000000001</v>
      </c>
      <c r="Q7" s="275">
        <f t="shared" ref="Q7:R38" si="4">L7*G7</f>
        <v>34.884</v>
      </c>
      <c r="R7" s="283">
        <f t="shared" si="4"/>
        <v>170.23500000000001</v>
      </c>
      <c r="S7" s="275">
        <f t="shared" ref="S7:S70" si="5">SUM(Q7:R7)</f>
        <v>205.11900000000003</v>
      </c>
      <c r="T7" s="283">
        <f t="shared" si="0"/>
        <v>4205.5650000000005</v>
      </c>
      <c r="U7" s="283">
        <f t="shared" ref="U7:U70" si="6">SUM(S7:T7)</f>
        <v>4410.6840000000002</v>
      </c>
      <c r="V7" s="283">
        <f t="shared" ref="V7:V70" si="7">SUM(P7,U7)</f>
        <v>4924.9000000000005</v>
      </c>
    </row>
    <row r="8" spans="1:22" ht="24.95" customHeight="1" x14ac:dyDescent="0.2">
      <c r="A8" s="276" t="s">
        <v>124</v>
      </c>
      <c r="B8" s="277" t="s">
        <v>292</v>
      </c>
      <c r="C8" s="278" t="s">
        <v>286</v>
      </c>
      <c r="D8" s="279">
        <v>11033</v>
      </c>
      <c r="E8" s="279">
        <v>255</v>
      </c>
      <c r="F8" s="279">
        <v>1754</v>
      </c>
      <c r="G8" s="279">
        <v>143</v>
      </c>
      <c r="H8" s="279">
        <v>244</v>
      </c>
      <c r="I8" s="279">
        <v>6013</v>
      </c>
      <c r="J8" s="279">
        <v>2624</v>
      </c>
      <c r="K8" s="279">
        <f t="shared" si="1"/>
        <v>8154</v>
      </c>
      <c r="L8" s="280">
        <v>8.6999999999999994E-2</v>
      </c>
      <c r="M8" s="280">
        <v>0.216</v>
      </c>
      <c r="N8" s="281">
        <v>0.182</v>
      </c>
      <c r="O8" s="282">
        <f t="shared" si="2"/>
        <v>22.184999999999999</v>
      </c>
      <c r="P8" s="283">
        <f t="shared" si="3"/>
        <v>152.59799999999998</v>
      </c>
      <c r="Q8" s="275">
        <f t="shared" si="4"/>
        <v>12.440999999999999</v>
      </c>
      <c r="R8" s="283">
        <f t="shared" si="4"/>
        <v>52.704000000000001</v>
      </c>
      <c r="S8" s="275">
        <f t="shared" si="5"/>
        <v>65.144999999999996</v>
      </c>
      <c r="T8" s="283">
        <f t="shared" si="0"/>
        <v>1298.808</v>
      </c>
      <c r="U8" s="283">
        <f t="shared" si="6"/>
        <v>1363.953</v>
      </c>
      <c r="V8" s="283">
        <f t="shared" si="7"/>
        <v>1516.5509999999999</v>
      </c>
    </row>
    <row r="9" spans="1:22" ht="24.95" customHeight="1" x14ac:dyDescent="0.2">
      <c r="A9" s="276" t="s">
        <v>114</v>
      </c>
      <c r="B9" s="277" t="s">
        <v>21</v>
      </c>
      <c r="C9" s="278" t="s">
        <v>286</v>
      </c>
      <c r="D9" s="279">
        <v>26429</v>
      </c>
      <c r="E9" s="279">
        <v>762</v>
      </c>
      <c r="F9" s="279">
        <v>4725</v>
      </c>
      <c r="G9" s="279">
        <v>303</v>
      </c>
      <c r="H9" s="279">
        <v>707</v>
      </c>
      <c r="I9" s="279">
        <v>15692</v>
      </c>
      <c r="J9" s="279">
        <v>4240</v>
      </c>
      <c r="K9" s="279">
        <f t="shared" si="1"/>
        <v>21427</v>
      </c>
      <c r="L9" s="280">
        <v>8.5000000000000006E-2</v>
      </c>
      <c r="M9" s="280">
        <v>0.23100000000000001</v>
      </c>
      <c r="N9" s="281">
        <v>0.192</v>
      </c>
      <c r="O9" s="282">
        <f t="shared" si="2"/>
        <v>64.77000000000001</v>
      </c>
      <c r="P9" s="283">
        <f t="shared" si="3"/>
        <v>401.62500000000006</v>
      </c>
      <c r="Q9" s="275">
        <f t="shared" si="4"/>
        <v>25.755000000000003</v>
      </c>
      <c r="R9" s="283">
        <f t="shared" si="4"/>
        <v>163.31700000000001</v>
      </c>
      <c r="S9" s="275">
        <f t="shared" si="5"/>
        <v>189.072</v>
      </c>
      <c r="T9" s="283">
        <f t="shared" si="0"/>
        <v>3624.8520000000003</v>
      </c>
      <c r="U9" s="283">
        <f t="shared" si="6"/>
        <v>3813.9240000000004</v>
      </c>
      <c r="V9" s="283">
        <f t="shared" si="7"/>
        <v>4215.5490000000009</v>
      </c>
    </row>
    <row r="10" spans="1:22" ht="24.95" customHeight="1" x14ac:dyDescent="0.2">
      <c r="A10" s="276" t="s">
        <v>125</v>
      </c>
      <c r="B10" s="277" t="s">
        <v>292</v>
      </c>
      <c r="C10" s="278" t="s">
        <v>286</v>
      </c>
      <c r="D10" s="279">
        <v>27425</v>
      </c>
      <c r="E10" s="279">
        <v>744</v>
      </c>
      <c r="F10" s="279">
        <v>4430</v>
      </c>
      <c r="G10" s="279">
        <v>314</v>
      </c>
      <c r="H10" s="279">
        <v>520</v>
      </c>
      <c r="I10" s="279">
        <v>15130</v>
      </c>
      <c r="J10" s="279">
        <v>6287</v>
      </c>
      <c r="K10" s="279">
        <f t="shared" si="1"/>
        <v>20394</v>
      </c>
      <c r="L10" s="280">
        <v>7.5999999999999998E-2</v>
      </c>
      <c r="M10" s="280">
        <v>0.19700000000000001</v>
      </c>
      <c r="N10" s="281">
        <v>0.16700000000000001</v>
      </c>
      <c r="O10" s="282">
        <f t="shared" si="2"/>
        <v>56.543999999999997</v>
      </c>
      <c r="P10" s="283">
        <f t="shared" si="3"/>
        <v>336.68</v>
      </c>
      <c r="Q10" s="275">
        <f t="shared" si="4"/>
        <v>23.864000000000001</v>
      </c>
      <c r="R10" s="283">
        <f t="shared" si="4"/>
        <v>102.44</v>
      </c>
      <c r="S10" s="275">
        <f t="shared" si="5"/>
        <v>126.304</v>
      </c>
      <c r="T10" s="283">
        <f t="shared" si="0"/>
        <v>2980.61</v>
      </c>
      <c r="U10" s="283">
        <f t="shared" si="6"/>
        <v>3106.9140000000002</v>
      </c>
      <c r="V10" s="283">
        <f t="shared" si="7"/>
        <v>3443.5940000000001</v>
      </c>
    </row>
    <row r="11" spans="1:22" ht="24.95" customHeight="1" x14ac:dyDescent="0.2">
      <c r="A11" s="276" t="s">
        <v>126</v>
      </c>
      <c r="B11" s="277" t="s">
        <v>292</v>
      </c>
      <c r="C11" s="278" t="s">
        <v>286</v>
      </c>
      <c r="D11" s="279">
        <v>17868</v>
      </c>
      <c r="E11" s="279">
        <v>434</v>
      </c>
      <c r="F11" s="279">
        <v>2439</v>
      </c>
      <c r="G11" s="279">
        <v>179</v>
      </c>
      <c r="H11" s="279">
        <v>441</v>
      </c>
      <c r="I11" s="279">
        <v>10817</v>
      </c>
      <c r="J11" s="279">
        <v>3558</v>
      </c>
      <c r="K11" s="279">
        <f t="shared" si="1"/>
        <v>13876</v>
      </c>
      <c r="L11" s="280">
        <v>8.2000000000000003E-2</v>
      </c>
      <c r="M11" s="280">
        <v>0.21099999999999999</v>
      </c>
      <c r="N11" s="281">
        <v>0.182</v>
      </c>
      <c r="O11" s="282">
        <f t="shared" si="2"/>
        <v>35.588000000000001</v>
      </c>
      <c r="P11" s="283">
        <f t="shared" si="3"/>
        <v>199.99800000000002</v>
      </c>
      <c r="Q11" s="275">
        <f t="shared" si="4"/>
        <v>14.678000000000001</v>
      </c>
      <c r="R11" s="283">
        <f t="shared" si="4"/>
        <v>93.051000000000002</v>
      </c>
      <c r="S11" s="275">
        <f t="shared" si="5"/>
        <v>107.729</v>
      </c>
      <c r="T11" s="283">
        <f t="shared" si="0"/>
        <v>2282.3869999999997</v>
      </c>
      <c r="U11" s="283">
        <f t="shared" si="6"/>
        <v>2390.1159999999995</v>
      </c>
      <c r="V11" s="283">
        <f t="shared" si="7"/>
        <v>2590.1139999999996</v>
      </c>
    </row>
    <row r="12" spans="1:22" ht="24.95" customHeight="1" x14ac:dyDescent="0.2">
      <c r="A12" s="276" t="s">
        <v>74</v>
      </c>
      <c r="B12" s="277" t="s">
        <v>17</v>
      </c>
      <c r="C12" s="278" t="s">
        <v>286</v>
      </c>
      <c r="D12" s="279">
        <v>47791</v>
      </c>
      <c r="E12" s="279">
        <v>1468</v>
      </c>
      <c r="F12" s="279">
        <v>8664</v>
      </c>
      <c r="G12" s="279">
        <v>570</v>
      </c>
      <c r="H12" s="279">
        <v>975</v>
      </c>
      <c r="I12" s="279">
        <v>25800</v>
      </c>
      <c r="J12" s="279">
        <v>10314</v>
      </c>
      <c r="K12" s="279">
        <f t="shared" si="1"/>
        <v>36009</v>
      </c>
      <c r="L12" s="280">
        <v>8.5000000000000006E-2</v>
      </c>
      <c r="M12" s="280">
        <v>0.20300000000000001</v>
      </c>
      <c r="N12" s="281">
        <v>0.17</v>
      </c>
      <c r="O12" s="282">
        <f t="shared" si="2"/>
        <v>124.78000000000002</v>
      </c>
      <c r="P12" s="283">
        <f t="shared" si="3"/>
        <v>736.44</v>
      </c>
      <c r="Q12" s="275">
        <f t="shared" si="4"/>
        <v>48.45</v>
      </c>
      <c r="R12" s="283">
        <f t="shared" si="4"/>
        <v>197.92500000000001</v>
      </c>
      <c r="S12" s="275">
        <f t="shared" si="5"/>
        <v>246.375</v>
      </c>
      <c r="T12" s="283">
        <f t="shared" si="0"/>
        <v>5237.4000000000005</v>
      </c>
      <c r="U12" s="283">
        <f t="shared" si="6"/>
        <v>5483.7750000000005</v>
      </c>
      <c r="V12" s="283">
        <f t="shared" si="7"/>
        <v>6220.2150000000001</v>
      </c>
    </row>
    <row r="13" spans="1:22" ht="24.95" customHeight="1" x14ac:dyDescent="0.2">
      <c r="A13" s="284" t="s">
        <v>75</v>
      </c>
      <c r="B13" s="285" t="s">
        <v>17</v>
      </c>
      <c r="C13" s="286" t="s">
        <v>286</v>
      </c>
      <c r="D13" s="279">
        <v>20581</v>
      </c>
      <c r="E13" s="279">
        <v>552</v>
      </c>
      <c r="F13" s="279">
        <v>3462</v>
      </c>
      <c r="G13" s="279">
        <v>265</v>
      </c>
      <c r="H13" s="279">
        <v>472</v>
      </c>
      <c r="I13" s="279">
        <v>12062</v>
      </c>
      <c r="J13" s="279">
        <v>3768</v>
      </c>
      <c r="K13" s="279">
        <f t="shared" si="1"/>
        <v>16261</v>
      </c>
      <c r="L13" s="280">
        <v>8.6999999999999994E-2</v>
      </c>
      <c r="M13" s="280">
        <v>0.248</v>
      </c>
      <c r="N13" s="281">
        <v>0.20599999999999999</v>
      </c>
      <c r="O13" s="282">
        <f t="shared" si="2"/>
        <v>48.023999999999994</v>
      </c>
      <c r="P13" s="283">
        <f t="shared" si="3"/>
        <v>301.19399999999996</v>
      </c>
      <c r="Q13" s="275">
        <f t="shared" si="4"/>
        <v>23.055</v>
      </c>
      <c r="R13" s="283">
        <f t="shared" si="4"/>
        <v>117.056</v>
      </c>
      <c r="S13" s="275">
        <f t="shared" si="5"/>
        <v>140.11099999999999</v>
      </c>
      <c r="T13" s="283">
        <f t="shared" si="0"/>
        <v>2991.3760000000002</v>
      </c>
      <c r="U13" s="283">
        <f t="shared" si="6"/>
        <v>3131.4870000000001</v>
      </c>
      <c r="V13" s="283">
        <f t="shared" si="7"/>
        <v>3432.681</v>
      </c>
    </row>
    <row r="14" spans="1:22" ht="24.95" customHeight="1" x14ac:dyDescent="0.2">
      <c r="A14" s="284" t="s">
        <v>93</v>
      </c>
      <c r="B14" s="285" t="s">
        <v>18</v>
      </c>
      <c r="C14" s="286" t="s">
        <v>286</v>
      </c>
      <c r="D14" s="279">
        <v>35250</v>
      </c>
      <c r="E14" s="279">
        <v>1070</v>
      </c>
      <c r="F14" s="279">
        <v>6544</v>
      </c>
      <c r="G14" s="279">
        <v>452</v>
      </c>
      <c r="H14" s="279">
        <v>874</v>
      </c>
      <c r="I14" s="279">
        <v>19944</v>
      </c>
      <c r="J14" s="279">
        <v>6366</v>
      </c>
      <c r="K14" s="279">
        <f t="shared" si="1"/>
        <v>27814</v>
      </c>
      <c r="L14" s="280">
        <v>8.5999999999999993E-2</v>
      </c>
      <c r="M14" s="280">
        <v>0.21199999999999999</v>
      </c>
      <c r="N14" s="281">
        <v>0.17699999999999999</v>
      </c>
      <c r="O14" s="282">
        <f t="shared" si="2"/>
        <v>92.02</v>
      </c>
      <c r="P14" s="283">
        <f t="shared" si="3"/>
        <v>562.78399999999999</v>
      </c>
      <c r="Q14" s="275">
        <f t="shared" si="4"/>
        <v>38.872</v>
      </c>
      <c r="R14" s="283">
        <f t="shared" si="4"/>
        <v>185.28799999999998</v>
      </c>
      <c r="S14" s="275">
        <f t="shared" si="5"/>
        <v>224.15999999999997</v>
      </c>
      <c r="T14" s="283">
        <f t="shared" si="0"/>
        <v>4228.1279999999997</v>
      </c>
      <c r="U14" s="283">
        <f t="shared" si="6"/>
        <v>4452.2879999999996</v>
      </c>
      <c r="V14" s="283">
        <f t="shared" si="7"/>
        <v>5015.0719999999992</v>
      </c>
    </row>
    <row r="15" spans="1:22" ht="24.95" customHeight="1" x14ac:dyDescent="0.2">
      <c r="A15" s="284" t="s">
        <v>69</v>
      </c>
      <c r="B15" s="285" t="s">
        <v>16</v>
      </c>
      <c r="C15" s="286" t="s">
        <v>286</v>
      </c>
      <c r="D15" s="279">
        <v>118634</v>
      </c>
      <c r="E15" s="279">
        <v>3114</v>
      </c>
      <c r="F15" s="279">
        <v>18007</v>
      </c>
      <c r="G15" s="279">
        <v>1047</v>
      </c>
      <c r="H15" s="279">
        <v>1990</v>
      </c>
      <c r="I15" s="279">
        <v>63008</v>
      </c>
      <c r="J15" s="279">
        <v>31468</v>
      </c>
      <c r="K15" s="279">
        <f t="shared" si="1"/>
        <v>84052</v>
      </c>
      <c r="L15" s="280">
        <v>7.8E-2</v>
      </c>
      <c r="M15" s="280">
        <v>0.2</v>
      </c>
      <c r="N15" s="281">
        <v>0.17</v>
      </c>
      <c r="O15" s="282">
        <f t="shared" si="2"/>
        <v>242.892</v>
      </c>
      <c r="P15" s="283">
        <f t="shared" si="3"/>
        <v>1404.546</v>
      </c>
      <c r="Q15" s="275">
        <f t="shared" si="4"/>
        <v>81.665999999999997</v>
      </c>
      <c r="R15" s="283">
        <f t="shared" si="4"/>
        <v>398</v>
      </c>
      <c r="S15" s="275">
        <f t="shared" si="5"/>
        <v>479.666</v>
      </c>
      <c r="T15" s="283">
        <f t="shared" si="0"/>
        <v>12601.6</v>
      </c>
      <c r="U15" s="283">
        <f t="shared" si="6"/>
        <v>13081.266</v>
      </c>
      <c r="V15" s="283">
        <f t="shared" si="7"/>
        <v>14485.812</v>
      </c>
    </row>
    <row r="16" spans="1:22" ht="24.95" customHeight="1" x14ac:dyDescent="0.2">
      <c r="A16" s="284" t="s">
        <v>127</v>
      </c>
      <c r="B16" s="285" t="s">
        <v>292</v>
      </c>
      <c r="C16" s="286" t="s">
        <v>285</v>
      </c>
      <c r="D16" s="279">
        <v>251995</v>
      </c>
      <c r="E16" s="279">
        <v>7860</v>
      </c>
      <c r="F16" s="279">
        <v>41648</v>
      </c>
      <c r="G16" s="279">
        <v>2776</v>
      </c>
      <c r="H16" s="279">
        <v>5859</v>
      </c>
      <c r="I16" s="279">
        <v>148675</v>
      </c>
      <c r="J16" s="279">
        <v>45177</v>
      </c>
      <c r="K16" s="279">
        <f t="shared" si="1"/>
        <v>198958</v>
      </c>
      <c r="L16" s="280">
        <v>7.6999999999999999E-2</v>
      </c>
      <c r="M16" s="280">
        <v>0.185</v>
      </c>
      <c r="N16" s="281">
        <v>0.158</v>
      </c>
      <c r="O16" s="282">
        <f t="shared" si="2"/>
        <v>605.22</v>
      </c>
      <c r="P16" s="283">
        <f t="shared" si="3"/>
        <v>3206.8960000000002</v>
      </c>
      <c r="Q16" s="275">
        <f t="shared" si="4"/>
        <v>213.75200000000001</v>
      </c>
      <c r="R16" s="283">
        <f t="shared" si="4"/>
        <v>1083.915</v>
      </c>
      <c r="S16" s="275">
        <f t="shared" si="5"/>
        <v>1297.6669999999999</v>
      </c>
      <c r="T16" s="283">
        <f t="shared" si="0"/>
        <v>27504.875</v>
      </c>
      <c r="U16" s="283">
        <f t="shared" si="6"/>
        <v>28802.542000000001</v>
      </c>
      <c r="V16" s="283">
        <f t="shared" si="7"/>
        <v>32009.438000000002</v>
      </c>
    </row>
    <row r="17" spans="1:22" ht="24.95" customHeight="1" x14ac:dyDescent="0.2">
      <c r="A17" s="284" t="s">
        <v>106</v>
      </c>
      <c r="B17" s="285" t="s">
        <v>20</v>
      </c>
      <c r="C17" s="286" t="s">
        <v>286</v>
      </c>
      <c r="D17" s="279">
        <v>89184</v>
      </c>
      <c r="E17" s="279">
        <v>2545</v>
      </c>
      <c r="F17" s="279">
        <v>16036</v>
      </c>
      <c r="G17" s="279">
        <v>1646</v>
      </c>
      <c r="H17" s="279">
        <v>2917</v>
      </c>
      <c r="I17" s="279">
        <v>49880</v>
      </c>
      <c r="J17" s="279">
        <v>16160</v>
      </c>
      <c r="K17" s="279">
        <f t="shared" si="1"/>
        <v>70479</v>
      </c>
      <c r="L17" s="280">
        <v>0.08</v>
      </c>
      <c r="M17" s="280">
        <v>0.187</v>
      </c>
      <c r="N17" s="281">
        <v>0.156</v>
      </c>
      <c r="O17" s="282">
        <f t="shared" si="2"/>
        <v>203.6</v>
      </c>
      <c r="P17" s="283">
        <f t="shared" si="3"/>
        <v>1282.8800000000001</v>
      </c>
      <c r="Q17" s="275">
        <f t="shared" si="4"/>
        <v>131.68</v>
      </c>
      <c r="R17" s="283">
        <f t="shared" si="4"/>
        <v>545.47900000000004</v>
      </c>
      <c r="S17" s="275">
        <f t="shared" si="5"/>
        <v>677.15900000000011</v>
      </c>
      <c r="T17" s="283">
        <f t="shared" si="0"/>
        <v>9327.56</v>
      </c>
      <c r="U17" s="283">
        <f t="shared" si="6"/>
        <v>10004.718999999999</v>
      </c>
      <c r="V17" s="283">
        <f t="shared" si="7"/>
        <v>11287.598999999998</v>
      </c>
    </row>
    <row r="18" spans="1:22" ht="24.95" customHeight="1" x14ac:dyDescent="0.2">
      <c r="A18" s="284" t="s">
        <v>51</v>
      </c>
      <c r="B18" s="285" t="s">
        <v>14</v>
      </c>
      <c r="C18" s="286" t="s">
        <v>285</v>
      </c>
      <c r="D18" s="279">
        <v>189528</v>
      </c>
      <c r="E18" s="279">
        <v>6974</v>
      </c>
      <c r="F18" s="279">
        <v>41883</v>
      </c>
      <c r="G18" s="279">
        <v>2531</v>
      </c>
      <c r="H18" s="279">
        <v>4967</v>
      </c>
      <c r="I18" s="279">
        <v>109584</v>
      </c>
      <c r="J18" s="279">
        <v>23589</v>
      </c>
      <c r="K18" s="279">
        <f t="shared" si="1"/>
        <v>158965</v>
      </c>
      <c r="L18" s="280">
        <v>8.1000000000000003E-2</v>
      </c>
      <c r="M18" s="280">
        <v>0.20899999999999999</v>
      </c>
      <c r="N18" s="281">
        <v>0.16800000000000001</v>
      </c>
      <c r="O18" s="282">
        <f t="shared" si="2"/>
        <v>564.89400000000001</v>
      </c>
      <c r="P18" s="283">
        <f t="shared" si="3"/>
        <v>3392.5230000000001</v>
      </c>
      <c r="Q18" s="275">
        <f t="shared" si="4"/>
        <v>205.011</v>
      </c>
      <c r="R18" s="283">
        <f t="shared" si="4"/>
        <v>1038.1030000000001</v>
      </c>
      <c r="S18" s="275">
        <f t="shared" si="5"/>
        <v>1243.114</v>
      </c>
      <c r="T18" s="283">
        <f t="shared" si="0"/>
        <v>22903.056</v>
      </c>
      <c r="U18" s="283">
        <f t="shared" si="6"/>
        <v>24146.170000000002</v>
      </c>
      <c r="V18" s="283">
        <f t="shared" si="7"/>
        <v>27538.693000000003</v>
      </c>
    </row>
    <row r="19" spans="1:22" ht="24.95" customHeight="1" x14ac:dyDescent="0.2">
      <c r="A19" s="284" t="s">
        <v>128</v>
      </c>
      <c r="B19" s="285" t="s">
        <v>292</v>
      </c>
      <c r="C19" s="286" t="s">
        <v>286</v>
      </c>
      <c r="D19" s="279">
        <v>82405</v>
      </c>
      <c r="E19" s="279">
        <v>2371</v>
      </c>
      <c r="F19" s="279">
        <v>14956</v>
      </c>
      <c r="G19" s="279">
        <v>1093</v>
      </c>
      <c r="H19" s="279">
        <v>2268</v>
      </c>
      <c r="I19" s="279">
        <v>47225</v>
      </c>
      <c r="J19" s="279">
        <v>14492</v>
      </c>
      <c r="K19" s="279">
        <f t="shared" si="1"/>
        <v>65542</v>
      </c>
      <c r="L19" s="280">
        <v>7.6999999999999999E-2</v>
      </c>
      <c r="M19" s="280">
        <v>0.186</v>
      </c>
      <c r="N19" s="281">
        <v>0.156</v>
      </c>
      <c r="O19" s="282">
        <f t="shared" si="2"/>
        <v>182.56700000000001</v>
      </c>
      <c r="P19" s="283">
        <f t="shared" si="3"/>
        <v>1151.6120000000001</v>
      </c>
      <c r="Q19" s="275">
        <f t="shared" si="4"/>
        <v>84.161000000000001</v>
      </c>
      <c r="R19" s="283">
        <f t="shared" si="4"/>
        <v>421.84800000000001</v>
      </c>
      <c r="S19" s="275">
        <f t="shared" si="5"/>
        <v>506.00900000000001</v>
      </c>
      <c r="T19" s="283">
        <f t="shared" si="0"/>
        <v>8783.85</v>
      </c>
      <c r="U19" s="283">
        <f t="shared" si="6"/>
        <v>9289.8590000000004</v>
      </c>
      <c r="V19" s="283">
        <f t="shared" si="7"/>
        <v>10441.471000000001</v>
      </c>
    </row>
    <row r="20" spans="1:22" ht="24.95" customHeight="1" x14ac:dyDescent="0.2">
      <c r="A20" s="284" t="s">
        <v>76</v>
      </c>
      <c r="B20" s="285" t="s">
        <v>17</v>
      </c>
      <c r="C20" s="286" t="s">
        <v>286</v>
      </c>
      <c r="D20" s="279">
        <v>10092</v>
      </c>
      <c r="E20" s="279">
        <v>246</v>
      </c>
      <c r="F20" s="279">
        <v>1971</v>
      </c>
      <c r="G20" s="279">
        <v>130</v>
      </c>
      <c r="H20" s="279">
        <v>255</v>
      </c>
      <c r="I20" s="279">
        <v>5967</v>
      </c>
      <c r="J20" s="279">
        <v>1523</v>
      </c>
      <c r="K20" s="279">
        <f t="shared" si="1"/>
        <v>8323</v>
      </c>
      <c r="L20" s="280">
        <v>6.8000000000000005E-2</v>
      </c>
      <c r="M20" s="280">
        <v>0.19500000000000001</v>
      </c>
      <c r="N20" s="281">
        <v>0.156</v>
      </c>
      <c r="O20" s="282">
        <f t="shared" si="2"/>
        <v>16.728000000000002</v>
      </c>
      <c r="P20" s="283">
        <f t="shared" si="3"/>
        <v>134.02800000000002</v>
      </c>
      <c r="Q20" s="275">
        <f t="shared" si="4"/>
        <v>8.84</v>
      </c>
      <c r="R20" s="283">
        <f t="shared" si="4"/>
        <v>49.725000000000001</v>
      </c>
      <c r="S20" s="275">
        <f t="shared" si="5"/>
        <v>58.564999999999998</v>
      </c>
      <c r="T20" s="283">
        <f t="shared" si="0"/>
        <v>1163.5650000000001</v>
      </c>
      <c r="U20" s="283">
        <f t="shared" si="6"/>
        <v>1222.1300000000001</v>
      </c>
      <c r="V20" s="283">
        <f t="shared" si="7"/>
        <v>1356.1580000000001</v>
      </c>
    </row>
    <row r="21" spans="1:22" ht="24.95" customHeight="1" x14ac:dyDescent="0.2">
      <c r="A21" s="284" t="s">
        <v>70</v>
      </c>
      <c r="B21" s="285" t="s">
        <v>16</v>
      </c>
      <c r="C21" s="286" t="s">
        <v>286</v>
      </c>
      <c r="D21" s="279">
        <v>70101</v>
      </c>
      <c r="E21" s="279">
        <v>1890</v>
      </c>
      <c r="F21" s="279">
        <v>10702</v>
      </c>
      <c r="G21" s="279">
        <v>765</v>
      </c>
      <c r="H21" s="279">
        <v>1464</v>
      </c>
      <c r="I21" s="279">
        <v>40010</v>
      </c>
      <c r="J21" s="279">
        <v>15270</v>
      </c>
      <c r="K21" s="279">
        <f t="shared" si="1"/>
        <v>52941</v>
      </c>
      <c r="L21" s="280">
        <v>7.3999999999999996E-2</v>
      </c>
      <c r="M21" s="280">
        <v>0.188</v>
      </c>
      <c r="N21" s="281">
        <v>0.161</v>
      </c>
      <c r="O21" s="282">
        <f t="shared" si="2"/>
        <v>139.85999999999999</v>
      </c>
      <c r="P21" s="283">
        <f t="shared" si="3"/>
        <v>791.94799999999998</v>
      </c>
      <c r="Q21" s="275">
        <f t="shared" si="4"/>
        <v>56.61</v>
      </c>
      <c r="R21" s="283">
        <f t="shared" si="4"/>
        <v>275.23200000000003</v>
      </c>
      <c r="S21" s="275">
        <f t="shared" si="5"/>
        <v>331.84200000000004</v>
      </c>
      <c r="T21" s="283">
        <f t="shared" si="0"/>
        <v>7521.88</v>
      </c>
      <c r="U21" s="283">
        <f t="shared" si="6"/>
        <v>7853.7219999999998</v>
      </c>
      <c r="V21" s="283">
        <f t="shared" si="7"/>
        <v>8645.67</v>
      </c>
    </row>
    <row r="22" spans="1:22" ht="24.95" customHeight="1" x14ac:dyDescent="0.2">
      <c r="A22" s="284" t="s">
        <v>52</v>
      </c>
      <c r="B22" s="285" t="s">
        <v>14</v>
      </c>
      <c r="C22" s="286" t="s">
        <v>286</v>
      </c>
      <c r="D22" s="279">
        <v>23708</v>
      </c>
      <c r="E22" s="279">
        <v>612</v>
      </c>
      <c r="F22" s="279">
        <v>3870</v>
      </c>
      <c r="G22" s="279">
        <v>229</v>
      </c>
      <c r="H22" s="279">
        <v>521</v>
      </c>
      <c r="I22" s="279">
        <v>14106</v>
      </c>
      <c r="J22" s="279">
        <v>4370</v>
      </c>
      <c r="K22" s="279">
        <f t="shared" si="1"/>
        <v>18726</v>
      </c>
      <c r="L22" s="280">
        <v>8.1000000000000003E-2</v>
      </c>
      <c r="M22" s="280">
        <v>0.23200000000000001</v>
      </c>
      <c r="N22" s="281">
        <v>0.19400000000000001</v>
      </c>
      <c r="O22" s="282">
        <f t="shared" si="2"/>
        <v>49.572000000000003</v>
      </c>
      <c r="P22" s="283">
        <f t="shared" si="3"/>
        <v>313.47000000000003</v>
      </c>
      <c r="Q22" s="275">
        <f t="shared" si="4"/>
        <v>18.548999999999999</v>
      </c>
      <c r="R22" s="283">
        <f t="shared" si="4"/>
        <v>120.872</v>
      </c>
      <c r="S22" s="275">
        <f t="shared" si="5"/>
        <v>139.42099999999999</v>
      </c>
      <c r="T22" s="283">
        <f t="shared" si="0"/>
        <v>3272.5920000000001</v>
      </c>
      <c r="U22" s="283">
        <f t="shared" si="6"/>
        <v>3412.0129999999999</v>
      </c>
      <c r="V22" s="283">
        <f t="shared" si="7"/>
        <v>3725.4830000000002</v>
      </c>
    </row>
    <row r="23" spans="1:22" ht="24.95" customHeight="1" x14ac:dyDescent="0.2">
      <c r="A23" s="284" t="s">
        <v>107</v>
      </c>
      <c r="B23" s="285" t="s">
        <v>20</v>
      </c>
      <c r="C23" s="286" t="s">
        <v>285</v>
      </c>
      <c r="D23" s="279">
        <v>155545</v>
      </c>
      <c r="E23" s="279">
        <v>5256</v>
      </c>
      <c r="F23" s="279">
        <v>30145</v>
      </c>
      <c r="G23" s="279">
        <v>2102</v>
      </c>
      <c r="H23" s="279">
        <v>4251</v>
      </c>
      <c r="I23" s="279">
        <v>88905</v>
      </c>
      <c r="J23" s="279">
        <v>24886</v>
      </c>
      <c r="K23" s="279">
        <f t="shared" si="1"/>
        <v>125403</v>
      </c>
      <c r="L23" s="280">
        <v>7.9000000000000001E-2</v>
      </c>
      <c r="M23" s="280">
        <v>0.17499999999999999</v>
      </c>
      <c r="N23" s="281">
        <v>0.14699999999999999</v>
      </c>
      <c r="O23" s="282">
        <f t="shared" si="2"/>
        <v>415.22399999999999</v>
      </c>
      <c r="P23" s="283">
        <f t="shared" si="3"/>
        <v>2381.4549999999999</v>
      </c>
      <c r="Q23" s="275">
        <f t="shared" si="4"/>
        <v>166.05799999999999</v>
      </c>
      <c r="R23" s="283">
        <f t="shared" si="4"/>
        <v>743.92499999999995</v>
      </c>
      <c r="S23" s="275">
        <f t="shared" si="5"/>
        <v>909.98299999999995</v>
      </c>
      <c r="T23" s="283">
        <f t="shared" si="0"/>
        <v>15558.374999999998</v>
      </c>
      <c r="U23" s="283">
        <f t="shared" si="6"/>
        <v>16468.357999999997</v>
      </c>
      <c r="V23" s="283">
        <f t="shared" si="7"/>
        <v>18849.812999999995</v>
      </c>
    </row>
    <row r="24" spans="1:22" ht="24.95" customHeight="1" x14ac:dyDescent="0.2">
      <c r="A24" s="284" t="s">
        <v>53</v>
      </c>
      <c r="B24" s="285" t="s">
        <v>14</v>
      </c>
      <c r="C24" s="286" t="s">
        <v>286</v>
      </c>
      <c r="D24" s="279">
        <v>68770</v>
      </c>
      <c r="E24" s="279">
        <v>1889</v>
      </c>
      <c r="F24" s="279">
        <v>12029</v>
      </c>
      <c r="G24" s="279">
        <v>721</v>
      </c>
      <c r="H24" s="279">
        <v>1342</v>
      </c>
      <c r="I24" s="279">
        <v>37666</v>
      </c>
      <c r="J24" s="279">
        <v>15123</v>
      </c>
      <c r="K24" s="279">
        <f t="shared" si="1"/>
        <v>51758</v>
      </c>
      <c r="L24" s="280">
        <v>8.8999999999999996E-2</v>
      </c>
      <c r="M24" s="280">
        <v>0.22500000000000001</v>
      </c>
      <c r="N24" s="281">
        <v>0.188</v>
      </c>
      <c r="O24" s="282">
        <f t="shared" si="2"/>
        <v>168.12099999999998</v>
      </c>
      <c r="P24" s="283">
        <f t="shared" si="3"/>
        <v>1070.5809999999999</v>
      </c>
      <c r="Q24" s="275">
        <f t="shared" si="4"/>
        <v>64.168999999999997</v>
      </c>
      <c r="R24" s="283">
        <f t="shared" si="4"/>
        <v>301.95</v>
      </c>
      <c r="S24" s="275">
        <f t="shared" si="5"/>
        <v>366.11899999999997</v>
      </c>
      <c r="T24" s="283">
        <f t="shared" si="0"/>
        <v>8474.85</v>
      </c>
      <c r="U24" s="283">
        <f t="shared" si="6"/>
        <v>8840.969000000001</v>
      </c>
      <c r="V24" s="283">
        <f t="shared" si="7"/>
        <v>9911.5500000000011</v>
      </c>
    </row>
    <row r="25" spans="1:22" ht="24.95" customHeight="1" x14ac:dyDescent="0.2">
      <c r="A25" s="284" t="s">
        <v>129</v>
      </c>
      <c r="B25" s="285" t="s">
        <v>292</v>
      </c>
      <c r="C25" s="286" t="s">
        <v>286</v>
      </c>
      <c r="D25" s="279">
        <v>27060</v>
      </c>
      <c r="E25" s="279">
        <v>571</v>
      </c>
      <c r="F25" s="279">
        <v>4249</v>
      </c>
      <c r="G25" s="279">
        <v>306</v>
      </c>
      <c r="H25" s="279">
        <v>551</v>
      </c>
      <c r="I25" s="279">
        <v>14102</v>
      </c>
      <c r="J25" s="279">
        <v>7281</v>
      </c>
      <c r="K25" s="279">
        <f t="shared" si="1"/>
        <v>19208</v>
      </c>
      <c r="L25" s="280">
        <v>7.9000000000000001E-2</v>
      </c>
      <c r="M25" s="280">
        <v>0.17199999999999999</v>
      </c>
      <c r="N25" s="281">
        <v>0.14799999999999999</v>
      </c>
      <c r="O25" s="282">
        <f t="shared" si="2"/>
        <v>45.109000000000002</v>
      </c>
      <c r="P25" s="283">
        <f t="shared" si="3"/>
        <v>335.67099999999999</v>
      </c>
      <c r="Q25" s="275">
        <f t="shared" si="4"/>
        <v>24.173999999999999</v>
      </c>
      <c r="R25" s="283">
        <f t="shared" si="4"/>
        <v>94.771999999999991</v>
      </c>
      <c r="S25" s="275">
        <f t="shared" si="5"/>
        <v>118.946</v>
      </c>
      <c r="T25" s="283">
        <f t="shared" si="0"/>
        <v>2425.5439999999999</v>
      </c>
      <c r="U25" s="283">
        <f t="shared" si="6"/>
        <v>2544.4899999999998</v>
      </c>
      <c r="V25" s="283">
        <f t="shared" si="7"/>
        <v>2880.1609999999996</v>
      </c>
    </row>
    <row r="26" spans="1:22" ht="24.95" customHeight="1" x14ac:dyDescent="0.2">
      <c r="A26" s="284" t="s">
        <v>77</v>
      </c>
      <c r="B26" s="285" t="s">
        <v>17</v>
      </c>
      <c r="C26" s="286" t="s">
        <v>286</v>
      </c>
      <c r="D26" s="279">
        <v>14839</v>
      </c>
      <c r="E26" s="279">
        <v>466</v>
      </c>
      <c r="F26" s="279">
        <v>2681</v>
      </c>
      <c r="G26" s="279">
        <v>193</v>
      </c>
      <c r="H26" s="279">
        <v>330</v>
      </c>
      <c r="I26" s="279">
        <v>7925</v>
      </c>
      <c r="J26" s="279">
        <v>3244</v>
      </c>
      <c r="K26" s="279">
        <f t="shared" si="1"/>
        <v>11129</v>
      </c>
      <c r="L26" s="280">
        <v>8.2000000000000003E-2</v>
      </c>
      <c r="M26" s="280">
        <v>0.20599999999999999</v>
      </c>
      <c r="N26" s="281">
        <v>0.17</v>
      </c>
      <c r="O26" s="282">
        <f t="shared" si="2"/>
        <v>38.212000000000003</v>
      </c>
      <c r="P26" s="283">
        <f t="shared" si="3"/>
        <v>219.84200000000001</v>
      </c>
      <c r="Q26" s="275">
        <f t="shared" si="4"/>
        <v>15.826000000000001</v>
      </c>
      <c r="R26" s="283">
        <f t="shared" si="4"/>
        <v>67.97999999999999</v>
      </c>
      <c r="S26" s="275">
        <f t="shared" si="5"/>
        <v>83.805999999999983</v>
      </c>
      <c r="T26" s="283">
        <f t="shared" si="0"/>
        <v>1632.55</v>
      </c>
      <c r="U26" s="283">
        <f t="shared" si="6"/>
        <v>1716.356</v>
      </c>
      <c r="V26" s="283">
        <f t="shared" si="7"/>
        <v>1936.1980000000001</v>
      </c>
    </row>
    <row r="27" spans="1:22" ht="24.95" customHeight="1" x14ac:dyDescent="0.2">
      <c r="A27" s="284" t="s">
        <v>130</v>
      </c>
      <c r="B27" s="285" t="s">
        <v>292</v>
      </c>
      <c r="C27" s="286" t="s">
        <v>286</v>
      </c>
      <c r="D27" s="279">
        <v>10621</v>
      </c>
      <c r="E27" s="279">
        <v>199</v>
      </c>
      <c r="F27" s="279">
        <v>1625</v>
      </c>
      <c r="G27" s="279">
        <v>121</v>
      </c>
      <c r="H27" s="279">
        <v>198</v>
      </c>
      <c r="I27" s="279">
        <v>5515</v>
      </c>
      <c r="J27" s="279">
        <v>2963</v>
      </c>
      <c r="K27" s="279">
        <f t="shared" si="1"/>
        <v>7459</v>
      </c>
      <c r="L27" s="280">
        <v>7.5999999999999998E-2</v>
      </c>
      <c r="M27" s="280">
        <v>0.187</v>
      </c>
      <c r="N27" s="281">
        <v>0.16</v>
      </c>
      <c r="O27" s="282">
        <f t="shared" si="2"/>
        <v>15.123999999999999</v>
      </c>
      <c r="P27" s="283">
        <f t="shared" si="3"/>
        <v>123.5</v>
      </c>
      <c r="Q27" s="275">
        <f t="shared" si="4"/>
        <v>9.1959999999999997</v>
      </c>
      <c r="R27" s="283">
        <f t="shared" si="4"/>
        <v>37.026000000000003</v>
      </c>
      <c r="S27" s="275">
        <f t="shared" si="5"/>
        <v>46.222000000000001</v>
      </c>
      <c r="T27" s="283">
        <f t="shared" si="0"/>
        <v>1031.3050000000001</v>
      </c>
      <c r="U27" s="283">
        <f t="shared" si="6"/>
        <v>1077.527</v>
      </c>
      <c r="V27" s="283">
        <f t="shared" si="7"/>
        <v>1201.027</v>
      </c>
    </row>
    <row r="28" spans="1:22" ht="24.95" customHeight="1" x14ac:dyDescent="0.2">
      <c r="A28" s="284" t="s">
        <v>108</v>
      </c>
      <c r="B28" s="285" t="s">
        <v>20</v>
      </c>
      <c r="C28" s="286" t="s">
        <v>286</v>
      </c>
      <c r="D28" s="279">
        <v>97245</v>
      </c>
      <c r="E28" s="279">
        <v>3144</v>
      </c>
      <c r="F28" s="279">
        <v>18366</v>
      </c>
      <c r="G28" s="279">
        <v>1458</v>
      </c>
      <c r="H28" s="279">
        <v>2959</v>
      </c>
      <c r="I28" s="279">
        <v>54819</v>
      </c>
      <c r="J28" s="279">
        <v>16499</v>
      </c>
      <c r="K28" s="279">
        <f t="shared" si="1"/>
        <v>77602</v>
      </c>
      <c r="L28" s="280">
        <v>7.9000000000000001E-2</v>
      </c>
      <c r="M28" s="280">
        <v>0.193</v>
      </c>
      <c r="N28" s="281">
        <v>0.16</v>
      </c>
      <c r="O28" s="282">
        <f t="shared" si="2"/>
        <v>248.376</v>
      </c>
      <c r="P28" s="283">
        <f t="shared" si="3"/>
        <v>1450.914</v>
      </c>
      <c r="Q28" s="275">
        <f t="shared" si="4"/>
        <v>115.182</v>
      </c>
      <c r="R28" s="283">
        <f t="shared" si="4"/>
        <v>571.08699999999999</v>
      </c>
      <c r="S28" s="275">
        <f t="shared" si="5"/>
        <v>686.26900000000001</v>
      </c>
      <c r="T28" s="283">
        <f t="shared" si="0"/>
        <v>10580.067000000001</v>
      </c>
      <c r="U28" s="283">
        <f t="shared" si="6"/>
        <v>11266.336000000001</v>
      </c>
      <c r="V28" s="283">
        <f t="shared" si="7"/>
        <v>12717.250000000002</v>
      </c>
    </row>
    <row r="29" spans="1:22" ht="24.95" customHeight="1" x14ac:dyDescent="0.2">
      <c r="A29" s="284" t="s">
        <v>94</v>
      </c>
      <c r="B29" s="285" t="s">
        <v>18</v>
      </c>
      <c r="C29" s="286" t="s">
        <v>286</v>
      </c>
      <c r="D29" s="279">
        <v>57376</v>
      </c>
      <c r="E29" s="279">
        <v>1775</v>
      </c>
      <c r="F29" s="279">
        <v>10855</v>
      </c>
      <c r="G29" s="279">
        <v>787</v>
      </c>
      <c r="H29" s="279">
        <v>1493</v>
      </c>
      <c r="I29" s="279">
        <v>32515</v>
      </c>
      <c r="J29" s="279">
        <v>9951</v>
      </c>
      <c r="K29" s="279">
        <f t="shared" si="1"/>
        <v>45650</v>
      </c>
      <c r="L29" s="280">
        <v>8.5000000000000006E-2</v>
      </c>
      <c r="M29" s="280">
        <v>0.222</v>
      </c>
      <c r="N29" s="281">
        <v>0.183</v>
      </c>
      <c r="O29" s="282">
        <f t="shared" si="2"/>
        <v>150.875</v>
      </c>
      <c r="P29" s="283">
        <f t="shared" si="3"/>
        <v>922.67500000000007</v>
      </c>
      <c r="Q29" s="275">
        <f t="shared" si="4"/>
        <v>66.89500000000001</v>
      </c>
      <c r="R29" s="283">
        <f t="shared" si="4"/>
        <v>331.44600000000003</v>
      </c>
      <c r="S29" s="275">
        <f t="shared" si="5"/>
        <v>398.34100000000001</v>
      </c>
      <c r="T29" s="283">
        <f t="shared" si="0"/>
        <v>7218.33</v>
      </c>
      <c r="U29" s="283">
        <f t="shared" si="6"/>
        <v>7616.6710000000003</v>
      </c>
      <c r="V29" s="283">
        <f t="shared" si="7"/>
        <v>8539.3459999999995</v>
      </c>
    </row>
    <row r="30" spans="1:22" ht="24.95" customHeight="1" x14ac:dyDescent="0.2">
      <c r="A30" s="284" t="s">
        <v>78</v>
      </c>
      <c r="B30" s="285" t="s">
        <v>17</v>
      </c>
      <c r="C30" s="286" t="s">
        <v>286</v>
      </c>
      <c r="D30" s="279">
        <v>104288</v>
      </c>
      <c r="E30" s="279">
        <v>4666</v>
      </c>
      <c r="F30" s="279">
        <v>20981</v>
      </c>
      <c r="G30" s="279">
        <v>1235</v>
      </c>
      <c r="H30" s="279">
        <v>3506</v>
      </c>
      <c r="I30" s="279">
        <v>56727</v>
      </c>
      <c r="J30" s="279">
        <v>17173</v>
      </c>
      <c r="K30" s="279">
        <f t="shared" si="1"/>
        <v>82449</v>
      </c>
      <c r="L30" s="280">
        <v>0.08</v>
      </c>
      <c r="M30" s="280">
        <v>0.20200000000000001</v>
      </c>
      <c r="N30" s="281">
        <v>0.16600000000000001</v>
      </c>
      <c r="O30" s="282">
        <f t="shared" si="2"/>
        <v>373.28000000000003</v>
      </c>
      <c r="P30" s="283">
        <f t="shared" si="3"/>
        <v>1678.48</v>
      </c>
      <c r="Q30" s="275">
        <f t="shared" si="4"/>
        <v>98.8</v>
      </c>
      <c r="R30" s="283">
        <f t="shared" si="4"/>
        <v>708.21199999999999</v>
      </c>
      <c r="S30" s="275">
        <f t="shared" si="5"/>
        <v>807.01199999999994</v>
      </c>
      <c r="T30" s="283">
        <f t="shared" si="0"/>
        <v>11458.854000000001</v>
      </c>
      <c r="U30" s="283">
        <f t="shared" si="6"/>
        <v>12265.866000000002</v>
      </c>
      <c r="V30" s="283">
        <f t="shared" si="7"/>
        <v>13944.346000000001</v>
      </c>
    </row>
    <row r="31" spans="1:22" ht="24.95" customHeight="1" x14ac:dyDescent="0.2">
      <c r="A31" s="284" t="s">
        <v>46</v>
      </c>
      <c r="B31" s="285" t="s">
        <v>13</v>
      </c>
      <c r="C31" s="286" t="s">
        <v>285</v>
      </c>
      <c r="D31" s="279">
        <v>334466</v>
      </c>
      <c r="E31" s="279">
        <v>16582</v>
      </c>
      <c r="F31" s="279">
        <v>72833</v>
      </c>
      <c r="G31" s="279">
        <v>4351</v>
      </c>
      <c r="H31" s="279">
        <v>11340</v>
      </c>
      <c r="I31" s="279">
        <v>193061</v>
      </c>
      <c r="J31" s="279">
        <v>36299</v>
      </c>
      <c r="K31" s="279">
        <f t="shared" si="1"/>
        <v>281585</v>
      </c>
      <c r="L31" s="280">
        <v>8.5999999999999993E-2</v>
      </c>
      <c r="M31" s="280">
        <v>0.22800000000000001</v>
      </c>
      <c r="N31" s="281">
        <v>0.184</v>
      </c>
      <c r="O31" s="282">
        <f t="shared" si="2"/>
        <v>1426.0519999999999</v>
      </c>
      <c r="P31" s="283">
        <f t="shared" si="3"/>
        <v>6263.6379999999999</v>
      </c>
      <c r="Q31" s="275">
        <f t="shared" si="4"/>
        <v>374.18599999999998</v>
      </c>
      <c r="R31" s="283">
        <f t="shared" si="4"/>
        <v>2585.52</v>
      </c>
      <c r="S31" s="275">
        <f t="shared" si="5"/>
        <v>2959.7060000000001</v>
      </c>
      <c r="T31" s="283">
        <f t="shared" si="0"/>
        <v>44017.908000000003</v>
      </c>
      <c r="U31" s="283">
        <f t="shared" si="6"/>
        <v>46977.614000000001</v>
      </c>
      <c r="V31" s="283">
        <f t="shared" si="7"/>
        <v>53241.252</v>
      </c>
    </row>
    <row r="32" spans="1:22" ht="24.95" customHeight="1" x14ac:dyDescent="0.2">
      <c r="A32" s="284" t="s">
        <v>79</v>
      </c>
      <c r="B32" s="285" t="s">
        <v>17</v>
      </c>
      <c r="C32" s="286" t="s">
        <v>286</v>
      </c>
      <c r="D32" s="279">
        <v>24055</v>
      </c>
      <c r="E32" s="279">
        <v>571</v>
      </c>
      <c r="F32" s="279">
        <v>4474</v>
      </c>
      <c r="G32" s="279">
        <v>322</v>
      </c>
      <c r="H32" s="279">
        <v>610</v>
      </c>
      <c r="I32" s="279">
        <v>14465</v>
      </c>
      <c r="J32" s="279">
        <v>3613</v>
      </c>
      <c r="K32" s="279">
        <f t="shared" si="1"/>
        <v>19871</v>
      </c>
      <c r="L32" s="280">
        <v>7.0000000000000007E-2</v>
      </c>
      <c r="M32" s="280">
        <v>0.19800000000000001</v>
      </c>
      <c r="N32" s="281">
        <v>0.16200000000000001</v>
      </c>
      <c r="O32" s="282">
        <f t="shared" si="2"/>
        <v>39.970000000000006</v>
      </c>
      <c r="P32" s="283">
        <f t="shared" si="3"/>
        <v>313.18</v>
      </c>
      <c r="Q32" s="275">
        <f t="shared" si="4"/>
        <v>22.540000000000003</v>
      </c>
      <c r="R32" s="283">
        <f t="shared" si="4"/>
        <v>120.78</v>
      </c>
      <c r="S32" s="275">
        <f t="shared" si="5"/>
        <v>143.32</v>
      </c>
      <c r="T32" s="283">
        <f t="shared" si="0"/>
        <v>2864.07</v>
      </c>
      <c r="U32" s="283">
        <f t="shared" si="6"/>
        <v>3007.3900000000003</v>
      </c>
      <c r="V32" s="283">
        <f t="shared" si="7"/>
        <v>3320.57</v>
      </c>
    </row>
    <row r="33" spans="1:22" ht="24.95" customHeight="1" x14ac:dyDescent="0.2">
      <c r="A33" s="284" t="s">
        <v>80</v>
      </c>
      <c r="B33" s="285" t="s">
        <v>17</v>
      </c>
      <c r="C33" s="286" t="s">
        <v>286</v>
      </c>
      <c r="D33" s="279">
        <v>35471</v>
      </c>
      <c r="E33" s="279">
        <v>1083</v>
      </c>
      <c r="F33" s="279">
        <v>5746</v>
      </c>
      <c r="G33" s="279">
        <v>339</v>
      </c>
      <c r="H33" s="279">
        <v>579</v>
      </c>
      <c r="I33" s="279">
        <v>21198</v>
      </c>
      <c r="J33" s="279">
        <v>6526</v>
      </c>
      <c r="K33" s="279">
        <f t="shared" si="1"/>
        <v>27862</v>
      </c>
      <c r="L33" s="280">
        <v>7.8E-2</v>
      </c>
      <c r="M33" s="280">
        <v>0.182</v>
      </c>
      <c r="N33" s="281">
        <v>0.157</v>
      </c>
      <c r="O33" s="282">
        <f t="shared" si="2"/>
        <v>84.474000000000004</v>
      </c>
      <c r="P33" s="283">
        <f t="shared" si="3"/>
        <v>448.18799999999999</v>
      </c>
      <c r="Q33" s="275">
        <f t="shared" si="4"/>
        <v>26.442</v>
      </c>
      <c r="R33" s="283">
        <f t="shared" si="4"/>
        <v>105.378</v>
      </c>
      <c r="S33" s="275">
        <f t="shared" si="5"/>
        <v>131.82</v>
      </c>
      <c r="T33" s="283">
        <f t="shared" si="0"/>
        <v>3858.0360000000001</v>
      </c>
      <c r="U33" s="283">
        <f t="shared" si="6"/>
        <v>3989.8560000000002</v>
      </c>
      <c r="V33" s="283">
        <f t="shared" si="7"/>
        <v>4438.0439999999999</v>
      </c>
    </row>
    <row r="34" spans="1:22" ht="24.95" customHeight="1" x14ac:dyDescent="0.2">
      <c r="A34" s="284" t="s">
        <v>54</v>
      </c>
      <c r="B34" s="285" t="s">
        <v>14</v>
      </c>
      <c r="C34" s="286" t="s">
        <v>285</v>
      </c>
      <c r="D34" s="279">
        <v>164110</v>
      </c>
      <c r="E34" s="279">
        <v>5151</v>
      </c>
      <c r="F34" s="279">
        <v>31783</v>
      </c>
      <c r="G34" s="279">
        <v>1884</v>
      </c>
      <c r="H34" s="279">
        <v>3922</v>
      </c>
      <c r="I34" s="279">
        <v>94532</v>
      </c>
      <c r="J34" s="279">
        <v>26838</v>
      </c>
      <c r="K34" s="279">
        <f t="shared" si="1"/>
        <v>132121</v>
      </c>
      <c r="L34" s="280">
        <v>7.8E-2</v>
      </c>
      <c r="M34" s="280">
        <v>0.20499999999999999</v>
      </c>
      <c r="N34" s="281">
        <v>0.16900000000000001</v>
      </c>
      <c r="O34" s="282">
        <f t="shared" si="2"/>
        <v>401.77800000000002</v>
      </c>
      <c r="P34" s="283">
        <f t="shared" si="3"/>
        <v>2479.0740000000001</v>
      </c>
      <c r="Q34" s="275">
        <f t="shared" si="4"/>
        <v>146.952</v>
      </c>
      <c r="R34" s="283">
        <f t="shared" si="4"/>
        <v>804.01</v>
      </c>
      <c r="S34" s="275">
        <f t="shared" si="5"/>
        <v>950.96199999999999</v>
      </c>
      <c r="T34" s="283">
        <f t="shared" si="0"/>
        <v>19379.059999999998</v>
      </c>
      <c r="U34" s="283">
        <f t="shared" si="6"/>
        <v>20330.021999999997</v>
      </c>
      <c r="V34" s="283">
        <f t="shared" si="7"/>
        <v>22809.095999999998</v>
      </c>
    </row>
    <row r="35" spans="1:22" ht="24.95" customHeight="1" x14ac:dyDescent="0.2">
      <c r="A35" s="284" t="s">
        <v>65</v>
      </c>
      <c r="B35" s="285" t="s">
        <v>15</v>
      </c>
      <c r="C35" s="286" t="s">
        <v>286</v>
      </c>
      <c r="D35" s="279">
        <v>41647</v>
      </c>
      <c r="E35" s="279">
        <v>1195</v>
      </c>
      <c r="F35" s="279">
        <v>7740</v>
      </c>
      <c r="G35" s="279">
        <v>582</v>
      </c>
      <c r="H35" s="279">
        <v>952</v>
      </c>
      <c r="I35" s="279">
        <v>23413</v>
      </c>
      <c r="J35" s="279">
        <v>7765</v>
      </c>
      <c r="K35" s="279">
        <f t="shared" si="1"/>
        <v>32687</v>
      </c>
      <c r="L35" s="280">
        <v>7.5999999999999998E-2</v>
      </c>
      <c r="M35" s="280">
        <v>0.19800000000000001</v>
      </c>
      <c r="N35" s="281">
        <v>0.16300000000000001</v>
      </c>
      <c r="O35" s="282">
        <f t="shared" si="2"/>
        <v>90.82</v>
      </c>
      <c r="P35" s="283">
        <f t="shared" si="3"/>
        <v>588.24</v>
      </c>
      <c r="Q35" s="275">
        <f t="shared" si="4"/>
        <v>44.231999999999999</v>
      </c>
      <c r="R35" s="283">
        <f t="shared" si="4"/>
        <v>188.49600000000001</v>
      </c>
      <c r="S35" s="275">
        <f t="shared" si="5"/>
        <v>232.72800000000001</v>
      </c>
      <c r="T35" s="283">
        <f t="shared" si="0"/>
        <v>4635.7740000000003</v>
      </c>
      <c r="U35" s="283">
        <f t="shared" si="6"/>
        <v>4868.5020000000004</v>
      </c>
      <c r="V35" s="283">
        <f t="shared" si="7"/>
        <v>5456.7420000000002</v>
      </c>
    </row>
    <row r="36" spans="1:22" ht="24.95" customHeight="1" x14ac:dyDescent="0.2">
      <c r="A36" s="284" t="s">
        <v>95</v>
      </c>
      <c r="B36" s="285" t="s">
        <v>18</v>
      </c>
      <c r="C36" s="286" t="s">
        <v>286</v>
      </c>
      <c r="D36" s="279">
        <v>60453</v>
      </c>
      <c r="E36" s="279">
        <v>2260</v>
      </c>
      <c r="F36" s="279">
        <v>12585</v>
      </c>
      <c r="G36" s="279">
        <v>801</v>
      </c>
      <c r="H36" s="279">
        <v>1523</v>
      </c>
      <c r="I36" s="279">
        <v>33466</v>
      </c>
      <c r="J36" s="279">
        <v>9818</v>
      </c>
      <c r="K36" s="279">
        <f t="shared" si="1"/>
        <v>48375</v>
      </c>
      <c r="L36" s="280">
        <v>0.1</v>
      </c>
      <c r="M36" s="280">
        <v>0.26700000000000002</v>
      </c>
      <c r="N36" s="281">
        <v>0.216</v>
      </c>
      <c r="O36" s="282">
        <f t="shared" si="2"/>
        <v>226</v>
      </c>
      <c r="P36" s="283">
        <f t="shared" si="3"/>
        <v>1258.5</v>
      </c>
      <c r="Q36" s="275">
        <f t="shared" si="4"/>
        <v>80.100000000000009</v>
      </c>
      <c r="R36" s="283">
        <f t="shared" si="4"/>
        <v>406.64100000000002</v>
      </c>
      <c r="S36" s="275">
        <f t="shared" si="5"/>
        <v>486.74100000000004</v>
      </c>
      <c r="T36" s="283">
        <f t="shared" si="0"/>
        <v>8935.4220000000005</v>
      </c>
      <c r="U36" s="283">
        <f t="shared" si="6"/>
        <v>9422.1630000000005</v>
      </c>
      <c r="V36" s="283">
        <f t="shared" si="7"/>
        <v>10680.663</v>
      </c>
    </row>
    <row r="37" spans="1:22" ht="24.95" customHeight="1" x14ac:dyDescent="0.2">
      <c r="A37" s="284" t="s">
        <v>47</v>
      </c>
      <c r="B37" s="285" t="s">
        <v>13</v>
      </c>
      <c r="C37" s="286" t="s">
        <v>285</v>
      </c>
      <c r="D37" s="279">
        <v>291413</v>
      </c>
      <c r="E37" s="279">
        <v>12769</v>
      </c>
      <c r="F37" s="279">
        <v>54262</v>
      </c>
      <c r="G37" s="279">
        <v>4015</v>
      </c>
      <c r="H37" s="279">
        <v>9915</v>
      </c>
      <c r="I37" s="279">
        <v>178175</v>
      </c>
      <c r="J37" s="279">
        <v>32277</v>
      </c>
      <c r="K37" s="279">
        <f t="shared" si="1"/>
        <v>246367</v>
      </c>
      <c r="L37" s="280">
        <v>9.0999999999999998E-2</v>
      </c>
      <c r="M37" s="280">
        <v>0.215</v>
      </c>
      <c r="N37" s="281">
        <v>0.18099999999999999</v>
      </c>
      <c r="O37" s="282">
        <f t="shared" si="2"/>
        <v>1161.979</v>
      </c>
      <c r="P37" s="283">
        <f t="shared" si="3"/>
        <v>4937.8419999999996</v>
      </c>
      <c r="Q37" s="275">
        <f t="shared" si="4"/>
        <v>365.36500000000001</v>
      </c>
      <c r="R37" s="283">
        <f t="shared" si="4"/>
        <v>2131.7249999999999</v>
      </c>
      <c r="S37" s="275">
        <f t="shared" si="5"/>
        <v>2497.09</v>
      </c>
      <c r="T37" s="283">
        <f t="shared" si="0"/>
        <v>38307.625</v>
      </c>
      <c r="U37" s="283">
        <f t="shared" si="6"/>
        <v>40804.714999999997</v>
      </c>
      <c r="V37" s="283">
        <f t="shared" si="7"/>
        <v>45742.556999999993</v>
      </c>
    </row>
    <row r="38" spans="1:22" ht="24.95" customHeight="1" x14ac:dyDescent="0.2">
      <c r="A38" s="284" t="s">
        <v>96</v>
      </c>
      <c r="B38" s="285" t="s">
        <v>18</v>
      </c>
      <c r="C38" s="286" t="s">
        <v>286</v>
      </c>
      <c r="D38" s="279">
        <v>55735</v>
      </c>
      <c r="E38" s="279">
        <v>1889</v>
      </c>
      <c r="F38" s="279">
        <v>11061</v>
      </c>
      <c r="G38" s="279">
        <v>783</v>
      </c>
      <c r="H38" s="279">
        <v>1516</v>
      </c>
      <c r="I38" s="279">
        <v>31210</v>
      </c>
      <c r="J38" s="279">
        <v>9276</v>
      </c>
      <c r="K38" s="279">
        <f t="shared" si="1"/>
        <v>44570</v>
      </c>
      <c r="L38" s="280">
        <v>8.7999999999999995E-2</v>
      </c>
      <c r="M38" s="280">
        <v>0.222</v>
      </c>
      <c r="N38" s="281">
        <v>0.182</v>
      </c>
      <c r="O38" s="282">
        <f t="shared" si="2"/>
        <v>166.232</v>
      </c>
      <c r="P38" s="283">
        <f t="shared" si="3"/>
        <v>973.36799999999994</v>
      </c>
      <c r="Q38" s="275">
        <f t="shared" si="4"/>
        <v>68.903999999999996</v>
      </c>
      <c r="R38" s="283">
        <f t="shared" si="4"/>
        <v>336.55200000000002</v>
      </c>
      <c r="S38" s="275">
        <f t="shared" si="5"/>
        <v>405.45600000000002</v>
      </c>
      <c r="T38" s="283">
        <f t="shared" si="0"/>
        <v>6928.62</v>
      </c>
      <c r="U38" s="283">
        <f t="shared" si="6"/>
        <v>7334.076</v>
      </c>
      <c r="V38" s="283">
        <f t="shared" si="7"/>
        <v>8307.4439999999995</v>
      </c>
    </row>
    <row r="39" spans="1:22" ht="24.95" customHeight="1" x14ac:dyDescent="0.2">
      <c r="A39" s="284" t="s">
        <v>66</v>
      </c>
      <c r="B39" s="285" t="s">
        <v>15</v>
      </c>
      <c r="C39" s="286" t="s">
        <v>285</v>
      </c>
      <c r="D39" s="279">
        <v>363211</v>
      </c>
      <c r="E39" s="279">
        <v>13669</v>
      </c>
      <c r="F39" s="279">
        <v>72775</v>
      </c>
      <c r="G39" s="279">
        <v>4772</v>
      </c>
      <c r="H39" s="279">
        <v>9984</v>
      </c>
      <c r="I39" s="279">
        <v>209664</v>
      </c>
      <c r="J39" s="279">
        <v>52347</v>
      </c>
      <c r="K39" s="279">
        <f t="shared" si="1"/>
        <v>297195</v>
      </c>
      <c r="L39" s="280">
        <v>8.8999999999999996E-2</v>
      </c>
      <c r="M39" s="280">
        <v>0.20300000000000001</v>
      </c>
      <c r="N39" s="281">
        <v>0.16900000000000001</v>
      </c>
      <c r="O39" s="282">
        <f t="shared" si="2"/>
        <v>1216.5409999999999</v>
      </c>
      <c r="P39" s="283">
        <f t="shared" si="3"/>
        <v>6476.9749999999995</v>
      </c>
      <c r="Q39" s="275">
        <f t="shared" ref="Q39:R70" si="8">L39*G39</f>
        <v>424.70799999999997</v>
      </c>
      <c r="R39" s="283">
        <f t="shared" si="8"/>
        <v>2026.7520000000002</v>
      </c>
      <c r="S39" s="275">
        <f t="shared" si="5"/>
        <v>2451.46</v>
      </c>
      <c r="T39" s="283">
        <f t="shared" si="0"/>
        <v>42561.792000000001</v>
      </c>
      <c r="U39" s="283">
        <f t="shared" si="6"/>
        <v>45013.252</v>
      </c>
      <c r="V39" s="283">
        <f t="shared" si="7"/>
        <v>51490.226999999999</v>
      </c>
    </row>
    <row r="40" spans="1:22" ht="24.95" customHeight="1" x14ac:dyDescent="0.2">
      <c r="A40" s="284" t="s">
        <v>55</v>
      </c>
      <c r="B40" s="285" t="s">
        <v>14</v>
      </c>
      <c r="C40" s="286" t="s">
        <v>286</v>
      </c>
      <c r="D40" s="279">
        <v>63496</v>
      </c>
      <c r="E40" s="279">
        <v>2018</v>
      </c>
      <c r="F40" s="279">
        <v>12618</v>
      </c>
      <c r="G40" s="279">
        <v>876</v>
      </c>
      <c r="H40" s="279">
        <v>1554</v>
      </c>
      <c r="I40" s="279">
        <v>36950</v>
      </c>
      <c r="J40" s="279">
        <v>9480</v>
      </c>
      <c r="K40" s="279">
        <f t="shared" si="1"/>
        <v>51998</v>
      </c>
      <c r="L40" s="280">
        <v>8.4000000000000005E-2</v>
      </c>
      <c r="M40" s="280">
        <v>0.23</v>
      </c>
      <c r="N40" s="281">
        <v>0.187</v>
      </c>
      <c r="O40" s="282">
        <f t="shared" si="2"/>
        <v>169.512</v>
      </c>
      <c r="P40" s="283">
        <f t="shared" si="3"/>
        <v>1059.912</v>
      </c>
      <c r="Q40" s="275">
        <f t="shared" si="8"/>
        <v>73.584000000000003</v>
      </c>
      <c r="R40" s="283">
        <f t="shared" si="8"/>
        <v>357.42</v>
      </c>
      <c r="S40" s="275">
        <f t="shared" si="5"/>
        <v>431.00400000000002</v>
      </c>
      <c r="T40" s="283">
        <f t="shared" si="0"/>
        <v>8498.5</v>
      </c>
      <c r="U40" s="283">
        <f t="shared" si="6"/>
        <v>8929.5040000000008</v>
      </c>
      <c r="V40" s="283">
        <f t="shared" si="7"/>
        <v>9989.4160000000011</v>
      </c>
    </row>
    <row r="41" spans="1:22" ht="24.95" customHeight="1" x14ac:dyDescent="0.2">
      <c r="A41" s="284" t="s">
        <v>109</v>
      </c>
      <c r="B41" s="285" t="s">
        <v>20</v>
      </c>
      <c r="C41" s="286" t="s">
        <v>285</v>
      </c>
      <c r="D41" s="279">
        <v>210980</v>
      </c>
      <c r="E41" s="279">
        <v>7429</v>
      </c>
      <c r="F41" s="279">
        <v>41214</v>
      </c>
      <c r="G41" s="279">
        <v>2831</v>
      </c>
      <c r="H41" s="279">
        <v>5483</v>
      </c>
      <c r="I41" s="279">
        <v>122842</v>
      </c>
      <c r="J41" s="279">
        <v>31181</v>
      </c>
      <c r="K41" s="279">
        <f t="shared" si="1"/>
        <v>172370</v>
      </c>
      <c r="L41" s="280">
        <v>0.08</v>
      </c>
      <c r="M41" s="280">
        <v>0.20300000000000001</v>
      </c>
      <c r="N41" s="281">
        <v>0.16800000000000001</v>
      </c>
      <c r="O41" s="282">
        <f t="shared" si="2"/>
        <v>594.32000000000005</v>
      </c>
      <c r="P41" s="283">
        <f t="shared" si="3"/>
        <v>3297.12</v>
      </c>
      <c r="Q41" s="275">
        <f t="shared" si="8"/>
        <v>226.48000000000002</v>
      </c>
      <c r="R41" s="283">
        <f t="shared" si="8"/>
        <v>1113.049</v>
      </c>
      <c r="S41" s="275">
        <f t="shared" si="5"/>
        <v>1339.529</v>
      </c>
      <c r="T41" s="283">
        <f t="shared" si="0"/>
        <v>24936.926000000003</v>
      </c>
      <c r="U41" s="283">
        <f t="shared" si="6"/>
        <v>26276.455000000002</v>
      </c>
      <c r="V41" s="283">
        <f t="shared" si="7"/>
        <v>29573.575000000001</v>
      </c>
    </row>
    <row r="42" spans="1:22" ht="24.95" customHeight="1" x14ac:dyDescent="0.2">
      <c r="A42" s="284" t="s">
        <v>81</v>
      </c>
      <c r="B42" s="285" t="s">
        <v>17</v>
      </c>
      <c r="C42" s="286" t="s">
        <v>286</v>
      </c>
      <c r="D42" s="279">
        <v>11263</v>
      </c>
      <c r="E42" s="279">
        <v>253</v>
      </c>
      <c r="F42" s="279">
        <v>1965</v>
      </c>
      <c r="G42" s="279">
        <v>148</v>
      </c>
      <c r="H42" s="279">
        <v>364</v>
      </c>
      <c r="I42" s="279">
        <v>6509</v>
      </c>
      <c r="J42" s="279">
        <v>2024</v>
      </c>
      <c r="K42" s="279">
        <f t="shared" si="1"/>
        <v>8986</v>
      </c>
      <c r="L42" s="280">
        <v>7.6999999999999999E-2</v>
      </c>
      <c r="M42" s="280">
        <v>0.22800000000000001</v>
      </c>
      <c r="N42" s="281">
        <v>0.185</v>
      </c>
      <c r="O42" s="282">
        <f t="shared" si="2"/>
        <v>19.480999999999998</v>
      </c>
      <c r="P42" s="283">
        <f t="shared" si="3"/>
        <v>151.30500000000001</v>
      </c>
      <c r="Q42" s="275">
        <f t="shared" si="8"/>
        <v>11.395999999999999</v>
      </c>
      <c r="R42" s="283">
        <f t="shared" si="8"/>
        <v>82.992000000000004</v>
      </c>
      <c r="S42" s="275">
        <f t="shared" si="5"/>
        <v>94.388000000000005</v>
      </c>
      <c r="T42" s="283">
        <f t="shared" si="0"/>
        <v>1484.0520000000001</v>
      </c>
      <c r="U42" s="283">
        <f t="shared" si="6"/>
        <v>1578.44</v>
      </c>
      <c r="V42" s="283">
        <f t="shared" si="7"/>
        <v>1729.7450000000001</v>
      </c>
    </row>
    <row r="43" spans="1:22" ht="24.95" customHeight="1" x14ac:dyDescent="0.2">
      <c r="A43" s="284" t="s">
        <v>131</v>
      </c>
      <c r="B43" s="285" t="s">
        <v>292</v>
      </c>
      <c r="C43" s="286" t="s">
        <v>286</v>
      </c>
      <c r="D43" s="279">
        <v>8979</v>
      </c>
      <c r="E43" s="279">
        <v>271</v>
      </c>
      <c r="F43" s="279">
        <v>1607</v>
      </c>
      <c r="G43" s="279">
        <v>106</v>
      </c>
      <c r="H43" s="279">
        <v>217</v>
      </c>
      <c r="I43" s="279">
        <v>4772</v>
      </c>
      <c r="J43" s="279">
        <v>2006</v>
      </c>
      <c r="K43" s="279">
        <f t="shared" si="1"/>
        <v>6702</v>
      </c>
      <c r="L43" s="280">
        <v>7.9000000000000001E-2</v>
      </c>
      <c r="M43" s="280">
        <v>0.20399999999999999</v>
      </c>
      <c r="N43" s="281">
        <v>0.16900000000000001</v>
      </c>
      <c r="O43" s="282">
        <f t="shared" si="2"/>
        <v>21.408999999999999</v>
      </c>
      <c r="P43" s="283">
        <f t="shared" si="3"/>
        <v>126.953</v>
      </c>
      <c r="Q43" s="275">
        <f t="shared" si="8"/>
        <v>8.3740000000000006</v>
      </c>
      <c r="R43" s="283">
        <f t="shared" si="8"/>
        <v>44.268000000000001</v>
      </c>
      <c r="S43" s="275">
        <f t="shared" si="5"/>
        <v>52.642000000000003</v>
      </c>
      <c r="T43" s="283">
        <f t="shared" si="0"/>
        <v>973.48799999999994</v>
      </c>
      <c r="U43" s="283">
        <f t="shared" si="6"/>
        <v>1026.1299999999999</v>
      </c>
      <c r="V43" s="283">
        <f t="shared" si="7"/>
        <v>1153.0829999999999</v>
      </c>
    </row>
    <row r="44" spans="1:22" ht="24.95" customHeight="1" x14ac:dyDescent="0.2">
      <c r="A44" s="284" t="s">
        <v>56</v>
      </c>
      <c r="B44" s="285" t="s">
        <v>14</v>
      </c>
      <c r="C44" s="286" t="s">
        <v>286</v>
      </c>
      <c r="D44" s="279">
        <v>58042</v>
      </c>
      <c r="E44" s="279">
        <v>1631</v>
      </c>
      <c r="F44" s="279">
        <v>10344</v>
      </c>
      <c r="G44" s="279">
        <v>727</v>
      </c>
      <c r="H44" s="279">
        <v>1892</v>
      </c>
      <c r="I44" s="279">
        <v>34871</v>
      </c>
      <c r="J44" s="279">
        <v>8577</v>
      </c>
      <c r="K44" s="279">
        <f t="shared" si="1"/>
        <v>47834</v>
      </c>
      <c r="L44" s="280">
        <v>8.4000000000000005E-2</v>
      </c>
      <c r="M44" s="280">
        <v>0.20499999999999999</v>
      </c>
      <c r="N44" s="281">
        <v>0.17299999999999999</v>
      </c>
      <c r="O44" s="282">
        <f t="shared" si="2"/>
        <v>137.00400000000002</v>
      </c>
      <c r="P44" s="283">
        <f t="shared" si="3"/>
        <v>868.89600000000007</v>
      </c>
      <c r="Q44" s="275">
        <f t="shared" si="8"/>
        <v>61.068000000000005</v>
      </c>
      <c r="R44" s="283">
        <f t="shared" si="8"/>
        <v>387.85999999999996</v>
      </c>
      <c r="S44" s="275">
        <f t="shared" si="5"/>
        <v>448.92799999999994</v>
      </c>
      <c r="T44" s="283">
        <f t="shared" si="0"/>
        <v>7148.5549999999994</v>
      </c>
      <c r="U44" s="283">
        <f t="shared" si="6"/>
        <v>7597.4829999999993</v>
      </c>
      <c r="V44" s="283">
        <f t="shared" si="7"/>
        <v>8466.378999999999</v>
      </c>
    </row>
    <row r="45" spans="1:22" ht="24.95" customHeight="1" x14ac:dyDescent="0.2">
      <c r="A45" s="284" t="s">
        <v>97</v>
      </c>
      <c r="B45" s="285" t="s">
        <v>18</v>
      </c>
      <c r="C45" s="286" t="s">
        <v>286</v>
      </c>
      <c r="D45" s="279">
        <v>21059</v>
      </c>
      <c r="E45" s="279">
        <v>633</v>
      </c>
      <c r="F45" s="279">
        <v>4092</v>
      </c>
      <c r="G45" s="279">
        <v>246</v>
      </c>
      <c r="H45" s="279">
        <v>439</v>
      </c>
      <c r="I45" s="279">
        <v>12639</v>
      </c>
      <c r="J45" s="279">
        <v>3010</v>
      </c>
      <c r="K45" s="279">
        <f t="shared" si="1"/>
        <v>17416</v>
      </c>
      <c r="L45" s="280">
        <v>9.7000000000000003E-2</v>
      </c>
      <c r="M45" s="280">
        <v>0.27</v>
      </c>
      <c r="N45" s="281">
        <v>0.223</v>
      </c>
      <c r="O45" s="282">
        <f t="shared" si="2"/>
        <v>61.401000000000003</v>
      </c>
      <c r="P45" s="283">
        <f t="shared" si="3"/>
        <v>396.92400000000004</v>
      </c>
      <c r="Q45" s="275">
        <f t="shared" si="8"/>
        <v>23.862000000000002</v>
      </c>
      <c r="R45" s="283">
        <f t="shared" si="8"/>
        <v>118.53</v>
      </c>
      <c r="S45" s="275">
        <f t="shared" si="5"/>
        <v>142.392</v>
      </c>
      <c r="T45" s="283">
        <f t="shared" si="0"/>
        <v>3412.53</v>
      </c>
      <c r="U45" s="283">
        <f t="shared" si="6"/>
        <v>3554.922</v>
      </c>
      <c r="V45" s="283">
        <f t="shared" si="7"/>
        <v>3951.846</v>
      </c>
    </row>
    <row r="46" spans="1:22" ht="24.95" customHeight="1" x14ac:dyDescent="0.2">
      <c r="A46" s="284" t="s">
        <v>115</v>
      </c>
      <c r="B46" s="285" t="s">
        <v>21</v>
      </c>
      <c r="C46" s="286" t="s">
        <v>285</v>
      </c>
      <c r="D46" s="279">
        <v>513089</v>
      </c>
      <c r="E46" s="279">
        <v>18128</v>
      </c>
      <c r="F46" s="279">
        <v>96852</v>
      </c>
      <c r="G46" s="279">
        <v>8274</v>
      </c>
      <c r="H46" s="279">
        <v>18750</v>
      </c>
      <c r="I46" s="279">
        <v>300463</v>
      </c>
      <c r="J46" s="279">
        <v>70622</v>
      </c>
      <c r="K46" s="279">
        <f t="shared" si="1"/>
        <v>424339</v>
      </c>
      <c r="L46" s="280">
        <v>8.5000000000000006E-2</v>
      </c>
      <c r="M46" s="280">
        <v>0.20300000000000001</v>
      </c>
      <c r="N46" s="281">
        <v>0.16900000000000001</v>
      </c>
      <c r="O46" s="282">
        <f t="shared" si="2"/>
        <v>1540.88</v>
      </c>
      <c r="P46" s="283">
        <f t="shared" si="3"/>
        <v>8232.42</v>
      </c>
      <c r="Q46" s="275">
        <f t="shared" si="8"/>
        <v>703.29000000000008</v>
      </c>
      <c r="R46" s="283">
        <f t="shared" si="8"/>
        <v>3806.2500000000005</v>
      </c>
      <c r="S46" s="275">
        <f t="shared" si="5"/>
        <v>4509.5400000000009</v>
      </c>
      <c r="T46" s="283">
        <f t="shared" si="0"/>
        <v>60993.989000000001</v>
      </c>
      <c r="U46" s="283">
        <f t="shared" si="6"/>
        <v>65503.529000000002</v>
      </c>
      <c r="V46" s="283">
        <f t="shared" si="7"/>
        <v>73735.949000000008</v>
      </c>
    </row>
    <row r="47" spans="1:22" ht="24.95" customHeight="1" x14ac:dyDescent="0.2">
      <c r="A47" s="284" t="s">
        <v>57</v>
      </c>
      <c r="B47" s="285" t="s">
        <v>14</v>
      </c>
      <c r="C47" s="286" t="s">
        <v>286</v>
      </c>
      <c r="D47" s="279">
        <v>53432</v>
      </c>
      <c r="E47" s="279">
        <v>1660</v>
      </c>
      <c r="F47" s="279">
        <v>9959</v>
      </c>
      <c r="G47" s="279">
        <v>593</v>
      </c>
      <c r="H47" s="279">
        <v>1348</v>
      </c>
      <c r="I47" s="279">
        <v>30210</v>
      </c>
      <c r="J47" s="279">
        <v>9662</v>
      </c>
      <c r="K47" s="279">
        <f t="shared" si="1"/>
        <v>42110</v>
      </c>
      <c r="L47" s="280">
        <v>8.5999999999999993E-2</v>
      </c>
      <c r="M47" s="280">
        <v>0.23</v>
      </c>
      <c r="N47" s="281">
        <v>0.189</v>
      </c>
      <c r="O47" s="282">
        <f t="shared" si="2"/>
        <v>142.76</v>
      </c>
      <c r="P47" s="283">
        <f t="shared" si="3"/>
        <v>856.47399999999993</v>
      </c>
      <c r="Q47" s="275">
        <f t="shared" si="8"/>
        <v>50.997999999999998</v>
      </c>
      <c r="R47" s="283">
        <f t="shared" si="8"/>
        <v>310.04000000000002</v>
      </c>
      <c r="S47" s="275">
        <f t="shared" si="5"/>
        <v>361.03800000000001</v>
      </c>
      <c r="T47" s="283">
        <f t="shared" si="0"/>
        <v>6948.3</v>
      </c>
      <c r="U47" s="283">
        <f t="shared" si="6"/>
        <v>7309.3379999999997</v>
      </c>
      <c r="V47" s="283">
        <f t="shared" si="7"/>
        <v>8165.8119999999999</v>
      </c>
    </row>
    <row r="48" spans="1:22" ht="24.95" customHeight="1" x14ac:dyDescent="0.2">
      <c r="A48" s="284" t="s">
        <v>116</v>
      </c>
      <c r="B48" s="285" t="s">
        <v>21</v>
      </c>
      <c r="C48" s="286" t="s">
        <v>286</v>
      </c>
      <c r="D48" s="279">
        <v>125646</v>
      </c>
      <c r="E48" s="279">
        <v>5438</v>
      </c>
      <c r="F48" s="279">
        <v>28927</v>
      </c>
      <c r="G48" s="279">
        <v>1887</v>
      </c>
      <c r="H48" s="279">
        <v>3654</v>
      </c>
      <c r="I48" s="279">
        <v>71054</v>
      </c>
      <c r="J48" s="279">
        <v>14686</v>
      </c>
      <c r="K48" s="279">
        <f t="shared" si="1"/>
        <v>105522</v>
      </c>
      <c r="L48" s="280">
        <v>8.5000000000000006E-2</v>
      </c>
      <c r="M48" s="280">
        <v>0.24299999999999999</v>
      </c>
      <c r="N48" s="281">
        <v>0.191</v>
      </c>
      <c r="O48" s="282">
        <f t="shared" si="2"/>
        <v>462.23</v>
      </c>
      <c r="P48" s="283">
        <f t="shared" si="3"/>
        <v>2458.7950000000001</v>
      </c>
      <c r="Q48" s="275">
        <f t="shared" si="8"/>
        <v>160.39500000000001</v>
      </c>
      <c r="R48" s="283">
        <f t="shared" si="8"/>
        <v>887.92200000000003</v>
      </c>
      <c r="S48" s="275">
        <f t="shared" si="5"/>
        <v>1048.317</v>
      </c>
      <c r="T48" s="283">
        <f t="shared" si="0"/>
        <v>17266.121999999999</v>
      </c>
      <c r="U48" s="283">
        <f t="shared" si="6"/>
        <v>18314.438999999998</v>
      </c>
      <c r="V48" s="283">
        <f t="shared" si="7"/>
        <v>20773.233999999997</v>
      </c>
    </row>
    <row r="49" spans="1:22" ht="24.95" customHeight="1" x14ac:dyDescent="0.2">
      <c r="A49" s="284" t="s">
        <v>132</v>
      </c>
      <c r="B49" s="285" t="s">
        <v>292</v>
      </c>
      <c r="C49" s="286" t="s">
        <v>286</v>
      </c>
      <c r="D49" s="279">
        <v>59955</v>
      </c>
      <c r="E49" s="279">
        <v>1667</v>
      </c>
      <c r="F49" s="279">
        <v>9454</v>
      </c>
      <c r="G49" s="279">
        <v>676</v>
      </c>
      <c r="H49" s="279">
        <v>1256</v>
      </c>
      <c r="I49" s="279">
        <v>32712</v>
      </c>
      <c r="J49" s="279">
        <v>14190</v>
      </c>
      <c r="K49" s="279">
        <f t="shared" si="1"/>
        <v>44098</v>
      </c>
      <c r="L49" s="280">
        <v>7.3999999999999996E-2</v>
      </c>
      <c r="M49" s="280">
        <v>0.18</v>
      </c>
      <c r="N49" s="281">
        <v>0.153</v>
      </c>
      <c r="O49" s="282">
        <f t="shared" si="2"/>
        <v>123.35799999999999</v>
      </c>
      <c r="P49" s="283">
        <f t="shared" si="3"/>
        <v>699.596</v>
      </c>
      <c r="Q49" s="275">
        <f t="shared" si="8"/>
        <v>50.024000000000001</v>
      </c>
      <c r="R49" s="283">
        <f t="shared" si="8"/>
        <v>226.07999999999998</v>
      </c>
      <c r="S49" s="275">
        <f t="shared" si="5"/>
        <v>276.10399999999998</v>
      </c>
      <c r="T49" s="283">
        <f t="shared" si="0"/>
        <v>5888.16</v>
      </c>
      <c r="U49" s="283">
        <f t="shared" si="6"/>
        <v>6164.2640000000001</v>
      </c>
      <c r="V49" s="283">
        <f t="shared" si="7"/>
        <v>6863.8600000000006</v>
      </c>
    </row>
    <row r="50" spans="1:22" ht="24.95" customHeight="1" x14ac:dyDescent="0.2">
      <c r="A50" s="284" t="s">
        <v>133</v>
      </c>
      <c r="B50" s="285" t="s">
        <v>292</v>
      </c>
      <c r="C50" s="286" t="s">
        <v>286</v>
      </c>
      <c r="D50" s="279">
        <v>110264</v>
      </c>
      <c r="E50" s="279">
        <v>3198</v>
      </c>
      <c r="F50" s="279">
        <v>18795</v>
      </c>
      <c r="G50" s="279">
        <v>1136</v>
      </c>
      <c r="H50" s="279">
        <v>1922</v>
      </c>
      <c r="I50" s="279">
        <v>58018</v>
      </c>
      <c r="J50" s="279">
        <v>27195</v>
      </c>
      <c r="K50" s="279">
        <f t="shared" si="1"/>
        <v>79871</v>
      </c>
      <c r="L50" s="280">
        <v>8.2000000000000003E-2</v>
      </c>
      <c r="M50" s="280">
        <v>0.2</v>
      </c>
      <c r="N50" s="281">
        <v>0.16800000000000001</v>
      </c>
      <c r="O50" s="282">
        <f t="shared" si="2"/>
        <v>262.23599999999999</v>
      </c>
      <c r="P50" s="283">
        <f t="shared" si="3"/>
        <v>1541.19</v>
      </c>
      <c r="Q50" s="275">
        <f t="shared" si="8"/>
        <v>93.152000000000001</v>
      </c>
      <c r="R50" s="283">
        <f t="shared" si="8"/>
        <v>384.40000000000003</v>
      </c>
      <c r="S50" s="275">
        <f t="shared" si="5"/>
        <v>477.55200000000002</v>
      </c>
      <c r="T50" s="283">
        <f t="shared" si="0"/>
        <v>11603.6</v>
      </c>
      <c r="U50" s="283">
        <f t="shared" si="6"/>
        <v>12081.152</v>
      </c>
      <c r="V50" s="283">
        <f t="shared" si="7"/>
        <v>13622.342000000001</v>
      </c>
    </row>
    <row r="51" spans="1:22" ht="24.95" customHeight="1" x14ac:dyDescent="0.2">
      <c r="A51" s="284" t="s">
        <v>82</v>
      </c>
      <c r="B51" s="285" t="s">
        <v>17</v>
      </c>
      <c r="C51" s="286" t="s">
        <v>286</v>
      </c>
      <c r="D51" s="279">
        <v>24511</v>
      </c>
      <c r="E51" s="279">
        <v>668</v>
      </c>
      <c r="F51" s="279">
        <v>4205</v>
      </c>
      <c r="G51" s="279">
        <v>506</v>
      </c>
      <c r="H51" s="279">
        <v>831</v>
      </c>
      <c r="I51" s="279">
        <v>14030</v>
      </c>
      <c r="J51" s="279">
        <v>4271</v>
      </c>
      <c r="K51" s="279">
        <f t="shared" si="1"/>
        <v>19572</v>
      </c>
      <c r="L51" s="280">
        <v>8.8999999999999996E-2</v>
      </c>
      <c r="M51" s="280">
        <v>0.22700000000000001</v>
      </c>
      <c r="N51" s="281">
        <v>0.188</v>
      </c>
      <c r="O51" s="282">
        <f t="shared" si="2"/>
        <v>59.451999999999998</v>
      </c>
      <c r="P51" s="283">
        <f t="shared" si="3"/>
        <v>374.245</v>
      </c>
      <c r="Q51" s="275">
        <f t="shared" si="8"/>
        <v>45.033999999999999</v>
      </c>
      <c r="R51" s="283">
        <f t="shared" si="8"/>
        <v>188.637</v>
      </c>
      <c r="S51" s="275">
        <f t="shared" si="5"/>
        <v>233.67099999999999</v>
      </c>
      <c r="T51" s="283">
        <f t="shared" si="0"/>
        <v>3184.81</v>
      </c>
      <c r="U51" s="283">
        <f t="shared" si="6"/>
        <v>3418.4809999999998</v>
      </c>
      <c r="V51" s="283">
        <f t="shared" si="7"/>
        <v>3792.7259999999997</v>
      </c>
    </row>
    <row r="52" spans="1:22" ht="24.95" customHeight="1" x14ac:dyDescent="0.2">
      <c r="A52" s="284" t="s">
        <v>117</v>
      </c>
      <c r="B52" s="285" t="s">
        <v>21</v>
      </c>
      <c r="C52" s="286" t="s">
        <v>286</v>
      </c>
      <c r="D52" s="279">
        <v>51434</v>
      </c>
      <c r="E52" s="279">
        <v>2805</v>
      </c>
      <c r="F52" s="279">
        <v>13055</v>
      </c>
      <c r="G52" s="279">
        <v>678</v>
      </c>
      <c r="H52" s="279">
        <v>1287</v>
      </c>
      <c r="I52" s="279">
        <v>29259</v>
      </c>
      <c r="J52" s="279">
        <v>4350</v>
      </c>
      <c r="K52" s="279">
        <f t="shared" si="1"/>
        <v>44279</v>
      </c>
      <c r="L52" s="280">
        <v>8.7999999999999995E-2</v>
      </c>
      <c r="M52" s="280">
        <v>0.27100000000000002</v>
      </c>
      <c r="N52" s="281">
        <v>0.21</v>
      </c>
      <c r="O52" s="282">
        <f t="shared" si="2"/>
        <v>246.83999999999997</v>
      </c>
      <c r="P52" s="283">
        <f t="shared" si="3"/>
        <v>1148.8399999999999</v>
      </c>
      <c r="Q52" s="275">
        <f t="shared" si="8"/>
        <v>59.663999999999994</v>
      </c>
      <c r="R52" s="283">
        <f t="shared" si="8"/>
        <v>348.77700000000004</v>
      </c>
      <c r="S52" s="275">
        <f t="shared" si="5"/>
        <v>408.44100000000003</v>
      </c>
      <c r="T52" s="283">
        <f t="shared" si="0"/>
        <v>7929.1890000000003</v>
      </c>
      <c r="U52" s="283">
        <f t="shared" si="6"/>
        <v>8337.630000000001</v>
      </c>
      <c r="V52" s="283">
        <f t="shared" si="7"/>
        <v>9486.4700000000012</v>
      </c>
    </row>
    <row r="53" spans="1:22" ht="24.95" customHeight="1" x14ac:dyDescent="0.2">
      <c r="A53" s="284" t="s">
        <v>83</v>
      </c>
      <c r="B53" s="285" t="s">
        <v>17</v>
      </c>
      <c r="C53" s="286" t="s">
        <v>286</v>
      </c>
      <c r="D53" s="279">
        <v>5837</v>
      </c>
      <c r="E53" s="279">
        <v>152</v>
      </c>
      <c r="F53" s="279">
        <v>861</v>
      </c>
      <c r="G53" s="279">
        <v>70</v>
      </c>
      <c r="H53" s="279">
        <v>122</v>
      </c>
      <c r="I53" s="279">
        <v>3640</v>
      </c>
      <c r="J53" s="279">
        <v>992</v>
      </c>
      <c r="K53" s="279">
        <f t="shared" si="1"/>
        <v>4693</v>
      </c>
      <c r="L53" s="280">
        <v>8.5000000000000006E-2</v>
      </c>
      <c r="M53" s="280">
        <v>0.246</v>
      </c>
      <c r="N53" s="281">
        <v>0.20899999999999999</v>
      </c>
      <c r="O53" s="282">
        <f t="shared" si="2"/>
        <v>12.920000000000002</v>
      </c>
      <c r="P53" s="283">
        <f t="shared" si="3"/>
        <v>73.185000000000002</v>
      </c>
      <c r="Q53" s="275">
        <f t="shared" si="8"/>
        <v>5.95</v>
      </c>
      <c r="R53" s="283">
        <f t="shared" si="8"/>
        <v>30.012</v>
      </c>
      <c r="S53" s="275">
        <f t="shared" si="5"/>
        <v>35.962000000000003</v>
      </c>
      <c r="T53" s="283">
        <f t="shared" si="0"/>
        <v>895.43999999999994</v>
      </c>
      <c r="U53" s="283">
        <f t="shared" si="6"/>
        <v>931.40199999999993</v>
      </c>
      <c r="V53" s="283">
        <f t="shared" si="7"/>
        <v>1004.587</v>
      </c>
    </row>
    <row r="54" spans="1:22" ht="24.95" customHeight="1" x14ac:dyDescent="0.2">
      <c r="A54" s="284" t="s">
        <v>110</v>
      </c>
      <c r="B54" s="285" t="s">
        <v>20</v>
      </c>
      <c r="C54" s="286" t="s">
        <v>286</v>
      </c>
      <c r="D54" s="279">
        <v>167078</v>
      </c>
      <c r="E54" s="279">
        <v>5294</v>
      </c>
      <c r="F54" s="279">
        <v>33970</v>
      </c>
      <c r="G54" s="279">
        <v>2394</v>
      </c>
      <c r="H54" s="279">
        <v>4366</v>
      </c>
      <c r="I54" s="279">
        <v>96911</v>
      </c>
      <c r="J54" s="279">
        <v>24143</v>
      </c>
      <c r="K54" s="279">
        <f t="shared" si="1"/>
        <v>137641</v>
      </c>
      <c r="L54" s="280">
        <v>7.6999999999999999E-2</v>
      </c>
      <c r="M54" s="280">
        <v>0.191</v>
      </c>
      <c r="N54" s="281">
        <v>0.157</v>
      </c>
      <c r="O54" s="282">
        <f t="shared" si="2"/>
        <v>407.63799999999998</v>
      </c>
      <c r="P54" s="283">
        <f t="shared" si="3"/>
        <v>2615.69</v>
      </c>
      <c r="Q54" s="275">
        <f t="shared" si="8"/>
        <v>184.33799999999999</v>
      </c>
      <c r="R54" s="283">
        <f t="shared" si="8"/>
        <v>833.90600000000006</v>
      </c>
      <c r="S54" s="275">
        <f t="shared" si="5"/>
        <v>1018.244</v>
      </c>
      <c r="T54" s="283">
        <f t="shared" si="0"/>
        <v>18510.001</v>
      </c>
      <c r="U54" s="283">
        <f t="shared" si="6"/>
        <v>19528.244999999999</v>
      </c>
      <c r="V54" s="283">
        <f t="shared" si="7"/>
        <v>22143.934999999998</v>
      </c>
    </row>
    <row r="55" spans="1:22" ht="24.95" customHeight="1" x14ac:dyDescent="0.2">
      <c r="A55" s="284" t="s">
        <v>134</v>
      </c>
      <c r="B55" s="285" t="s">
        <v>292</v>
      </c>
      <c r="C55" s="286" t="s">
        <v>286</v>
      </c>
      <c r="D55" s="279">
        <v>40951</v>
      </c>
      <c r="E55" s="279">
        <v>1120</v>
      </c>
      <c r="F55" s="279">
        <v>6095</v>
      </c>
      <c r="G55" s="279">
        <v>1033</v>
      </c>
      <c r="H55" s="279">
        <v>2776</v>
      </c>
      <c r="I55" s="279">
        <v>22623</v>
      </c>
      <c r="J55" s="279">
        <v>7304</v>
      </c>
      <c r="K55" s="279">
        <f t="shared" si="1"/>
        <v>32527</v>
      </c>
      <c r="L55" s="280">
        <v>8.3000000000000004E-2</v>
      </c>
      <c r="M55" s="280">
        <v>0.20599999999999999</v>
      </c>
      <c r="N55" s="281">
        <v>0.17399999999999999</v>
      </c>
      <c r="O55" s="282">
        <f t="shared" si="2"/>
        <v>92.960000000000008</v>
      </c>
      <c r="P55" s="283">
        <f t="shared" si="3"/>
        <v>505.88500000000005</v>
      </c>
      <c r="Q55" s="275">
        <f t="shared" si="8"/>
        <v>85.739000000000004</v>
      </c>
      <c r="R55" s="283">
        <f t="shared" si="8"/>
        <v>571.85599999999999</v>
      </c>
      <c r="S55" s="275">
        <f t="shared" si="5"/>
        <v>657.59500000000003</v>
      </c>
      <c r="T55" s="283">
        <f t="shared" si="0"/>
        <v>4660.3379999999997</v>
      </c>
      <c r="U55" s="283">
        <f t="shared" si="6"/>
        <v>5317.933</v>
      </c>
      <c r="V55" s="283">
        <f t="shared" si="7"/>
        <v>5823.8180000000002</v>
      </c>
    </row>
    <row r="56" spans="1:22" ht="24.95" customHeight="1" x14ac:dyDescent="0.2">
      <c r="A56" s="284" t="s">
        <v>48</v>
      </c>
      <c r="B56" s="285" t="s">
        <v>13</v>
      </c>
      <c r="C56" s="286" t="s">
        <v>286</v>
      </c>
      <c r="D56" s="279">
        <v>180064</v>
      </c>
      <c r="E56" s="279">
        <v>6730</v>
      </c>
      <c r="F56" s="279">
        <v>40708</v>
      </c>
      <c r="G56" s="279">
        <v>2658</v>
      </c>
      <c r="H56" s="279">
        <v>4330</v>
      </c>
      <c r="I56" s="279">
        <v>104046</v>
      </c>
      <c r="J56" s="279">
        <v>21592</v>
      </c>
      <c r="K56" s="279">
        <f t="shared" si="1"/>
        <v>151742</v>
      </c>
      <c r="L56" s="280">
        <v>8.5000000000000006E-2</v>
      </c>
      <c r="M56" s="280">
        <v>0.23300000000000001</v>
      </c>
      <c r="N56" s="281">
        <v>0.185</v>
      </c>
      <c r="O56" s="282">
        <f t="shared" si="2"/>
        <v>572.05000000000007</v>
      </c>
      <c r="P56" s="283">
        <f t="shared" si="3"/>
        <v>3460.1800000000003</v>
      </c>
      <c r="Q56" s="275">
        <f t="shared" si="8"/>
        <v>225.93</v>
      </c>
      <c r="R56" s="283">
        <f t="shared" si="8"/>
        <v>1008.8900000000001</v>
      </c>
      <c r="S56" s="275">
        <f t="shared" si="5"/>
        <v>1234.8200000000002</v>
      </c>
      <c r="T56" s="283">
        <f t="shared" si="0"/>
        <v>24242.718000000001</v>
      </c>
      <c r="U56" s="283">
        <f t="shared" si="6"/>
        <v>25477.538</v>
      </c>
      <c r="V56" s="283">
        <f t="shared" si="7"/>
        <v>28937.718000000001</v>
      </c>
    </row>
    <row r="57" spans="1:22" ht="24.95" customHeight="1" x14ac:dyDescent="0.2">
      <c r="A57" s="284" t="s">
        <v>84</v>
      </c>
      <c r="B57" s="285" t="s">
        <v>17</v>
      </c>
      <c r="C57" s="286" t="s">
        <v>286</v>
      </c>
      <c r="D57" s="279">
        <v>10579</v>
      </c>
      <c r="E57" s="279">
        <v>303</v>
      </c>
      <c r="F57" s="279">
        <v>1877</v>
      </c>
      <c r="G57" s="279">
        <v>109</v>
      </c>
      <c r="H57" s="279">
        <v>189</v>
      </c>
      <c r="I57" s="279">
        <v>6075</v>
      </c>
      <c r="J57" s="279">
        <v>2026</v>
      </c>
      <c r="K57" s="279">
        <f t="shared" si="1"/>
        <v>8250</v>
      </c>
      <c r="L57" s="280">
        <v>8.3000000000000004E-2</v>
      </c>
      <c r="M57" s="280">
        <v>0.22700000000000001</v>
      </c>
      <c r="N57" s="281">
        <v>0.189</v>
      </c>
      <c r="O57" s="282">
        <f t="shared" si="2"/>
        <v>25.149000000000001</v>
      </c>
      <c r="P57" s="283">
        <f t="shared" si="3"/>
        <v>155.791</v>
      </c>
      <c r="Q57" s="275">
        <f t="shared" si="8"/>
        <v>9.0470000000000006</v>
      </c>
      <c r="R57" s="283">
        <f t="shared" si="8"/>
        <v>42.902999999999999</v>
      </c>
      <c r="S57" s="275">
        <f t="shared" si="5"/>
        <v>51.95</v>
      </c>
      <c r="T57" s="283">
        <f t="shared" si="0"/>
        <v>1379.0250000000001</v>
      </c>
      <c r="U57" s="283">
        <f t="shared" si="6"/>
        <v>1430.9750000000001</v>
      </c>
      <c r="V57" s="283">
        <f t="shared" si="7"/>
        <v>1586.7660000000001</v>
      </c>
    </row>
    <row r="58" spans="1:22" ht="24.95" customHeight="1" x14ac:dyDescent="0.2">
      <c r="A58" s="284" t="s">
        <v>118</v>
      </c>
      <c r="B58" s="285" t="s">
        <v>21</v>
      </c>
      <c r="C58" s="286" t="s">
        <v>286</v>
      </c>
      <c r="D58" s="279">
        <v>60314</v>
      </c>
      <c r="E58" s="279">
        <v>2425</v>
      </c>
      <c r="F58" s="279">
        <v>12706</v>
      </c>
      <c r="G58" s="279">
        <v>798</v>
      </c>
      <c r="H58" s="279">
        <v>1537</v>
      </c>
      <c r="I58" s="279">
        <v>33681</v>
      </c>
      <c r="J58" s="279">
        <v>9167</v>
      </c>
      <c r="K58" s="279">
        <f t="shared" si="1"/>
        <v>48722</v>
      </c>
      <c r="L58" s="280">
        <v>9.4E-2</v>
      </c>
      <c r="M58" s="280">
        <v>0.222</v>
      </c>
      <c r="N58" s="281">
        <v>0.182</v>
      </c>
      <c r="O58" s="282">
        <f t="shared" si="2"/>
        <v>227.95</v>
      </c>
      <c r="P58" s="283">
        <f t="shared" si="3"/>
        <v>1194.364</v>
      </c>
      <c r="Q58" s="275">
        <f t="shared" si="8"/>
        <v>75.012</v>
      </c>
      <c r="R58" s="283">
        <f t="shared" si="8"/>
        <v>341.214</v>
      </c>
      <c r="S58" s="275">
        <f t="shared" si="5"/>
        <v>416.226</v>
      </c>
      <c r="T58" s="283">
        <f t="shared" si="0"/>
        <v>7477.1819999999998</v>
      </c>
      <c r="U58" s="283">
        <f t="shared" si="6"/>
        <v>7893.4079999999994</v>
      </c>
      <c r="V58" s="283">
        <f t="shared" si="7"/>
        <v>9087.771999999999</v>
      </c>
    </row>
    <row r="59" spans="1:22" ht="24.95" customHeight="1" x14ac:dyDescent="0.2">
      <c r="A59" s="284" t="s">
        <v>98</v>
      </c>
      <c r="B59" s="285" t="s">
        <v>18</v>
      </c>
      <c r="C59" s="286" t="s">
        <v>286</v>
      </c>
      <c r="D59" s="279">
        <v>59016</v>
      </c>
      <c r="E59" s="279">
        <v>1935</v>
      </c>
      <c r="F59" s="279">
        <v>11469</v>
      </c>
      <c r="G59" s="279">
        <v>729</v>
      </c>
      <c r="H59" s="279">
        <v>1576</v>
      </c>
      <c r="I59" s="279">
        <v>32853</v>
      </c>
      <c r="J59" s="279">
        <v>10454</v>
      </c>
      <c r="K59" s="279">
        <f t="shared" si="1"/>
        <v>46627</v>
      </c>
      <c r="L59" s="280">
        <v>8.6999999999999994E-2</v>
      </c>
      <c r="M59" s="280">
        <v>0.20899999999999999</v>
      </c>
      <c r="N59" s="281">
        <v>0.17299999999999999</v>
      </c>
      <c r="O59" s="282">
        <f t="shared" si="2"/>
        <v>168.345</v>
      </c>
      <c r="P59" s="283">
        <f t="shared" si="3"/>
        <v>997.80299999999988</v>
      </c>
      <c r="Q59" s="275">
        <f t="shared" si="8"/>
        <v>63.422999999999995</v>
      </c>
      <c r="R59" s="283">
        <f t="shared" si="8"/>
        <v>329.38400000000001</v>
      </c>
      <c r="S59" s="275">
        <f t="shared" si="5"/>
        <v>392.80700000000002</v>
      </c>
      <c r="T59" s="283">
        <f t="shared" si="0"/>
        <v>6866.277</v>
      </c>
      <c r="U59" s="283">
        <f t="shared" si="6"/>
        <v>7259.0839999999998</v>
      </c>
      <c r="V59" s="283">
        <f t="shared" si="7"/>
        <v>8256.8869999999988</v>
      </c>
    </row>
    <row r="60" spans="1:22" ht="24.95" customHeight="1" x14ac:dyDescent="0.2">
      <c r="A60" s="284" t="s">
        <v>111</v>
      </c>
      <c r="B60" s="285" t="s">
        <v>20</v>
      </c>
      <c r="C60" s="286" t="s">
        <v>286</v>
      </c>
      <c r="D60" s="279">
        <v>80329</v>
      </c>
      <c r="E60" s="279">
        <v>2309</v>
      </c>
      <c r="F60" s="279">
        <v>15117</v>
      </c>
      <c r="G60" s="279">
        <v>1063</v>
      </c>
      <c r="H60" s="279">
        <v>1980</v>
      </c>
      <c r="I60" s="279">
        <v>47227</v>
      </c>
      <c r="J60" s="279">
        <v>12633</v>
      </c>
      <c r="K60" s="279">
        <f t="shared" si="1"/>
        <v>65387</v>
      </c>
      <c r="L60" s="280">
        <v>7.5999999999999998E-2</v>
      </c>
      <c r="M60" s="280">
        <v>0.20300000000000001</v>
      </c>
      <c r="N60" s="281">
        <v>0.16800000000000001</v>
      </c>
      <c r="O60" s="282">
        <f t="shared" si="2"/>
        <v>175.48400000000001</v>
      </c>
      <c r="P60" s="283">
        <f t="shared" si="3"/>
        <v>1148.8920000000001</v>
      </c>
      <c r="Q60" s="275">
        <f t="shared" si="8"/>
        <v>80.787999999999997</v>
      </c>
      <c r="R60" s="283">
        <f t="shared" si="8"/>
        <v>401.94000000000005</v>
      </c>
      <c r="S60" s="275">
        <f t="shared" si="5"/>
        <v>482.72800000000007</v>
      </c>
      <c r="T60" s="283">
        <f t="shared" si="0"/>
        <v>9587.0810000000001</v>
      </c>
      <c r="U60" s="283">
        <f t="shared" si="6"/>
        <v>10069.809000000001</v>
      </c>
      <c r="V60" s="283">
        <f t="shared" si="7"/>
        <v>11218.701000000001</v>
      </c>
    </row>
    <row r="61" spans="1:22" ht="24.95" customHeight="1" x14ac:dyDescent="0.2">
      <c r="A61" s="284" t="s">
        <v>135</v>
      </c>
      <c r="B61" s="285" t="s">
        <v>292</v>
      </c>
      <c r="C61" s="286" t="s">
        <v>286</v>
      </c>
      <c r="D61" s="279">
        <v>34133</v>
      </c>
      <c r="E61" s="279">
        <v>1009</v>
      </c>
      <c r="F61" s="279">
        <v>5431</v>
      </c>
      <c r="G61" s="279">
        <v>359</v>
      </c>
      <c r="H61" s="279">
        <v>694</v>
      </c>
      <c r="I61" s="279">
        <v>17514</v>
      </c>
      <c r="J61" s="279">
        <v>9126</v>
      </c>
      <c r="K61" s="279">
        <f t="shared" si="1"/>
        <v>23998</v>
      </c>
      <c r="L61" s="280">
        <v>8.1000000000000003E-2</v>
      </c>
      <c r="M61" s="280">
        <v>0.19500000000000001</v>
      </c>
      <c r="N61" s="281">
        <v>0.16400000000000001</v>
      </c>
      <c r="O61" s="282">
        <f t="shared" si="2"/>
        <v>81.728999999999999</v>
      </c>
      <c r="P61" s="283">
        <f t="shared" si="3"/>
        <v>439.911</v>
      </c>
      <c r="Q61" s="275">
        <f t="shared" si="8"/>
        <v>29.079000000000001</v>
      </c>
      <c r="R61" s="283">
        <f t="shared" si="8"/>
        <v>135.33000000000001</v>
      </c>
      <c r="S61" s="275">
        <f t="shared" si="5"/>
        <v>164.40900000000002</v>
      </c>
      <c r="T61" s="283">
        <f t="shared" si="0"/>
        <v>3415.23</v>
      </c>
      <c r="U61" s="283">
        <f t="shared" si="6"/>
        <v>3579.6390000000001</v>
      </c>
      <c r="V61" s="283">
        <f t="shared" si="7"/>
        <v>4019.55</v>
      </c>
    </row>
    <row r="62" spans="1:22" ht="24.95" customHeight="1" x14ac:dyDescent="0.2">
      <c r="A62" s="284" t="s">
        <v>136</v>
      </c>
      <c r="B62" s="285" t="s">
        <v>292</v>
      </c>
      <c r="C62" s="286" t="s">
        <v>286</v>
      </c>
      <c r="D62" s="279">
        <v>21440</v>
      </c>
      <c r="E62" s="279">
        <v>576</v>
      </c>
      <c r="F62" s="279">
        <v>3427</v>
      </c>
      <c r="G62" s="279">
        <v>354</v>
      </c>
      <c r="H62" s="279">
        <v>818</v>
      </c>
      <c r="I62" s="279">
        <v>11899</v>
      </c>
      <c r="J62" s="279">
        <v>4366</v>
      </c>
      <c r="K62" s="279">
        <f t="shared" si="1"/>
        <v>16498</v>
      </c>
      <c r="L62" s="280">
        <v>7.4999999999999997E-2</v>
      </c>
      <c r="M62" s="280">
        <v>0.192</v>
      </c>
      <c r="N62" s="281">
        <v>0.161</v>
      </c>
      <c r="O62" s="282">
        <f t="shared" si="2"/>
        <v>43.199999999999996</v>
      </c>
      <c r="P62" s="283">
        <f t="shared" si="3"/>
        <v>257.02499999999998</v>
      </c>
      <c r="Q62" s="275">
        <f t="shared" si="8"/>
        <v>26.55</v>
      </c>
      <c r="R62" s="283">
        <f t="shared" si="8"/>
        <v>157.05600000000001</v>
      </c>
      <c r="S62" s="275">
        <f t="shared" si="5"/>
        <v>183.60600000000002</v>
      </c>
      <c r="T62" s="283">
        <f t="shared" si="0"/>
        <v>2284.6080000000002</v>
      </c>
      <c r="U62" s="283">
        <f t="shared" si="6"/>
        <v>2468.2140000000004</v>
      </c>
      <c r="V62" s="283">
        <f t="shared" si="7"/>
        <v>2725.2390000000005</v>
      </c>
    </row>
    <row r="63" spans="1:22" ht="24.95" customHeight="1" x14ac:dyDescent="0.2">
      <c r="A63" s="284" t="s">
        <v>85</v>
      </c>
      <c r="B63" s="285" t="s">
        <v>17</v>
      </c>
      <c r="C63" s="286" t="s">
        <v>286</v>
      </c>
      <c r="D63" s="279">
        <v>23608</v>
      </c>
      <c r="E63" s="279">
        <v>707</v>
      </c>
      <c r="F63" s="279">
        <v>4230</v>
      </c>
      <c r="G63" s="279">
        <v>256</v>
      </c>
      <c r="H63" s="279">
        <v>498</v>
      </c>
      <c r="I63" s="279">
        <v>13154</v>
      </c>
      <c r="J63" s="279">
        <v>4763</v>
      </c>
      <c r="K63" s="279">
        <f t="shared" si="1"/>
        <v>18138</v>
      </c>
      <c r="L63" s="280">
        <v>8.5000000000000006E-2</v>
      </c>
      <c r="M63" s="280">
        <v>0.21099999999999999</v>
      </c>
      <c r="N63" s="281">
        <v>0.17599999999999999</v>
      </c>
      <c r="O63" s="282">
        <f t="shared" si="2"/>
        <v>60.095000000000006</v>
      </c>
      <c r="P63" s="283">
        <f t="shared" si="3"/>
        <v>359.55</v>
      </c>
      <c r="Q63" s="275">
        <f t="shared" si="8"/>
        <v>21.76</v>
      </c>
      <c r="R63" s="283">
        <f t="shared" si="8"/>
        <v>105.078</v>
      </c>
      <c r="S63" s="275">
        <f t="shared" si="5"/>
        <v>126.83800000000001</v>
      </c>
      <c r="T63" s="283">
        <f t="shared" si="0"/>
        <v>2775.4939999999997</v>
      </c>
      <c r="U63" s="283">
        <f t="shared" si="6"/>
        <v>2902.3319999999999</v>
      </c>
      <c r="V63" s="283">
        <f t="shared" si="7"/>
        <v>3261.8820000000001</v>
      </c>
    </row>
    <row r="64" spans="1:22" ht="24.95" customHeight="1" x14ac:dyDescent="0.2">
      <c r="A64" s="284" t="s">
        <v>137</v>
      </c>
      <c r="B64" s="285" t="s">
        <v>292</v>
      </c>
      <c r="C64" s="286" t="s">
        <v>286</v>
      </c>
      <c r="D64" s="279">
        <v>45298</v>
      </c>
      <c r="E64" s="279">
        <v>1356</v>
      </c>
      <c r="F64" s="279">
        <v>8062</v>
      </c>
      <c r="G64" s="279">
        <v>574</v>
      </c>
      <c r="H64" s="279">
        <v>989</v>
      </c>
      <c r="I64" s="279">
        <v>25860</v>
      </c>
      <c r="J64" s="279">
        <v>8457</v>
      </c>
      <c r="K64" s="279">
        <f t="shared" si="1"/>
        <v>35485</v>
      </c>
      <c r="L64" s="280">
        <v>7.8E-2</v>
      </c>
      <c r="M64" s="280">
        <v>0.189</v>
      </c>
      <c r="N64" s="281">
        <v>0.159</v>
      </c>
      <c r="O64" s="282">
        <f t="shared" si="2"/>
        <v>105.768</v>
      </c>
      <c r="P64" s="283">
        <f t="shared" si="3"/>
        <v>628.83600000000001</v>
      </c>
      <c r="Q64" s="275">
        <f t="shared" si="8"/>
        <v>44.771999999999998</v>
      </c>
      <c r="R64" s="283">
        <f t="shared" si="8"/>
        <v>186.92099999999999</v>
      </c>
      <c r="S64" s="275">
        <f t="shared" si="5"/>
        <v>231.69299999999998</v>
      </c>
      <c r="T64" s="283">
        <f t="shared" si="0"/>
        <v>4887.54</v>
      </c>
      <c r="U64" s="283">
        <f t="shared" si="6"/>
        <v>5119.2330000000002</v>
      </c>
      <c r="V64" s="283">
        <f t="shared" si="7"/>
        <v>5748.0690000000004</v>
      </c>
    </row>
    <row r="65" spans="1:22" ht="24.95" customHeight="1" x14ac:dyDescent="0.2">
      <c r="A65" s="284" t="s">
        <v>105</v>
      </c>
      <c r="B65" s="285" t="s">
        <v>14</v>
      </c>
      <c r="C65" s="286" t="s">
        <v>285</v>
      </c>
      <c r="D65" s="279">
        <v>1010211</v>
      </c>
      <c r="E65" s="279">
        <v>41507</v>
      </c>
      <c r="F65" s="279">
        <v>204883</v>
      </c>
      <c r="G65" s="279">
        <v>11525</v>
      </c>
      <c r="H65" s="279">
        <v>25217</v>
      </c>
      <c r="I65" s="279">
        <v>625337</v>
      </c>
      <c r="J65" s="279">
        <v>101742</v>
      </c>
      <c r="K65" s="279">
        <f t="shared" si="1"/>
        <v>866962</v>
      </c>
      <c r="L65" s="280">
        <v>8.6999999999999994E-2</v>
      </c>
      <c r="M65" s="280">
        <v>0.21199999999999999</v>
      </c>
      <c r="N65" s="281">
        <v>0.17499999999999999</v>
      </c>
      <c r="O65" s="282">
        <f t="shared" si="2"/>
        <v>3611.1089999999999</v>
      </c>
      <c r="P65" s="283">
        <f t="shared" si="3"/>
        <v>17824.821</v>
      </c>
      <c r="Q65" s="275">
        <f t="shared" si="8"/>
        <v>1002.675</v>
      </c>
      <c r="R65" s="283">
        <f t="shared" si="8"/>
        <v>5346.0039999999999</v>
      </c>
      <c r="S65" s="275">
        <f t="shared" si="5"/>
        <v>6348.6790000000001</v>
      </c>
      <c r="T65" s="283">
        <f t="shared" si="0"/>
        <v>132571.44399999999</v>
      </c>
      <c r="U65" s="283">
        <f t="shared" si="6"/>
        <v>138920.12299999999</v>
      </c>
      <c r="V65" s="283">
        <f t="shared" si="7"/>
        <v>156744.94399999999</v>
      </c>
    </row>
    <row r="66" spans="1:22" ht="24.95" customHeight="1" x14ac:dyDescent="0.2">
      <c r="A66" s="284" t="s">
        <v>138</v>
      </c>
      <c r="B66" s="285" t="s">
        <v>292</v>
      </c>
      <c r="C66" s="286" t="s">
        <v>286</v>
      </c>
      <c r="D66" s="279">
        <v>15357</v>
      </c>
      <c r="E66" s="279">
        <v>434</v>
      </c>
      <c r="F66" s="279">
        <v>2402</v>
      </c>
      <c r="G66" s="279">
        <v>124</v>
      </c>
      <c r="H66" s="279">
        <v>259</v>
      </c>
      <c r="I66" s="279">
        <v>8639</v>
      </c>
      <c r="J66" s="279">
        <v>3499</v>
      </c>
      <c r="K66" s="279">
        <f t="shared" si="1"/>
        <v>11424</v>
      </c>
      <c r="L66" s="280">
        <v>7.5999999999999998E-2</v>
      </c>
      <c r="M66" s="280">
        <v>0.187</v>
      </c>
      <c r="N66" s="281">
        <v>0.159</v>
      </c>
      <c r="O66" s="282">
        <f t="shared" si="2"/>
        <v>32.984000000000002</v>
      </c>
      <c r="P66" s="283">
        <f t="shared" si="3"/>
        <v>182.55199999999999</v>
      </c>
      <c r="Q66" s="275">
        <f t="shared" si="8"/>
        <v>9.4239999999999995</v>
      </c>
      <c r="R66" s="283">
        <f t="shared" si="8"/>
        <v>48.433</v>
      </c>
      <c r="S66" s="275">
        <f t="shared" si="5"/>
        <v>57.856999999999999</v>
      </c>
      <c r="T66" s="283">
        <f t="shared" si="0"/>
        <v>1615.4929999999999</v>
      </c>
      <c r="U66" s="283">
        <f t="shared" si="6"/>
        <v>1673.35</v>
      </c>
      <c r="V66" s="283">
        <f t="shared" si="7"/>
        <v>1855.9019999999998</v>
      </c>
    </row>
    <row r="67" spans="1:22" ht="24.95" customHeight="1" x14ac:dyDescent="0.2">
      <c r="A67" s="284" t="s">
        <v>119</v>
      </c>
      <c r="B67" s="285" t="s">
        <v>21</v>
      </c>
      <c r="C67" s="286" t="s">
        <v>286</v>
      </c>
      <c r="D67" s="279">
        <v>27742</v>
      </c>
      <c r="E67" s="279">
        <v>934</v>
      </c>
      <c r="F67" s="279">
        <v>5404</v>
      </c>
      <c r="G67" s="279">
        <v>380</v>
      </c>
      <c r="H67" s="279">
        <v>812</v>
      </c>
      <c r="I67" s="279">
        <v>15097</v>
      </c>
      <c r="J67" s="279">
        <v>5115</v>
      </c>
      <c r="K67" s="279">
        <f t="shared" si="1"/>
        <v>21693</v>
      </c>
      <c r="L67" s="280">
        <v>9.5000000000000001E-2</v>
      </c>
      <c r="M67" s="280">
        <v>0.22500000000000001</v>
      </c>
      <c r="N67" s="281">
        <v>0.187</v>
      </c>
      <c r="O67" s="282">
        <f t="shared" si="2"/>
        <v>88.73</v>
      </c>
      <c r="P67" s="283">
        <f t="shared" si="3"/>
        <v>513.38</v>
      </c>
      <c r="Q67" s="275">
        <f t="shared" si="8"/>
        <v>36.1</v>
      </c>
      <c r="R67" s="283">
        <f t="shared" si="8"/>
        <v>182.70000000000002</v>
      </c>
      <c r="S67" s="275">
        <f t="shared" si="5"/>
        <v>218.8</v>
      </c>
      <c r="T67" s="283">
        <f t="shared" si="0"/>
        <v>3396.8250000000003</v>
      </c>
      <c r="U67" s="283">
        <f t="shared" si="6"/>
        <v>3615.6250000000005</v>
      </c>
      <c r="V67" s="283">
        <f t="shared" si="7"/>
        <v>4129.0050000000001</v>
      </c>
    </row>
    <row r="68" spans="1:22" ht="24.95" customHeight="1" x14ac:dyDescent="0.2">
      <c r="A68" s="284" t="s">
        <v>120</v>
      </c>
      <c r="B68" s="285" t="s">
        <v>21</v>
      </c>
      <c r="C68" s="286" t="s">
        <v>286</v>
      </c>
      <c r="D68" s="279">
        <v>93144</v>
      </c>
      <c r="E68" s="279">
        <v>2944</v>
      </c>
      <c r="F68" s="279">
        <v>16624</v>
      </c>
      <c r="G68" s="279">
        <v>1093</v>
      </c>
      <c r="H68" s="279">
        <v>1926</v>
      </c>
      <c r="I68" s="279">
        <v>47468</v>
      </c>
      <c r="J68" s="279">
        <v>23089</v>
      </c>
      <c r="K68" s="279">
        <f t="shared" si="1"/>
        <v>67111</v>
      </c>
      <c r="L68" s="280">
        <v>0.08</v>
      </c>
      <c r="M68" s="280">
        <v>0.19500000000000001</v>
      </c>
      <c r="N68" s="281">
        <v>0.16200000000000001</v>
      </c>
      <c r="O68" s="282">
        <f t="shared" si="2"/>
        <v>235.52</v>
      </c>
      <c r="P68" s="283">
        <f t="shared" si="3"/>
        <v>1329.92</v>
      </c>
      <c r="Q68" s="275">
        <f t="shared" si="8"/>
        <v>87.44</v>
      </c>
      <c r="R68" s="283">
        <f t="shared" si="8"/>
        <v>375.57</v>
      </c>
      <c r="S68" s="275">
        <f t="shared" si="5"/>
        <v>463.01</v>
      </c>
      <c r="T68" s="283">
        <f t="shared" si="0"/>
        <v>9256.26</v>
      </c>
      <c r="U68" s="283">
        <f t="shared" si="6"/>
        <v>9719.27</v>
      </c>
      <c r="V68" s="283">
        <f t="shared" si="7"/>
        <v>11049.19</v>
      </c>
    </row>
    <row r="69" spans="1:22" ht="24.95" customHeight="1" x14ac:dyDescent="0.2">
      <c r="A69" s="284" t="s">
        <v>99</v>
      </c>
      <c r="B69" s="285" t="s">
        <v>18</v>
      </c>
      <c r="C69" s="286" t="s">
        <v>286</v>
      </c>
      <c r="D69" s="279">
        <v>94459</v>
      </c>
      <c r="E69" s="279">
        <v>3174</v>
      </c>
      <c r="F69" s="279">
        <v>18056</v>
      </c>
      <c r="G69" s="279">
        <v>1281</v>
      </c>
      <c r="H69" s="279">
        <v>2329</v>
      </c>
      <c r="I69" s="279">
        <v>54356</v>
      </c>
      <c r="J69" s="279">
        <v>15263</v>
      </c>
      <c r="K69" s="279">
        <f t="shared" si="1"/>
        <v>76022</v>
      </c>
      <c r="L69" s="280">
        <v>8.5999999999999993E-2</v>
      </c>
      <c r="M69" s="280">
        <v>0.20699999999999999</v>
      </c>
      <c r="N69" s="281">
        <v>0.17199999999999999</v>
      </c>
      <c r="O69" s="282">
        <f t="shared" si="2"/>
        <v>272.964</v>
      </c>
      <c r="P69" s="283">
        <f t="shared" si="3"/>
        <v>1552.8159999999998</v>
      </c>
      <c r="Q69" s="275">
        <f t="shared" si="8"/>
        <v>110.166</v>
      </c>
      <c r="R69" s="283">
        <f t="shared" si="8"/>
        <v>482.10299999999995</v>
      </c>
      <c r="S69" s="275">
        <f t="shared" si="5"/>
        <v>592.26900000000001</v>
      </c>
      <c r="T69" s="283">
        <f t="shared" si="0"/>
        <v>11251.691999999999</v>
      </c>
      <c r="U69" s="283">
        <f t="shared" si="6"/>
        <v>11843.960999999999</v>
      </c>
      <c r="V69" s="283">
        <f t="shared" si="7"/>
        <v>13396.776999999998</v>
      </c>
    </row>
    <row r="70" spans="1:22" ht="24.95" customHeight="1" x14ac:dyDescent="0.2">
      <c r="A70" s="284" t="s">
        <v>71</v>
      </c>
      <c r="B70" s="285" t="s">
        <v>16</v>
      </c>
      <c r="C70" s="286" t="s">
        <v>285</v>
      </c>
      <c r="D70" s="279">
        <v>217844</v>
      </c>
      <c r="E70" s="279">
        <v>6688</v>
      </c>
      <c r="F70" s="279">
        <v>34964</v>
      </c>
      <c r="G70" s="279">
        <v>3439</v>
      </c>
      <c r="H70" s="279">
        <v>8328</v>
      </c>
      <c r="I70" s="279">
        <v>130240</v>
      </c>
      <c r="J70" s="279">
        <v>34185</v>
      </c>
      <c r="K70" s="279">
        <f t="shared" si="1"/>
        <v>176971</v>
      </c>
      <c r="L70" s="280">
        <v>7.9000000000000001E-2</v>
      </c>
      <c r="M70" s="280">
        <v>0.2</v>
      </c>
      <c r="N70" s="281">
        <v>0.16900000000000001</v>
      </c>
      <c r="O70" s="282">
        <f t="shared" si="2"/>
        <v>528.35199999999998</v>
      </c>
      <c r="P70" s="283">
        <f t="shared" si="3"/>
        <v>2762.1559999999999</v>
      </c>
      <c r="Q70" s="275">
        <f t="shared" si="8"/>
        <v>271.68099999999998</v>
      </c>
      <c r="R70" s="283">
        <f t="shared" si="8"/>
        <v>1665.6000000000001</v>
      </c>
      <c r="S70" s="275">
        <f t="shared" si="5"/>
        <v>1937.2810000000002</v>
      </c>
      <c r="T70" s="283">
        <f t="shared" ref="T70:T105" si="9">M70*I70</f>
        <v>26048</v>
      </c>
      <c r="U70" s="283">
        <f t="shared" si="6"/>
        <v>27985.280999999999</v>
      </c>
      <c r="V70" s="283">
        <f t="shared" si="7"/>
        <v>30747.436999999998</v>
      </c>
    </row>
    <row r="71" spans="1:22" ht="24.95" customHeight="1" x14ac:dyDescent="0.2">
      <c r="A71" s="284" t="s">
        <v>86</v>
      </c>
      <c r="B71" s="285" t="s">
        <v>17</v>
      </c>
      <c r="C71" s="286" t="s">
        <v>286</v>
      </c>
      <c r="D71" s="279">
        <v>20958</v>
      </c>
      <c r="E71" s="279">
        <v>550</v>
      </c>
      <c r="F71" s="279">
        <v>3487</v>
      </c>
      <c r="G71" s="279">
        <v>194</v>
      </c>
      <c r="H71" s="279">
        <v>396</v>
      </c>
      <c r="I71" s="279">
        <v>11734</v>
      </c>
      <c r="J71" s="279">
        <v>4597</v>
      </c>
      <c r="K71" s="279">
        <f t="shared" ref="K71:K105" si="10">SUM(F71:I71)</f>
        <v>15811</v>
      </c>
      <c r="L71" s="280">
        <v>8.5999999999999993E-2</v>
      </c>
      <c r="M71" s="280">
        <v>0.23100000000000001</v>
      </c>
      <c r="N71" s="281">
        <v>0.192</v>
      </c>
      <c r="O71" s="282">
        <f t="shared" ref="O71:O105" si="11">L71*E71</f>
        <v>47.3</v>
      </c>
      <c r="P71" s="283">
        <f t="shared" ref="P71:P105" si="12">L71*F71</f>
        <v>299.88199999999995</v>
      </c>
      <c r="Q71" s="275">
        <f t="shared" ref="Q71:R105" si="13">L71*G71</f>
        <v>16.683999999999997</v>
      </c>
      <c r="R71" s="283">
        <f t="shared" si="13"/>
        <v>91.475999999999999</v>
      </c>
      <c r="S71" s="275">
        <f t="shared" ref="S71:S105" si="14">SUM(Q71:R71)</f>
        <v>108.16</v>
      </c>
      <c r="T71" s="283">
        <f t="shared" si="9"/>
        <v>2710.5540000000001</v>
      </c>
      <c r="U71" s="283">
        <f t="shared" ref="U71:U105" si="15">SUM(S71:T71)</f>
        <v>2818.7139999999999</v>
      </c>
      <c r="V71" s="283">
        <f t="shared" ref="V71:V105" si="16">SUM(P71,U71)</f>
        <v>3118.596</v>
      </c>
    </row>
    <row r="72" spans="1:22" ht="24.95" customHeight="1" x14ac:dyDescent="0.2">
      <c r="A72" s="284" t="s">
        <v>72</v>
      </c>
      <c r="B72" s="285" t="s">
        <v>16</v>
      </c>
      <c r="C72" s="286" t="s">
        <v>286</v>
      </c>
      <c r="D72" s="279">
        <v>197742</v>
      </c>
      <c r="E72" s="279">
        <v>13004</v>
      </c>
      <c r="F72" s="279">
        <v>41876</v>
      </c>
      <c r="G72" s="279">
        <v>3129</v>
      </c>
      <c r="H72" s="279">
        <v>11685</v>
      </c>
      <c r="I72" s="279">
        <v>111366</v>
      </c>
      <c r="J72" s="279">
        <v>16682</v>
      </c>
      <c r="K72" s="279">
        <f t="shared" si="10"/>
        <v>168056</v>
      </c>
      <c r="L72" s="280">
        <v>0.08</v>
      </c>
      <c r="M72" s="280">
        <v>0.24</v>
      </c>
      <c r="N72" s="281">
        <v>0.192</v>
      </c>
      <c r="O72" s="282">
        <f t="shared" si="11"/>
        <v>1040.32</v>
      </c>
      <c r="P72" s="283">
        <f t="shared" si="12"/>
        <v>3350.08</v>
      </c>
      <c r="Q72" s="275">
        <f t="shared" si="13"/>
        <v>250.32</v>
      </c>
      <c r="R72" s="283">
        <f t="shared" si="13"/>
        <v>2804.4</v>
      </c>
      <c r="S72" s="275">
        <f t="shared" si="14"/>
        <v>3054.7200000000003</v>
      </c>
      <c r="T72" s="283">
        <f t="shared" si="9"/>
        <v>26727.84</v>
      </c>
      <c r="U72" s="283">
        <f t="shared" si="15"/>
        <v>29782.560000000001</v>
      </c>
      <c r="V72" s="283">
        <f t="shared" si="16"/>
        <v>33132.639999999999</v>
      </c>
    </row>
    <row r="73" spans="1:22" ht="24.95" customHeight="1" x14ac:dyDescent="0.2">
      <c r="A73" s="284" t="s">
        <v>58</v>
      </c>
      <c r="B73" s="285" t="s">
        <v>14</v>
      </c>
      <c r="C73" s="286" t="s">
        <v>285</v>
      </c>
      <c r="D73" s="279">
        <v>141422</v>
      </c>
      <c r="E73" s="279">
        <v>3769</v>
      </c>
      <c r="F73" s="279">
        <v>24290</v>
      </c>
      <c r="G73" s="279">
        <v>3023</v>
      </c>
      <c r="H73" s="279">
        <v>9098</v>
      </c>
      <c r="I73" s="279">
        <v>84896</v>
      </c>
      <c r="J73" s="279">
        <v>16346</v>
      </c>
      <c r="K73" s="279">
        <f t="shared" si="10"/>
        <v>121307</v>
      </c>
      <c r="L73" s="280">
        <v>8.2000000000000003E-2</v>
      </c>
      <c r="M73" s="280">
        <v>0.19500000000000001</v>
      </c>
      <c r="N73" s="281">
        <v>0.16400000000000001</v>
      </c>
      <c r="O73" s="282">
        <f t="shared" si="11"/>
        <v>309.05799999999999</v>
      </c>
      <c r="P73" s="283">
        <f t="shared" si="12"/>
        <v>1991.78</v>
      </c>
      <c r="Q73" s="275">
        <f t="shared" si="13"/>
        <v>247.88600000000002</v>
      </c>
      <c r="R73" s="283">
        <f t="shared" si="13"/>
        <v>1774.1100000000001</v>
      </c>
      <c r="S73" s="275">
        <f t="shared" si="14"/>
        <v>2021.9960000000001</v>
      </c>
      <c r="T73" s="283">
        <f t="shared" si="9"/>
        <v>16554.72</v>
      </c>
      <c r="U73" s="283">
        <f t="shared" si="15"/>
        <v>18576.716</v>
      </c>
      <c r="V73" s="283">
        <f t="shared" si="16"/>
        <v>20568.495999999999</v>
      </c>
    </row>
    <row r="74" spans="1:22" ht="24.95" customHeight="1" x14ac:dyDescent="0.2">
      <c r="A74" s="284" t="s">
        <v>87</v>
      </c>
      <c r="B74" s="285" t="s">
        <v>17</v>
      </c>
      <c r="C74" s="286" t="s">
        <v>286</v>
      </c>
      <c r="D74" s="279">
        <v>13071</v>
      </c>
      <c r="E74" s="279">
        <v>275</v>
      </c>
      <c r="F74" s="279">
        <v>1891</v>
      </c>
      <c r="G74" s="279">
        <v>102</v>
      </c>
      <c r="H74" s="279">
        <v>222</v>
      </c>
      <c r="I74" s="279">
        <v>7202</v>
      </c>
      <c r="J74" s="279">
        <v>3379</v>
      </c>
      <c r="K74" s="279">
        <f t="shared" si="10"/>
        <v>9417</v>
      </c>
      <c r="L74" s="280">
        <v>7.9000000000000001E-2</v>
      </c>
      <c r="M74" s="280">
        <v>0.20200000000000001</v>
      </c>
      <c r="N74" s="281">
        <v>0.17199999999999999</v>
      </c>
      <c r="O74" s="282">
        <f t="shared" si="11"/>
        <v>21.725000000000001</v>
      </c>
      <c r="P74" s="283">
        <f t="shared" si="12"/>
        <v>149.38900000000001</v>
      </c>
      <c r="Q74" s="275">
        <f t="shared" si="13"/>
        <v>8.0579999999999998</v>
      </c>
      <c r="R74" s="283">
        <f t="shared" si="13"/>
        <v>44.844000000000001</v>
      </c>
      <c r="S74" s="275">
        <f t="shared" si="14"/>
        <v>52.902000000000001</v>
      </c>
      <c r="T74" s="283">
        <f t="shared" si="9"/>
        <v>1454.8040000000001</v>
      </c>
      <c r="U74" s="283">
        <f t="shared" si="15"/>
        <v>1507.7060000000001</v>
      </c>
      <c r="V74" s="283">
        <f t="shared" si="16"/>
        <v>1657.0950000000003</v>
      </c>
    </row>
    <row r="75" spans="1:22" ht="24.95" customHeight="1" x14ac:dyDescent="0.2">
      <c r="A75" s="284" t="s">
        <v>88</v>
      </c>
      <c r="B75" s="285" t="s">
        <v>17</v>
      </c>
      <c r="C75" s="286" t="s">
        <v>286</v>
      </c>
      <c r="D75" s="279">
        <v>38919</v>
      </c>
      <c r="E75" s="279">
        <v>1353</v>
      </c>
      <c r="F75" s="279">
        <v>7515</v>
      </c>
      <c r="G75" s="279">
        <v>718</v>
      </c>
      <c r="H75" s="279">
        <v>1499</v>
      </c>
      <c r="I75" s="279">
        <v>22108</v>
      </c>
      <c r="J75" s="279">
        <v>5726</v>
      </c>
      <c r="K75" s="279">
        <f t="shared" si="10"/>
        <v>31840</v>
      </c>
      <c r="L75" s="280">
        <v>8.2000000000000003E-2</v>
      </c>
      <c r="M75" s="280">
        <v>0.21099999999999999</v>
      </c>
      <c r="N75" s="281">
        <v>0.17399999999999999</v>
      </c>
      <c r="O75" s="282">
        <f t="shared" si="11"/>
        <v>110.946</v>
      </c>
      <c r="P75" s="283">
        <f t="shared" si="12"/>
        <v>616.23</v>
      </c>
      <c r="Q75" s="275">
        <f t="shared" si="13"/>
        <v>58.876000000000005</v>
      </c>
      <c r="R75" s="283">
        <f t="shared" si="13"/>
        <v>316.28899999999999</v>
      </c>
      <c r="S75" s="275">
        <f t="shared" si="14"/>
        <v>375.16499999999996</v>
      </c>
      <c r="T75" s="283">
        <f t="shared" si="9"/>
        <v>4664.7879999999996</v>
      </c>
      <c r="U75" s="283">
        <f t="shared" si="15"/>
        <v>5039.9529999999995</v>
      </c>
      <c r="V75" s="283">
        <f t="shared" si="16"/>
        <v>5656.1829999999991</v>
      </c>
    </row>
    <row r="76" spans="1:22" ht="24.95" customHeight="1" x14ac:dyDescent="0.2">
      <c r="A76" s="284" t="s">
        <v>73</v>
      </c>
      <c r="B76" s="285" t="s">
        <v>16</v>
      </c>
      <c r="C76" s="286" t="s">
        <v>286</v>
      </c>
      <c r="D76" s="279">
        <v>56589</v>
      </c>
      <c r="E76" s="279">
        <v>1789</v>
      </c>
      <c r="F76" s="279">
        <v>10276</v>
      </c>
      <c r="G76" s="279">
        <v>682</v>
      </c>
      <c r="H76" s="279">
        <v>1320</v>
      </c>
      <c r="I76" s="279">
        <v>32879</v>
      </c>
      <c r="J76" s="279">
        <v>9643</v>
      </c>
      <c r="K76" s="279">
        <f t="shared" si="10"/>
        <v>45157</v>
      </c>
      <c r="L76" s="280">
        <v>0.08</v>
      </c>
      <c r="M76" s="280">
        <v>0.222</v>
      </c>
      <c r="N76" s="281">
        <v>0.182</v>
      </c>
      <c r="O76" s="282">
        <f t="shared" si="11"/>
        <v>143.12</v>
      </c>
      <c r="P76" s="283">
        <f t="shared" si="12"/>
        <v>822.08</v>
      </c>
      <c r="Q76" s="275">
        <f t="shared" si="13"/>
        <v>54.56</v>
      </c>
      <c r="R76" s="283">
        <f t="shared" si="13"/>
        <v>293.04000000000002</v>
      </c>
      <c r="S76" s="275">
        <f t="shared" si="14"/>
        <v>347.6</v>
      </c>
      <c r="T76" s="283">
        <f t="shared" si="9"/>
        <v>7299.1379999999999</v>
      </c>
      <c r="U76" s="283">
        <f t="shared" si="15"/>
        <v>7646.7380000000003</v>
      </c>
      <c r="V76" s="283">
        <f t="shared" si="16"/>
        <v>8468.8180000000011</v>
      </c>
    </row>
    <row r="77" spans="1:22" ht="24.95" customHeight="1" x14ac:dyDescent="0.2">
      <c r="A77" s="284" t="s">
        <v>89</v>
      </c>
      <c r="B77" s="285" t="s">
        <v>17</v>
      </c>
      <c r="C77" s="286" t="s">
        <v>286</v>
      </c>
      <c r="D77" s="279">
        <v>13823</v>
      </c>
      <c r="E77" s="279">
        <v>386</v>
      </c>
      <c r="F77" s="279">
        <v>2286</v>
      </c>
      <c r="G77" s="279">
        <v>123</v>
      </c>
      <c r="H77" s="279">
        <v>293</v>
      </c>
      <c r="I77" s="279">
        <v>7276</v>
      </c>
      <c r="J77" s="279">
        <v>3459</v>
      </c>
      <c r="K77" s="279">
        <f t="shared" si="10"/>
        <v>9978</v>
      </c>
      <c r="L77" s="280">
        <v>7.6999999999999999E-2</v>
      </c>
      <c r="M77" s="280">
        <v>0.215</v>
      </c>
      <c r="N77" s="281">
        <v>0.17799999999999999</v>
      </c>
      <c r="O77" s="282">
        <f t="shared" si="11"/>
        <v>29.722000000000001</v>
      </c>
      <c r="P77" s="283">
        <f t="shared" si="12"/>
        <v>176.02199999999999</v>
      </c>
      <c r="Q77" s="275">
        <f t="shared" si="13"/>
        <v>9.4710000000000001</v>
      </c>
      <c r="R77" s="283">
        <f t="shared" si="13"/>
        <v>62.994999999999997</v>
      </c>
      <c r="S77" s="275">
        <f t="shared" si="14"/>
        <v>72.465999999999994</v>
      </c>
      <c r="T77" s="283">
        <f t="shared" si="9"/>
        <v>1564.34</v>
      </c>
      <c r="U77" s="283">
        <f t="shared" si="15"/>
        <v>1636.8059999999998</v>
      </c>
      <c r="V77" s="283">
        <f t="shared" si="16"/>
        <v>1812.8279999999997</v>
      </c>
    </row>
    <row r="78" spans="1:22" ht="24.95" customHeight="1" x14ac:dyDescent="0.2">
      <c r="A78" s="284" t="s">
        <v>59</v>
      </c>
      <c r="B78" s="285" t="s">
        <v>14</v>
      </c>
      <c r="C78" s="286" t="s">
        <v>286</v>
      </c>
      <c r="D78" s="279">
        <v>39231</v>
      </c>
      <c r="E78" s="279">
        <v>1213</v>
      </c>
      <c r="F78" s="279">
        <v>7272</v>
      </c>
      <c r="G78" s="279">
        <v>461</v>
      </c>
      <c r="H78" s="279">
        <v>847</v>
      </c>
      <c r="I78" s="279">
        <v>22686</v>
      </c>
      <c r="J78" s="279">
        <v>6752</v>
      </c>
      <c r="K78" s="279">
        <f t="shared" si="10"/>
        <v>31266</v>
      </c>
      <c r="L78" s="280">
        <v>7.9000000000000001E-2</v>
      </c>
      <c r="M78" s="280">
        <v>0.20699999999999999</v>
      </c>
      <c r="N78" s="281">
        <v>0.17100000000000001</v>
      </c>
      <c r="O78" s="282">
        <f t="shared" si="11"/>
        <v>95.826999999999998</v>
      </c>
      <c r="P78" s="283">
        <f t="shared" si="12"/>
        <v>574.48800000000006</v>
      </c>
      <c r="Q78" s="275">
        <f t="shared" si="13"/>
        <v>36.418999999999997</v>
      </c>
      <c r="R78" s="283">
        <f t="shared" si="13"/>
        <v>175.32899999999998</v>
      </c>
      <c r="S78" s="275">
        <f t="shared" si="14"/>
        <v>211.74799999999999</v>
      </c>
      <c r="T78" s="283">
        <f t="shared" si="9"/>
        <v>4696.0019999999995</v>
      </c>
      <c r="U78" s="283">
        <f t="shared" si="15"/>
        <v>4907.7499999999991</v>
      </c>
      <c r="V78" s="283">
        <f t="shared" si="16"/>
        <v>5482.2379999999994</v>
      </c>
    </row>
    <row r="79" spans="1:22" ht="24.95" customHeight="1" x14ac:dyDescent="0.2">
      <c r="A79" s="284" t="s">
        <v>90</v>
      </c>
      <c r="B79" s="285" t="s">
        <v>17</v>
      </c>
      <c r="C79" s="286" t="s">
        <v>286</v>
      </c>
      <c r="D79" s="279">
        <v>175446</v>
      </c>
      <c r="E79" s="279">
        <v>6239</v>
      </c>
      <c r="F79" s="279">
        <v>32465</v>
      </c>
      <c r="G79" s="279">
        <v>3837</v>
      </c>
      <c r="H79" s="279">
        <v>10948</v>
      </c>
      <c r="I79" s="279">
        <v>101970</v>
      </c>
      <c r="J79" s="279">
        <v>19987</v>
      </c>
      <c r="K79" s="279">
        <f t="shared" si="10"/>
        <v>149220</v>
      </c>
      <c r="L79" s="280">
        <v>8.5000000000000006E-2</v>
      </c>
      <c r="M79" s="280">
        <v>0.22</v>
      </c>
      <c r="N79" s="281">
        <v>0.18099999999999999</v>
      </c>
      <c r="O79" s="282">
        <f t="shared" si="11"/>
        <v>530.31500000000005</v>
      </c>
      <c r="P79" s="283">
        <f t="shared" si="12"/>
        <v>2759.5250000000001</v>
      </c>
      <c r="Q79" s="275">
        <f t="shared" si="13"/>
        <v>326.14500000000004</v>
      </c>
      <c r="R79" s="283">
        <f t="shared" si="13"/>
        <v>2408.56</v>
      </c>
      <c r="S79" s="275">
        <f t="shared" si="14"/>
        <v>2734.7049999999999</v>
      </c>
      <c r="T79" s="283">
        <f t="shared" si="9"/>
        <v>22433.4</v>
      </c>
      <c r="U79" s="283">
        <f t="shared" si="15"/>
        <v>25168.105000000003</v>
      </c>
      <c r="V79" s="283">
        <f t="shared" si="16"/>
        <v>27927.630000000005</v>
      </c>
    </row>
    <row r="80" spans="1:22" ht="24.95" customHeight="1" x14ac:dyDescent="0.2">
      <c r="A80" s="284" t="s">
        <v>139</v>
      </c>
      <c r="B80" s="285" t="s">
        <v>292</v>
      </c>
      <c r="C80" s="286" t="s">
        <v>286</v>
      </c>
      <c r="D80" s="279">
        <v>20603</v>
      </c>
      <c r="E80" s="279">
        <v>415</v>
      </c>
      <c r="F80" s="279">
        <v>3137</v>
      </c>
      <c r="G80" s="279">
        <v>203</v>
      </c>
      <c r="H80" s="279">
        <v>416</v>
      </c>
      <c r="I80" s="279">
        <v>10857</v>
      </c>
      <c r="J80" s="279">
        <v>5575</v>
      </c>
      <c r="K80" s="279">
        <f t="shared" si="10"/>
        <v>14613</v>
      </c>
      <c r="L80" s="280">
        <v>0.08</v>
      </c>
      <c r="M80" s="280">
        <v>0.186</v>
      </c>
      <c r="N80" s="281">
        <v>0.159</v>
      </c>
      <c r="O80" s="282">
        <f t="shared" si="11"/>
        <v>33.200000000000003</v>
      </c>
      <c r="P80" s="283">
        <f t="shared" si="12"/>
        <v>250.96</v>
      </c>
      <c r="Q80" s="275">
        <f t="shared" si="13"/>
        <v>16.240000000000002</v>
      </c>
      <c r="R80" s="283">
        <f t="shared" si="13"/>
        <v>77.376000000000005</v>
      </c>
      <c r="S80" s="275">
        <f t="shared" si="14"/>
        <v>93.616000000000014</v>
      </c>
      <c r="T80" s="283">
        <f t="shared" si="9"/>
        <v>2019.402</v>
      </c>
      <c r="U80" s="283">
        <f t="shared" si="15"/>
        <v>2113.018</v>
      </c>
      <c r="V80" s="283">
        <f t="shared" si="16"/>
        <v>2363.9780000000001</v>
      </c>
    </row>
    <row r="81" spans="1:22" ht="24.95" customHeight="1" x14ac:dyDescent="0.2">
      <c r="A81" s="284" t="s">
        <v>121</v>
      </c>
      <c r="B81" s="285" t="s">
        <v>21</v>
      </c>
      <c r="C81" s="286" t="s">
        <v>286</v>
      </c>
      <c r="D81" s="279">
        <v>142678</v>
      </c>
      <c r="E81" s="279">
        <v>4785</v>
      </c>
      <c r="F81" s="279">
        <v>28319</v>
      </c>
      <c r="G81" s="279">
        <v>1940</v>
      </c>
      <c r="H81" s="279">
        <v>3930</v>
      </c>
      <c r="I81" s="279">
        <v>80942</v>
      </c>
      <c r="J81" s="279">
        <v>22762</v>
      </c>
      <c r="K81" s="279">
        <f t="shared" si="10"/>
        <v>115131</v>
      </c>
      <c r="L81" s="280">
        <v>8.3000000000000004E-2</v>
      </c>
      <c r="M81" s="280">
        <v>0.20499999999999999</v>
      </c>
      <c r="N81" s="281">
        <v>0.16900000000000001</v>
      </c>
      <c r="O81" s="282">
        <f t="shared" si="11"/>
        <v>397.15500000000003</v>
      </c>
      <c r="P81" s="283">
        <f t="shared" si="12"/>
        <v>2350.4770000000003</v>
      </c>
      <c r="Q81" s="275">
        <f t="shared" si="13"/>
        <v>161.02000000000001</v>
      </c>
      <c r="R81" s="283">
        <f t="shared" si="13"/>
        <v>805.65</v>
      </c>
      <c r="S81" s="275">
        <f t="shared" si="14"/>
        <v>966.67</v>
      </c>
      <c r="T81" s="283">
        <f t="shared" si="9"/>
        <v>16593.11</v>
      </c>
      <c r="U81" s="283">
        <f t="shared" si="15"/>
        <v>17559.78</v>
      </c>
      <c r="V81" s="283">
        <f t="shared" si="16"/>
        <v>19910.256999999998</v>
      </c>
    </row>
    <row r="82" spans="1:22" ht="24.95" customHeight="1" x14ac:dyDescent="0.2">
      <c r="A82" s="284" t="s">
        <v>122</v>
      </c>
      <c r="B82" s="285" t="s">
        <v>21</v>
      </c>
      <c r="C82" s="286" t="s">
        <v>286</v>
      </c>
      <c r="D82" s="279">
        <v>46030</v>
      </c>
      <c r="E82" s="279">
        <v>1591</v>
      </c>
      <c r="F82" s="279">
        <v>9254</v>
      </c>
      <c r="G82" s="279">
        <v>718</v>
      </c>
      <c r="H82" s="279">
        <v>1444</v>
      </c>
      <c r="I82" s="279">
        <v>25675</v>
      </c>
      <c r="J82" s="279">
        <v>7348</v>
      </c>
      <c r="K82" s="279">
        <f t="shared" si="10"/>
        <v>37091</v>
      </c>
      <c r="L82" s="280">
        <v>8.5999999999999993E-2</v>
      </c>
      <c r="M82" s="280">
        <v>0.22800000000000001</v>
      </c>
      <c r="N82" s="281">
        <v>0.186</v>
      </c>
      <c r="O82" s="282">
        <f t="shared" si="11"/>
        <v>136.82599999999999</v>
      </c>
      <c r="P82" s="283">
        <f t="shared" si="12"/>
        <v>795.84399999999994</v>
      </c>
      <c r="Q82" s="275">
        <f t="shared" si="13"/>
        <v>61.747999999999998</v>
      </c>
      <c r="R82" s="283">
        <f t="shared" si="13"/>
        <v>329.23200000000003</v>
      </c>
      <c r="S82" s="275">
        <f t="shared" si="14"/>
        <v>390.98</v>
      </c>
      <c r="T82" s="283">
        <f t="shared" si="9"/>
        <v>5853.9000000000005</v>
      </c>
      <c r="U82" s="283">
        <f t="shared" si="15"/>
        <v>6244.880000000001</v>
      </c>
      <c r="V82" s="283">
        <f t="shared" si="16"/>
        <v>7040.7240000000011</v>
      </c>
    </row>
    <row r="83" spans="1:22" ht="24.95" customHeight="1" x14ac:dyDescent="0.2">
      <c r="A83" s="284" t="s">
        <v>100</v>
      </c>
      <c r="B83" s="285" t="s">
        <v>18</v>
      </c>
      <c r="C83" s="286" t="s">
        <v>286</v>
      </c>
      <c r="D83" s="279">
        <v>133599</v>
      </c>
      <c r="E83" s="279">
        <v>5273</v>
      </c>
      <c r="F83" s="279">
        <v>28469</v>
      </c>
      <c r="G83" s="279">
        <v>2390</v>
      </c>
      <c r="H83" s="279">
        <v>4866</v>
      </c>
      <c r="I83" s="279">
        <v>75003</v>
      </c>
      <c r="J83" s="279">
        <v>17598</v>
      </c>
      <c r="K83" s="279">
        <f t="shared" si="10"/>
        <v>110728</v>
      </c>
      <c r="L83" s="280">
        <v>9.8000000000000004E-2</v>
      </c>
      <c r="M83" s="280">
        <v>0.254</v>
      </c>
      <c r="N83" s="281">
        <v>0.20300000000000001</v>
      </c>
      <c r="O83" s="282">
        <f t="shared" si="11"/>
        <v>516.75400000000002</v>
      </c>
      <c r="P83" s="283">
        <f t="shared" si="12"/>
        <v>2789.962</v>
      </c>
      <c r="Q83" s="275">
        <f t="shared" si="13"/>
        <v>234.22</v>
      </c>
      <c r="R83" s="283">
        <f t="shared" si="13"/>
        <v>1235.9639999999999</v>
      </c>
      <c r="S83" s="275">
        <f t="shared" si="14"/>
        <v>1470.184</v>
      </c>
      <c r="T83" s="283">
        <f t="shared" si="9"/>
        <v>19050.761999999999</v>
      </c>
      <c r="U83" s="283">
        <f t="shared" si="15"/>
        <v>20520.946</v>
      </c>
      <c r="V83" s="283">
        <f t="shared" si="16"/>
        <v>23310.907999999999</v>
      </c>
    </row>
    <row r="84" spans="1:22" ht="24.95" customHeight="1" x14ac:dyDescent="0.2">
      <c r="A84" s="284" t="s">
        <v>67</v>
      </c>
      <c r="B84" s="285" t="s">
        <v>15</v>
      </c>
      <c r="C84" s="286" t="s">
        <v>286</v>
      </c>
      <c r="D84" s="279">
        <v>91775</v>
      </c>
      <c r="E84" s="279">
        <v>2767</v>
      </c>
      <c r="F84" s="279">
        <v>16442</v>
      </c>
      <c r="G84" s="279">
        <v>1105</v>
      </c>
      <c r="H84" s="279">
        <v>2228</v>
      </c>
      <c r="I84" s="279">
        <v>52569</v>
      </c>
      <c r="J84" s="279">
        <v>16664</v>
      </c>
      <c r="K84" s="279">
        <f t="shared" si="10"/>
        <v>72344</v>
      </c>
      <c r="L84" s="280">
        <v>0.08</v>
      </c>
      <c r="M84" s="280">
        <v>0.20300000000000001</v>
      </c>
      <c r="N84" s="281">
        <v>0.17</v>
      </c>
      <c r="O84" s="282">
        <f t="shared" si="11"/>
        <v>221.36</v>
      </c>
      <c r="P84" s="283">
        <f t="shared" si="12"/>
        <v>1315.3600000000001</v>
      </c>
      <c r="Q84" s="275">
        <f t="shared" si="13"/>
        <v>88.4</v>
      </c>
      <c r="R84" s="283">
        <f t="shared" si="13"/>
        <v>452.28400000000005</v>
      </c>
      <c r="S84" s="275">
        <f t="shared" si="14"/>
        <v>540.68400000000008</v>
      </c>
      <c r="T84" s="283">
        <f t="shared" si="9"/>
        <v>10671.507000000001</v>
      </c>
      <c r="U84" s="283">
        <f t="shared" si="15"/>
        <v>11212.191000000001</v>
      </c>
      <c r="V84" s="283">
        <f t="shared" si="16"/>
        <v>12527.551000000001</v>
      </c>
    </row>
    <row r="85" spans="1:22" ht="24.95" customHeight="1" x14ac:dyDescent="0.2">
      <c r="A85" s="284" t="s">
        <v>60</v>
      </c>
      <c r="B85" s="285" t="s">
        <v>14</v>
      </c>
      <c r="C85" s="286" t="s">
        <v>285</v>
      </c>
      <c r="D85" s="279">
        <v>139161</v>
      </c>
      <c r="E85" s="279">
        <v>4596</v>
      </c>
      <c r="F85" s="279">
        <v>27054</v>
      </c>
      <c r="G85" s="279">
        <v>1863</v>
      </c>
      <c r="H85" s="279">
        <v>3844</v>
      </c>
      <c r="I85" s="279">
        <v>79702</v>
      </c>
      <c r="J85" s="279">
        <v>22102</v>
      </c>
      <c r="K85" s="279">
        <f t="shared" si="10"/>
        <v>112463</v>
      </c>
      <c r="L85" s="280">
        <v>8.2000000000000003E-2</v>
      </c>
      <c r="M85" s="280">
        <v>0.20799999999999999</v>
      </c>
      <c r="N85" s="281">
        <v>0.17199999999999999</v>
      </c>
      <c r="O85" s="282">
        <f t="shared" si="11"/>
        <v>376.87200000000001</v>
      </c>
      <c r="P85" s="283">
        <f t="shared" si="12"/>
        <v>2218.4279999999999</v>
      </c>
      <c r="Q85" s="275">
        <f t="shared" si="13"/>
        <v>152.76600000000002</v>
      </c>
      <c r="R85" s="283">
        <f t="shared" si="13"/>
        <v>799.55199999999991</v>
      </c>
      <c r="S85" s="275">
        <f t="shared" si="14"/>
        <v>952.31799999999998</v>
      </c>
      <c r="T85" s="283">
        <f t="shared" si="9"/>
        <v>16578.016</v>
      </c>
      <c r="U85" s="283">
        <f t="shared" si="15"/>
        <v>17530.333999999999</v>
      </c>
      <c r="V85" s="283">
        <f t="shared" si="16"/>
        <v>19748.761999999999</v>
      </c>
    </row>
    <row r="86" spans="1:22" ht="24.95" customHeight="1" x14ac:dyDescent="0.2">
      <c r="A86" s="284" t="s">
        <v>140</v>
      </c>
      <c r="B86" s="285" t="s">
        <v>292</v>
      </c>
      <c r="C86" s="286" t="s">
        <v>286</v>
      </c>
      <c r="D86" s="279">
        <v>67535</v>
      </c>
      <c r="E86" s="279">
        <v>2043</v>
      </c>
      <c r="F86" s="279">
        <v>12288</v>
      </c>
      <c r="G86" s="279">
        <v>914</v>
      </c>
      <c r="H86" s="279">
        <v>1528</v>
      </c>
      <c r="I86" s="279">
        <v>37607</v>
      </c>
      <c r="J86" s="279">
        <v>13155</v>
      </c>
      <c r="K86" s="279">
        <f t="shared" si="10"/>
        <v>52337</v>
      </c>
      <c r="L86" s="280">
        <v>7.9000000000000001E-2</v>
      </c>
      <c r="M86" s="280">
        <v>0.20200000000000001</v>
      </c>
      <c r="N86" s="281">
        <v>0.16800000000000001</v>
      </c>
      <c r="O86" s="282">
        <f t="shared" si="11"/>
        <v>161.39699999999999</v>
      </c>
      <c r="P86" s="283">
        <f t="shared" si="12"/>
        <v>970.75199999999995</v>
      </c>
      <c r="Q86" s="275">
        <f t="shared" si="13"/>
        <v>72.206000000000003</v>
      </c>
      <c r="R86" s="283">
        <f t="shared" si="13"/>
        <v>308.65600000000001</v>
      </c>
      <c r="S86" s="275">
        <f t="shared" si="14"/>
        <v>380.86200000000002</v>
      </c>
      <c r="T86" s="283">
        <f t="shared" si="9"/>
        <v>7596.6140000000005</v>
      </c>
      <c r="U86" s="283">
        <f t="shared" si="15"/>
        <v>7977.4760000000006</v>
      </c>
      <c r="V86" s="283">
        <f t="shared" si="16"/>
        <v>8948.228000000001</v>
      </c>
    </row>
    <row r="87" spans="1:22" ht="24.95" customHeight="1" x14ac:dyDescent="0.2">
      <c r="A87" s="284" t="s">
        <v>101</v>
      </c>
      <c r="B87" s="285" t="s">
        <v>18</v>
      </c>
      <c r="C87" s="286" t="s">
        <v>286</v>
      </c>
      <c r="D87" s="279">
        <v>64553</v>
      </c>
      <c r="E87" s="279">
        <v>2524</v>
      </c>
      <c r="F87" s="279">
        <v>13492</v>
      </c>
      <c r="G87" s="279">
        <v>914</v>
      </c>
      <c r="H87" s="279">
        <v>1811</v>
      </c>
      <c r="I87" s="279">
        <v>35579</v>
      </c>
      <c r="J87" s="279">
        <v>10233</v>
      </c>
      <c r="K87" s="279">
        <f t="shared" si="10"/>
        <v>51796</v>
      </c>
      <c r="L87" s="280">
        <v>9.6000000000000002E-2</v>
      </c>
      <c r="M87" s="280">
        <v>0.26</v>
      </c>
      <c r="N87" s="281">
        <v>0.21</v>
      </c>
      <c r="O87" s="282">
        <f t="shared" si="11"/>
        <v>242.304</v>
      </c>
      <c r="P87" s="283">
        <f t="shared" si="12"/>
        <v>1295.232</v>
      </c>
      <c r="Q87" s="275">
        <f t="shared" si="13"/>
        <v>87.744</v>
      </c>
      <c r="R87" s="283">
        <f t="shared" si="13"/>
        <v>470.86</v>
      </c>
      <c r="S87" s="275">
        <f t="shared" si="14"/>
        <v>558.60400000000004</v>
      </c>
      <c r="T87" s="283">
        <f t="shared" si="9"/>
        <v>9250.5400000000009</v>
      </c>
      <c r="U87" s="283">
        <f t="shared" si="15"/>
        <v>9809.1440000000002</v>
      </c>
      <c r="V87" s="283">
        <f t="shared" si="16"/>
        <v>11104.376</v>
      </c>
    </row>
    <row r="88" spans="1:22" ht="24.95" customHeight="1" x14ac:dyDescent="0.2">
      <c r="A88" s="284" t="s">
        <v>102</v>
      </c>
      <c r="B88" s="285" t="s">
        <v>18</v>
      </c>
      <c r="C88" s="286" t="s">
        <v>286</v>
      </c>
      <c r="D88" s="279">
        <v>36120</v>
      </c>
      <c r="E88" s="279">
        <v>1315</v>
      </c>
      <c r="F88" s="279">
        <v>7348</v>
      </c>
      <c r="G88" s="279">
        <v>469</v>
      </c>
      <c r="H88" s="279">
        <v>966</v>
      </c>
      <c r="I88" s="279">
        <v>20380</v>
      </c>
      <c r="J88" s="279">
        <v>5642</v>
      </c>
      <c r="K88" s="279">
        <f t="shared" si="10"/>
        <v>29163</v>
      </c>
      <c r="L88" s="280">
        <v>8.5000000000000006E-2</v>
      </c>
      <c r="M88" s="280">
        <v>0.217</v>
      </c>
      <c r="N88" s="281">
        <v>0.17699999999999999</v>
      </c>
      <c r="O88" s="282">
        <f t="shared" si="11"/>
        <v>111.77500000000001</v>
      </c>
      <c r="P88" s="283">
        <f t="shared" si="12"/>
        <v>624.58000000000004</v>
      </c>
      <c r="Q88" s="275">
        <f t="shared" si="13"/>
        <v>39.865000000000002</v>
      </c>
      <c r="R88" s="283">
        <f t="shared" si="13"/>
        <v>209.62199999999999</v>
      </c>
      <c r="S88" s="275">
        <f t="shared" si="14"/>
        <v>249.48699999999999</v>
      </c>
      <c r="T88" s="283">
        <f t="shared" si="9"/>
        <v>4422.46</v>
      </c>
      <c r="U88" s="283">
        <f t="shared" si="15"/>
        <v>4671.9470000000001</v>
      </c>
      <c r="V88" s="283">
        <f t="shared" si="16"/>
        <v>5296.527</v>
      </c>
    </row>
    <row r="89" spans="1:22" ht="24.95" customHeight="1" x14ac:dyDescent="0.2">
      <c r="A89" s="284" t="s">
        <v>61</v>
      </c>
      <c r="B89" s="285" t="s">
        <v>14</v>
      </c>
      <c r="C89" s="286" t="s">
        <v>286</v>
      </c>
      <c r="D89" s="279">
        <v>60562</v>
      </c>
      <c r="E89" s="279">
        <v>1889</v>
      </c>
      <c r="F89" s="279">
        <v>11120</v>
      </c>
      <c r="G89" s="279">
        <v>773</v>
      </c>
      <c r="H89" s="279">
        <v>1632</v>
      </c>
      <c r="I89" s="279">
        <v>34627</v>
      </c>
      <c r="J89" s="279">
        <v>10521</v>
      </c>
      <c r="K89" s="279">
        <f t="shared" si="10"/>
        <v>48152</v>
      </c>
      <c r="L89" s="280">
        <v>7.4999999999999997E-2</v>
      </c>
      <c r="M89" s="280">
        <v>0.189</v>
      </c>
      <c r="N89" s="281">
        <v>0.156</v>
      </c>
      <c r="O89" s="282">
        <f t="shared" si="11"/>
        <v>141.67499999999998</v>
      </c>
      <c r="P89" s="283">
        <f t="shared" si="12"/>
        <v>834</v>
      </c>
      <c r="Q89" s="275">
        <f t="shared" si="13"/>
        <v>57.974999999999994</v>
      </c>
      <c r="R89" s="283">
        <f t="shared" si="13"/>
        <v>308.44799999999998</v>
      </c>
      <c r="S89" s="275">
        <f t="shared" si="14"/>
        <v>366.423</v>
      </c>
      <c r="T89" s="283">
        <f t="shared" si="9"/>
        <v>6544.5029999999997</v>
      </c>
      <c r="U89" s="283">
        <f t="shared" si="15"/>
        <v>6910.9259999999995</v>
      </c>
      <c r="V89" s="283">
        <f t="shared" si="16"/>
        <v>7744.9259999999995</v>
      </c>
    </row>
    <row r="90" spans="1:22" ht="24.95" customHeight="1" x14ac:dyDescent="0.2">
      <c r="A90" s="284" t="s">
        <v>68</v>
      </c>
      <c r="B90" s="285" t="s">
        <v>15</v>
      </c>
      <c r="C90" s="286" t="s">
        <v>286</v>
      </c>
      <c r="D90" s="279">
        <v>46409</v>
      </c>
      <c r="E90" s="279">
        <v>1190</v>
      </c>
      <c r="F90" s="279">
        <v>8065</v>
      </c>
      <c r="G90" s="279">
        <v>510</v>
      </c>
      <c r="H90" s="279">
        <v>1019</v>
      </c>
      <c r="I90" s="279">
        <v>27173</v>
      </c>
      <c r="J90" s="279">
        <v>8452</v>
      </c>
      <c r="K90" s="279">
        <f t="shared" si="10"/>
        <v>36767</v>
      </c>
      <c r="L90" s="280">
        <v>7.0999999999999994E-2</v>
      </c>
      <c r="M90" s="280">
        <v>0.2</v>
      </c>
      <c r="N90" s="281">
        <v>0.16500000000000001</v>
      </c>
      <c r="O90" s="282">
        <f t="shared" si="11"/>
        <v>84.49</v>
      </c>
      <c r="P90" s="283">
        <f t="shared" si="12"/>
        <v>572.6149999999999</v>
      </c>
      <c r="Q90" s="275">
        <f t="shared" si="13"/>
        <v>36.209999999999994</v>
      </c>
      <c r="R90" s="283">
        <f t="shared" si="13"/>
        <v>203.8</v>
      </c>
      <c r="S90" s="275">
        <f t="shared" si="14"/>
        <v>240.01</v>
      </c>
      <c r="T90" s="283">
        <f t="shared" si="9"/>
        <v>5434.6</v>
      </c>
      <c r="U90" s="283">
        <f t="shared" si="15"/>
        <v>5674.6100000000006</v>
      </c>
      <c r="V90" s="283">
        <f t="shared" si="16"/>
        <v>6247.2250000000004</v>
      </c>
    </row>
    <row r="91" spans="1:22" ht="24.95" customHeight="1" x14ac:dyDescent="0.2">
      <c r="A91" s="284" t="s">
        <v>112</v>
      </c>
      <c r="B91" s="285" t="s">
        <v>20</v>
      </c>
      <c r="C91" s="286" t="s">
        <v>286</v>
      </c>
      <c r="D91" s="279">
        <v>73368</v>
      </c>
      <c r="E91" s="279">
        <v>2279</v>
      </c>
      <c r="F91" s="279">
        <v>13871</v>
      </c>
      <c r="G91" s="279">
        <v>979</v>
      </c>
      <c r="H91" s="279">
        <v>2055</v>
      </c>
      <c r="I91" s="279">
        <v>40781</v>
      </c>
      <c r="J91" s="279">
        <v>13403</v>
      </c>
      <c r="K91" s="279">
        <f t="shared" si="10"/>
        <v>57686</v>
      </c>
      <c r="L91" s="280">
        <v>8.4000000000000005E-2</v>
      </c>
      <c r="M91" s="280">
        <v>0.19700000000000001</v>
      </c>
      <c r="N91" s="281">
        <v>0.16500000000000001</v>
      </c>
      <c r="O91" s="282">
        <f t="shared" si="11"/>
        <v>191.43600000000001</v>
      </c>
      <c r="P91" s="283">
        <f t="shared" si="12"/>
        <v>1165.164</v>
      </c>
      <c r="Q91" s="275">
        <f t="shared" si="13"/>
        <v>82.236000000000004</v>
      </c>
      <c r="R91" s="283">
        <f t="shared" si="13"/>
        <v>404.83500000000004</v>
      </c>
      <c r="S91" s="275">
        <f t="shared" si="14"/>
        <v>487.07100000000003</v>
      </c>
      <c r="T91" s="283">
        <f t="shared" si="9"/>
        <v>8033.857</v>
      </c>
      <c r="U91" s="283">
        <f t="shared" si="15"/>
        <v>8520.9279999999999</v>
      </c>
      <c r="V91" s="283">
        <f t="shared" si="16"/>
        <v>9686.0920000000006</v>
      </c>
    </row>
    <row r="92" spans="1:22" ht="24.95" customHeight="1" x14ac:dyDescent="0.2">
      <c r="A92" s="284" t="s">
        <v>141</v>
      </c>
      <c r="B92" s="285" t="s">
        <v>292</v>
      </c>
      <c r="C92" s="286" t="s">
        <v>286</v>
      </c>
      <c r="D92" s="279">
        <v>14750</v>
      </c>
      <c r="E92" s="279">
        <v>610</v>
      </c>
      <c r="F92" s="279">
        <v>2843</v>
      </c>
      <c r="G92" s="279">
        <v>174</v>
      </c>
      <c r="H92" s="279">
        <v>338</v>
      </c>
      <c r="I92" s="279">
        <v>8103</v>
      </c>
      <c r="J92" s="279">
        <v>2682</v>
      </c>
      <c r="K92" s="279">
        <f t="shared" si="10"/>
        <v>11458</v>
      </c>
      <c r="L92" s="280">
        <v>9.4E-2</v>
      </c>
      <c r="M92" s="280">
        <v>0.218</v>
      </c>
      <c r="N92" s="281">
        <v>0.18099999999999999</v>
      </c>
      <c r="O92" s="282">
        <f t="shared" si="11"/>
        <v>57.34</v>
      </c>
      <c r="P92" s="283">
        <f t="shared" si="12"/>
        <v>267.24200000000002</v>
      </c>
      <c r="Q92" s="275">
        <f t="shared" si="13"/>
        <v>16.356000000000002</v>
      </c>
      <c r="R92" s="283">
        <f t="shared" si="13"/>
        <v>73.683999999999997</v>
      </c>
      <c r="S92" s="275">
        <f t="shared" si="14"/>
        <v>90.039999999999992</v>
      </c>
      <c r="T92" s="283">
        <f t="shared" si="9"/>
        <v>1766.454</v>
      </c>
      <c r="U92" s="283">
        <f t="shared" si="15"/>
        <v>1856.4939999999999</v>
      </c>
      <c r="V92" s="283">
        <f t="shared" si="16"/>
        <v>2123.7359999999999</v>
      </c>
    </row>
    <row r="93" spans="1:22" ht="24.95" customHeight="1" x14ac:dyDescent="0.2">
      <c r="A93" s="284" t="s">
        <v>142</v>
      </c>
      <c r="B93" s="285" t="s">
        <v>292</v>
      </c>
      <c r="C93" s="286" t="s">
        <v>286</v>
      </c>
      <c r="D93" s="279">
        <v>33231</v>
      </c>
      <c r="E93" s="279">
        <v>813</v>
      </c>
      <c r="F93" s="279">
        <v>4833</v>
      </c>
      <c r="G93" s="279">
        <v>457</v>
      </c>
      <c r="H93" s="279">
        <v>835</v>
      </c>
      <c r="I93" s="279">
        <v>16682</v>
      </c>
      <c r="J93" s="279">
        <v>9611</v>
      </c>
      <c r="K93" s="279">
        <f t="shared" si="10"/>
        <v>22807</v>
      </c>
      <c r="L93" s="280">
        <v>7.6999999999999999E-2</v>
      </c>
      <c r="M93" s="280">
        <v>0.185</v>
      </c>
      <c r="N93" s="281">
        <v>0.157</v>
      </c>
      <c r="O93" s="282">
        <f t="shared" si="11"/>
        <v>62.600999999999999</v>
      </c>
      <c r="P93" s="283">
        <f t="shared" si="12"/>
        <v>372.14100000000002</v>
      </c>
      <c r="Q93" s="275">
        <f t="shared" si="13"/>
        <v>35.189</v>
      </c>
      <c r="R93" s="283">
        <f t="shared" si="13"/>
        <v>154.47499999999999</v>
      </c>
      <c r="S93" s="275">
        <f t="shared" si="14"/>
        <v>189.66399999999999</v>
      </c>
      <c r="T93" s="283">
        <f t="shared" si="9"/>
        <v>3086.17</v>
      </c>
      <c r="U93" s="283">
        <f t="shared" si="15"/>
        <v>3275.8339999999998</v>
      </c>
      <c r="V93" s="283">
        <f t="shared" si="16"/>
        <v>3647.9749999999999</v>
      </c>
    </row>
    <row r="94" spans="1:22" ht="24.95" customHeight="1" x14ac:dyDescent="0.2">
      <c r="A94" s="284" t="s">
        <v>91</v>
      </c>
      <c r="B94" s="285" t="s">
        <v>17</v>
      </c>
      <c r="C94" s="286" t="s">
        <v>286</v>
      </c>
      <c r="D94" s="279">
        <v>4114</v>
      </c>
      <c r="E94" s="279">
        <v>124</v>
      </c>
      <c r="F94" s="279">
        <v>613</v>
      </c>
      <c r="G94" s="279">
        <v>36</v>
      </c>
      <c r="H94" s="279">
        <v>74</v>
      </c>
      <c r="I94" s="279">
        <v>2493</v>
      </c>
      <c r="J94" s="279">
        <v>774</v>
      </c>
      <c r="K94" s="279">
        <f t="shared" si="10"/>
        <v>3216</v>
      </c>
      <c r="L94" s="280">
        <v>0.09</v>
      </c>
      <c r="M94" s="280">
        <v>0.26600000000000001</v>
      </c>
      <c r="N94" s="281">
        <v>0.22500000000000001</v>
      </c>
      <c r="O94" s="282">
        <f t="shared" si="11"/>
        <v>11.16</v>
      </c>
      <c r="P94" s="283">
        <f t="shared" si="12"/>
        <v>55.169999999999995</v>
      </c>
      <c r="Q94" s="275">
        <f t="shared" si="13"/>
        <v>3.2399999999999998</v>
      </c>
      <c r="R94" s="283">
        <f t="shared" si="13"/>
        <v>19.684000000000001</v>
      </c>
      <c r="S94" s="275">
        <f t="shared" si="14"/>
        <v>22.923999999999999</v>
      </c>
      <c r="T94" s="283">
        <f t="shared" si="9"/>
        <v>663.13800000000003</v>
      </c>
      <c r="U94" s="283">
        <f t="shared" si="15"/>
        <v>686.06200000000001</v>
      </c>
      <c r="V94" s="283">
        <f t="shared" si="16"/>
        <v>741.23199999999997</v>
      </c>
    </row>
    <row r="95" spans="1:22" ht="24.95" customHeight="1" x14ac:dyDescent="0.2">
      <c r="A95" s="284" t="s">
        <v>62</v>
      </c>
      <c r="B95" s="285" t="s">
        <v>14</v>
      </c>
      <c r="C95" s="286" t="s">
        <v>286</v>
      </c>
      <c r="D95" s="279">
        <v>215416</v>
      </c>
      <c r="E95" s="279">
        <v>7295</v>
      </c>
      <c r="F95" s="279">
        <v>52030</v>
      </c>
      <c r="G95" s="279">
        <v>3589</v>
      </c>
      <c r="H95" s="279">
        <v>5693</v>
      </c>
      <c r="I95" s="279">
        <v>122361</v>
      </c>
      <c r="J95" s="279">
        <v>24448</v>
      </c>
      <c r="K95" s="279">
        <f t="shared" si="10"/>
        <v>183673</v>
      </c>
      <c r="L95" s="280">
        <v>7.6999999999999999E-2</v>
      </c>
      <c r="M95" s="280">
        <v>0.21299999999999999</v>
      </c>
      <c r="N95" s="281">
        <v>0.16600000000000001</v>
      </c>
      <c r="O95" s="282">
        <f t="shared" si="11"/>
        <v>561.71500000000003</v>
      </c>
      <c r="P95" s="283">
        <f t="shared" si="12"/>
        <v>4006.31</v>
      </c>
      <c r="Q95" s="275">
        <f t="shared" si="13"/>
        <v>276.35300000000001</v>
      </c>
      <c r="R95" s="283">
        <f t="shared" si="13"/>
        <v>1212.6089999999999</v>
      </c>
      <c r="S95" s="275">
        <f t="shared" si="14"/>
        <v>1488.962</v>
      </c>
      <c r="T95" s="283">
        <f t="shared" si="9"/>
        <v>26062.893</v>
      </c>
      <c r="U95" s="283">
        <f t="shared" si="15"/>
        <v>27551.855</v>
      </c>
      <c r="V95" s="283">
        <f t="shared" si="16"/>
        <v>31558.165000000001</v>
      </c>
    </row>
    <row r="96" spans="1:22" ht="24.95" customHeight="1" x14ac:dyDescent="0.2">
      <c r="A96" s="284" t="s">
        <v>63</v>
      </c>
      <c r="B96" s="285" t="s">
        <v>14</v>
      </c>
      <c r="C96" s="286" t="s">
        <v>286</v>
      </c>
      <c r="D96" s="279">
        <v>44977</v>
      </c>
      <c r="E96" s="279">
        <v>1666</v>
      </c>
      <c r="F96" s="279">
        <v>9187</v>
      </c>
      <c r="G96" s="279">
        <v>611</v>
      </c>
      <c r="H96" s="279">
        <v>1238</v>
      </c>
      <c r="I96" s="279">
        <v>25034</v>
      </c>
      <c r="J96" s="279">
        <v>7241</v>
      </c>
      <c r="K96" s="279">
        <f t="shared" si="10"/>
        <v>36070</v>
      </c>
      <c r="L96" s="280">
        <v>9.0999999999999998E-2</v>
      </c>
      <c r="M96" s="280">
        <v>0.23200000000000001</v>
      </c>
      <c r="N96" s="281">
        <v>0.188</v>
      </c>
      <c r="O96" s="282">
        <f t="shared" si="11"/>
        <v>151.60599999999999</v>
      </c>
      <c r="P96" s="283">
        <f t="shared" si="12"/>
        <v>836.01699999999994</v>
      </c>
      <c r="Q96" s="275">
        <f t="shared" si="13"/>
        <v>55.600999999999999</v>
      </c>
      <c r="R96" s="283">
        <f t="shared" si="13"/>
        <v>287.21600000000001</v>
      </c>
      <c r="S96" s="275">
        <f t="shared" si="14"/>
        <v>342.81700000000001</v>
      </c>
      <c r="T96" s="283">
        <f t="shared" si="9"/>
        <v>5807.8879999999999</v>
      </c>
      <c r="U96" s="283">
        <f t="shared" si="15"/>
        <v>6150.7049999999999</v>
      </c>
      <c r="V96" s="283">
        <f t="shared" si="16"/>
        <v>6986.7219999999998</v>
      </c>
    </row>
    <row r="97" spans="1:22" ht="24.95" customHeight="1" x14ac:dyDescent="0.2">
      <c r="A97" s="284" t="s">
        <v>49</v>
      </c>
      <c r="B97" s="285" t="s">
        <v>13</v>
      </c>
      <c r="C97" s="286" t="s">
        <v>285</v>
      </c>
      <c r="D97" s="279">
        <v>985146</v>
      </c>
      <c r="E97" s="279">
        <v>37294</v>
      </c>
      <c r="F97" s="279">
        <v>208100</v>
      </c>
      <c r="G97" s="279">
        <v>13145</v>
      </c>
      <c r="H97" s="279">
        <v>26037</v>
      </c>
      <c r="I97" s="279">
        <v>601273</v>
      </c>
      <c r="J97" s="279">
        <v>99297</v>
      </c>
      <c r="K97" s="279">
        <f t="shared" si="10"/>
        <v>848555</v>
      </c>
      <c r="L97" s="280">
        <v>8.1000000000000003E-2</v>
      </c>
      <c r="M97" s="280">
        <v>0.19700000000000001</v>
      </c>
      <c r="N97" s="281">
        <v>0.16200000000000001</v>
      </c>
      <c r="O97" s="282">
        <f t="shared" si="11"/>
        <v>3020.8140000000003</v>
      </c>
      <c r="P97" s="283">
        <f t="shared" si="12"/>
        <v>16856.100000000002</v>
      </c>
      <c r="Q97" s="275">
        <f t="shared" si="13"/>
        <v>1064.7450000000001</v>
      </c>
      <c r="R97" s="283">
        <f t="shared" si="13"/>
        <v>5129.2890000000007</v>
      </c>
      <c r="S97" s="275">
        <f t="shared" si="14"/>
        <v>6194.0340000000006</v>
      </c>
      <c r="T97" s="283">
        <f t="shared" si="9"/>
        <v>118450.781</v>
      </c>
      <c r="U97" s="283">
        <f t="shared" si="15"/>
        <v>124644.815</v>
      </c>
      <c r="V97" s="283">
        <f t="shared" si="16"/>
        <v>141500.91500000001</v>
      </c>
    </row>
    <row r="98" spans="1:22" ht="24.95" customHeight="1" x14ac:dyDescent="0.2">
      <c r="A98" s="276" t="s">
        <v>64</v>
      </c>
      <c r="B98" s="277" t="s">
        <v>14</v>
      </c>
      <c r="C98" s="278" t="s">
        <v>286</v>
      </c>
      <c r="D98" s="279">
        <v>20368</v>
      </c>
      <c r="E98" s="279">
        <v>513</v>
      </c>
      <c r="F98" s="279">
        <v>3328</v>
      </c>
      <c r="G98" s="279">
        <v>205</v>
      </c>
      <c r="H98" s="279">
        <v>400</v>
      </c>
      <c r="I98" s="279">
        <v>11497</v>
      </c>
      <c r="J98" s="279">
        <v>4425</v>
      </c>
      <c r="K98" s="279">
        <f t="shared" si="10"/>
        <v>15430</v>
      </c>
      <c r="L98" s="280">
        <v>8.8999999999999996E-2</v>
      </c>
      <c r="M98" s="280">
        <v>0.252</v>
      </c>
      <c r="N98" s="281">
        <v>0.20899999999999999</v>
      </c>
      <c r="O98" s="282">
        <f t="shared" si="11"/>
        <v>45.656999999999996</v>
      </c>
      <c r="P98" s="283">
        <f t="shared" si="12"/>
        <v>296.19200000000001</v>
      </c>
      <c r="Q98" s="275">
        <f t="shared" si="13"/>
        <v>18.244999999999997</v>
      </c>
      <c r="R98" s="283">
        <f t="shared" si="13"/>
        <v>100.8</v>
      </c>
      <c r="S98" s="275">
        <f t="shared" si="14"/>
        <v>119.04499999999999</v>
      </c>
      <c r="T98" s="283">
        <f t="shared" si="9"/>
        <v>2897.2440000000001</v>
      </c>
      <c r="U98" s="283">
        <f t="shared" si="15"/>
        <v>3016.2890000000002</v>
      </c>
      <c r="V98" s="283">
        <f t="shared" si="16"/>
        <v>3312.4810000000002</v>
      </c>
    </row>
    <row r="99" spans="1:22" ht="24.95" customHeight="1" x14ac:dyDescent="0.2">
      <c r="A99" s="276" t="s">
        <v>92</v>
      </c>
      <c r="B99" s="277" t="s">
        <v>17</v>
      </c>
      <c r="C99" s="278" t="s">
        <v>286</v>
      </c>
      <c r="D99" s="279">
        <v>12754</v>
      </c>
      <c r="E99" s="279">
        <v>402</v>
      </c>
      <c r="F99" s="279">
        <v>2399</v>
      </c>
      <c r="G99" s="279">
        <v>127</v>
      </c>
      <c r="H99" s="279">
        <v>251</v>
      </c>
      <c r="I99" s="279">
        <v>6927</v>
      </c>
      <c r="J99" s="279">
        <v>2648</v>
      </c>
      <c r="K99" s="279">
        <f t="shared" si="10"/>
        <v>9704</v>
      </c>
      <c r="L99" s="280">
        <v>8.7999999999999995E-2</v>
      </c>
      <c r="M99" s="280">
        <v>0.221</v>
      </c>
      <c r="N99" s="281">
        <v>0.183</v>
      </c>
      <c r="O99" s="282">
        <f t="shared" si="11"/>
        <v>35.375999999999998</v>
      </c>
      <c r="P99" s="283">
        <f t="shared" si="12"/>
        <v>211.11199999999999</v>
      </c>
      <c r="Q99" s="275">
        <f t="shared" si="13"/>
        <v>11.176</v>
      </c>
      <c r="R99" s="283">
        <f t="shared" si="13"/>
        <v>55.471000000000004</v>
      </c>
      <c r="S99" s="275">
        <f t="shared" si="14"/>
        <v>66.647000000000006</v>
      </c>
      <c r="T99" s="283">
        <f t="shared" si="9"/>
        <v>1530.867</v>
      </c>
      <c r="U99" s="283">
        <f t="shared" si="15"/>
        <v>1597.5139999999999</v>
      </c>
      <c r="V99" s="283">
        <f t="shared" si="16"/>
        <v>1808.626</v>
      </c>
    </row>
    <row r="100" spans="1:22" ht="24.95" customHeight="1" x14ac:dyDescent="0.2">
      <c r="A100" s="276" t="s">
        <v>143</v>
      </c>
      <c r="B100" s="277" t="s">
        <v>292</v>
      </c>
      <c r="C100" s="278" t="s">
        <v>286</v>
      </c>
      <c r="D100" s="279">
        <v>52959</v>
      </c>
      <c r="E100" s="279">
        <v>1034</v>
      </c>
      <c r="F100" s="279">
        <v>5898</v>
      </c>
      <c r="G100" s="279">
        <v>1752</v>
      </c>
      <c r="H100" s="279">
        <v>6740</v>
      </c>
      <c r="I100" s="279">
        <v>29871</v>
      </c>
      <c r="J100" s="279">
        <v>7664</v>
      </c>
      <c r="K100" s="279">
        <f t="shared" si="10"/>
        <v>44261</v>
      </c>
      <c r="L100" s="280">
        <v>8.1000000000000003E-2</v>
      </c>
      <c r="M100" s="280">
        <v>0.218</v>
      </c>
      <c r="N100" s="281">
        <v>0.186</v>
      </c>
      <c r="O100" s="282">
        <f t="shared" si="11"/>
        <v>83.754000000000005</v>
      </c>
      <c r="P100" s="283">
        <f t="shared" si="12"/>
        <v>477.738</v>
      </c>
      <c r="Q100" s="275">
        <f t="shared" si="13"/>
        <v>141.91200000000001</v>
      </c>
      <c r="R100" s="283">
        <f t="shared" si="13"/>
        <v>1469.32</v>
      </c>
      <c r="S100" s="275">
        <f t="shared" si="14"/>
        <v>1611.232</v>
      </c>
      <c r="T100" s="283">
        <f t="shared" si="9"/>
        <v>6511.8779999999997</v>
      </c>
      <c r="U100" s="283">
        <f t="shared" si="15"/>
        <v>8123.11</v>
      </c>
      <c r="V100" s="283">
        <f t="shared" si="16"/>
        <v>8600.848</v>
      </c>
    </row>
    <row r="101" spans="1:22" ht="24.95" customHeight="1" x14ac:dyDescent="0.2">
      <c r="A101" s="276" t="s">
        <v>103</v>
      </c>
      <c r="B101" s="277" t="s">
        <v>18</v>
      </c>
      <c r="C101" s="278" t="s">
        <v>286</v>
      </c>
      <c r="D101" s="279">
        <v>125656</v>
      </c>
      <c r="E101" s="279">
        <v>5101</v>
      </c>
      <c r="F101" s="279">
        <v>25595</v>
      </c>
      <c r="G101" s="279">
        <v>1567</v>
      </c>
      <c r="H101" s="279">
        <v>3526</v>
      </c>
      <c r="I101" s="279">
        <v>71715</v>
      </c>
      <c r="J101" s="279">
        <v>18152</v>
      </c>
      <c r="K101" s="279">
        <f t="shared" si="10"/>
        <v>102403</v>
      </c>
      <c r="L101" s="280">
        <v>8.7999999999999995E-2</v>
      </c>
      <c r="M101" s="280">
        <v>0.22600000000000001</v>
      </c>
      <c r="N101" s="281">
        <v>0.185</v>
      </c>
      <c r="O101" s="282">
        <f t="shared" si="11"/>
        <v>448.88799999999998</v>
      </c>
      <c r="P101" s="283">
        <f t="shared" si="12"/>
        <v>2252.3599999999997</v>
      </c>
      <c r="Q101" s="275">
        <f t="shared" si="13"/>
        <v>137.89599999999999</v>
      </c>
      <c r="R101" s="283">
        <f t="shared" si="13"/>
        <v>796.87599999999998</v>
      </c>
      <c r="S101" s="275">
        <f t="shared" si="14"/>
        <v>934.77199999999993</v>
      </c>
      <c r="T101" s="283">
        <f t="shared" si="9"/>
        <v>16207.59</v>
      </c>
      <c r="U101" s="283">
        <f t="shared" si="15"/>
        <v>17142.362000000001</v>
      </c>
      <c r="V101" s="283">
        <f t="shared" si="16"/>
        <v>19394.722000000002</v>
      </c>
    </row>
    <row r="102" spans="1:22" ht="24.95" customHeight="1" x14ac:dyDescent="0.2">
      <c r="A102" s="276" t="s">
        <v>144</v>
      </c>
      <c r="B102" s="277" t="s">
        <v>292</v>
      </c>
      <c r="C102" s="278" t="s">
        <v>286</v>
      </c>
      <c r="D102" s="279">
        <v>69817</v>
      </c>
      <c r="E102" s="279">
        <v>2029</v>
      </c>
      <c r="F102" s="279">
        <v>12646</v>
      </c>
      <c r="G102" s="279">
        <v>863</v>
      </c>
      <c r="H102" s="279">
        <v>1638</v>
      </c>
      <c r="I102" s="279">
        <v>39163</v>
      </c>
      <c r="J102" s="279">
        <v>13478</v>
      </c>
      <c r="K102" s="279">
        <f t="shared" si="10"/>
        <v>54310</v>
      </c>
      <c r="L102" s="280">
        <v>7.6999999999999999E-2</v>
      </c>
      <c r="M102" s="280">
        <v>0.192</v>
      </c>
      <c r="N102" s="281">
        <v>0.16</v>
      </c>
      <c r="O102" s="282">
        <f t="shared" si="11"/>
        <v>156.233</v>
      </c>
      <c r="P102" s="283">
        <f t="shared" si="12"/>
        <v>973.74199999999996</v>
      </c>
      <c r="Q102" s="275">
        <f t="shared" si="13"/>
        <v>66.450999999999993</v>
      </c>
      <c r="R102" s="283">
        <f t="shared" si="13"/>
        <v>314.49599999999998</v>
      </c>
      <c r="S102" s="275">
        <f t="shared" si="14"/>
        <v>380.947</v>
      </c>
      <c r="T102" s="283">
        <f t="shared" si="9"/>
        <v>7519.2960000000003</v>
      </c>
      <c r="U102" s="283">
        <f t="shared" si="15"/>
        <v>7900.2430000000004</v>
      </c>
      <c r="V102" s="283">
        <f t="shared" si="16"/>
        <v>8873.9850000000006</v>
      </c>
    </row>
    <row r="103" spans="1:22" ht="24.95" customHeight="1" x14ac:dyDescent="0.2">
      <c r="A103" s="276" t="s">
        <v>104</v>
      </c>
      <c r="B103" s="277" t="s">
        <v>18</v>
      </c>
      <c r="C103" s="278" t="s">
        <v>286</v>
      </c>
      <c r="D103" s="279">
        <v>82175</v>
      </c>
      <c r="E103" s="279">
        <v>2798</v>
      </c>
      <c r="F103" s="279">
        <v>16605</v>
      </c>
      <c r="G103" s="279">
        <v>1023</v>
      </c>
      <c r="H103" s="279">
        <v>2032</v>
      </c>
      <c r="I103" s="279">
        <v>46595</v>
      </c>
      <c r="J103" s="279">
        <v>13122</v>
      </c>
      <c r="K103" s="279">
        <f t="shared" si="10"/>
        <v>66255</v>
      </c>
      <c r="L103" s="280">
        <v>0.09</v>
      </c>
      <c r="M103" s="280">
        <v>0.221</v>
      </c>
      <c r="N103" s="281">
        <v>0.18099999999999999</v>
      </c>
      <c r="O103" s="282">
        <f t="shared" si="11"/>
        <v>251.82</v>
      </c>
      <c r="P103" s="283">
        <f t="shared" si="12"/>
        <v>1494.45</v>
      </c>
      <c r="Q103" s="275">
        <f t="shared" si="13"/>
        <v>92.07</v>
      </c>
      <c r="R103" s="283">
        <f t="shared" si="13"/>
        <v>449.072</v>
      </c>
      <c r="S103" s="275">
        <f t="shared" si="14"/>
        <v>541.14200000000005</v>
      </c>
      <c r="T103" s="283">
        <f t="shared" si="9"/>
        <v>10297.495000000001</v>
      </c>
      <c r="U103" s="283">
        <f t="shared" si="15"/>
        <v>10838.637000000001</v>
      </c>
      <c r="V103" s="283">
        <f t="shared" si="16"/>
        <v>12333.087000000001</v>
      </c>
    </row>
    <row r="104" spans="1:22" ht="24.95" customHeight="1" x14ac:dyDescent="0.2">
      <c r="A104" s="276" t="s">
        <v>113</v>
      </c>
      <c r="B104" s="277" t="s">
        <v>20</v>
      </c>
      <c r="C104" s="278" t="s">
        <v>286</v>
      </c>
      <c r="D104" s="279">
        <v>38023</v>
      </c>
      <c r="E104" s="279">
        <v>1220</v>
      </c>
      <c r="F104" s="279">
        <v>7097</v>
      </c>
      <c r="G104" s="279">
        <v>473</v>
      </c>
      <c r="H104" s="279">
        <v>969</v>
      </c>
      <c r="I104" s="279">
        <v>21410</v>
      </c>
      <c r="J104" s="279">
        <v>6854</v>
      </c>
      <c r="K104" s="279">
        <f t="shared" si="10"/>
        <v>29949</v>
      </c>
      <c r="L104" s="280">
        <v>8.3000000000000004E-2</v>
      </c>
      <c r="M104" s="280">
        <v>0.20899999999999999</v>
      </c>
      <c r="N104" s="281">
        <v>0.17299999999999999</v>
      </c>
      <c r="O104" s="282">
        <f t="shared" si="11"/>
        <v>101.26</v>
      </c>
      <c r="P104" s="283">
        <f t="shared" si="12"/>
        <v>589.05100000000004</v>
      </c>
      <c r="Q104" s="275">
        <f t="shared" si="13"/>
        <v>39.259</v>
      </c>
      <c r="R104" s="283">
        <f t="shared" si="13"/>
        <v>202.52099999999999</v>
      </c>
      <c r="S104" s="275">
        <f t="shared" si="14"/>
        <v>241.77999999999997</v>
      </c>
      <c r="T104" s="283">
        <f t="shared" si="9"/>
        <v>4474.6899999999996</v>
      </c>
      <c r="U104" s="283">
        <f t="shared" si="15"/>
        <v>4716.4699999999993</v>
      </c>
      <c r="V104" s="283">
        <f t="shared" si="16"/>
        <v>5305.5209999999997</v>
      </c>
    </row>
    <row r="105" spans="1:22" ht="24.95" customHeight="1" x14ac:dyDescent="0.2">
      <c r="A105" s="276" t="s">
        <v>145</v>
      </c>
      <c r="B105" s="277" t="s">
        <v>292</v>
      </c>
      <c r="C105" s="278" t="s">
        <v>286</v>
      </c>
      <c r="D105" s="279">
        <v>17940</v>
      </c>
      <c r="E105" s="279">
        <v>505</v>
      </c>
      <c r="F105" s="279">
        <v>2876</v>
      </c>
      <c r="G105" s="279">
        <v>196</v>
      </c>
      <c r="H105" s="279">
        <v>362</v>
      </c>
      <c r="I105" s="279">
        <v>9886</v>
      </c>
      <c r="J105" s="279">
        <v>4115</v>
      </c>
      <c r="K105" s="279">
        <f t="shared" si="10"/>
        <v>13320</v>
      </c>
      <c r="L105" s="287">
        <v>7.9000000000000001E-2</v>
      </c>
      <c r="M105" s="287">
        <v>0.19900000000000001</v>
      </c>
      <c r="N105" s="288">
        <v>0.16800000000000001</v>
      </c>
      <c r="O105" s="282">
        <f t="shared" si="11"/>
        <v>39.895000000000003</v>
      </c>
      <c r="P105" s="283">
        <f t="shared" si="12"/>
        <v>227.20400000000001</v>
      </c>
      <c r="Q105" s="275">
        <f t="shared" si="13"/>
        <v>15.484</v>
      </c>
      <c r="R105" s="283">
        <f t="shared" si="13"/>
        <v>72.037999999999997</v>
      </c>
      <c r="S105" s="275">
        <f t="shared" si="14"/>
        <v>87.521999999999991</v>
      </c>
      <c r="T105" s="283">
        <f t="shared" si="9"/>
        <v>1967.3140000000001</v>
      </c>
      <c r="U105" s="283">
        <f t="shared" si="15"/>
        <v>2054.8360000000002</v>
      </c>
      <c r="V105" s="283">
        <f t="shared" si="16"/>
        <v>2282.0400000000004</v>
      </c>
    </row>
    <row r="106" spans="1:22" ht="20.100000000000001" customHeight="1" x14ac:dyDescent="0.2">
      <c r="D106" s="290"/>
      <c r="E106" s="290"/>
      <c r="F106" s="290"/>
      <c r="G106" s="290"/>
      <c r="H106" s="290"/>
      <c r="I106" s="290"/>
      <c r="J106" s="291"/>
      <c r="K106" s="291"/>
      <c r="L106" s="292" t="s">
        <v>287</v>
      </c>
      <c r="M106" s="293"/>
      <c r="N106" s="294"/>
      <c r="O106" s="295"/>
      <c r="P106" s="295"/>
      <c r="Q106" s="295"/>
      <c r="R106" s="295"/>
      <c r="S106" s="295"/>
      <c r="T106" s="295"/>
      <c r="U106" s="295"/>
      <c r="V106" s="290"/>
    </row>
    <row r="107" spans="1:22" ht="24.95" customHeight="1" x14ac:dyDescent="0.2">
      <c r="A107" s="296" t="s">
        <v>288</v>
      </c>
      <c r="B107" s="306" t="str">
        <f>A107</f>
        <v>North Carolina</v>
      </c>
      <c r="C107" s="270"/>
      <c r="D107" s="297">
        <f>SUBTOTAL(9,D6:D105)</f>
        <v>9956488</v>
      </c>
      <c r="E107" s="297">
        <f t="shared" ref="E107:K107" si="17">SUBTOTAL(9,E6:E105)</f>
        <v>356415</v>
      </c>
      <c r="F107" s="297">
        <f t="shared" si="17"/>
        <v>1935458</v>
      </c>
      <c r="G107" s="297">
        <f t="shared" si="17"/>
        <v>136224</v>
      </c>
      <c r="H107" s="297">
        <f t="shared" si="17"/>
        <v>295641</v>
      </c>
      <c r="I107" s="297">
        <f t="shared" si="17"/>
        <v>5776812</v>
      </c>
      <c r="J107" s="297">
        <f t="shared" si="17"/>
        <v>1455938</v>
      </c>
      <c r="K107" s="297">
        <f t="shared" si="17"/>
        <v>8144135</v>
      </c>
      <c r="L107" s="298">
        <f>214000/2304514</f>
        <v>9.2861228007293517E-2</v>
      </c>
      <c r="M107" s="299">
        <f>1341000/5997347</f>
        <v>0.22359886796611902</v>
      </c>
      <c r="N107" s="300">
        <f>1562000/8301861</f>
        <v>0.188150584549657</v>
      </c>
      <c r="O107" s="297">
        <f t="shared" ref="O107:V107" si="18">SUBTOTAL(9,O6:O105)</f>
        <v>29817.624999999996</v>
      </c>
      <c r="P107" s="297">
        <f t="shared" si="18"/>
        <v>161478.51499999998</v>
      </c>
      <c r="Q107" s="297">
        <f t="shared" si="18"/>
        <v>11354.073999999999</v>
      </c>
      <c r="R107" s="297">
        <f t="shared" si="18"/>
        <v>62143.639999999985</v>
      </c>
      <c r="S107" s="297">
        <f t="shared" si="18"/>
        <v>73497.714000000036</v>
      </c>
      <c r="T107" s="297">
        <f t="shared" si="18"/>
        <v>1207115.3490000002</v>
      </c>
      <c r="U107" s="297">
        <f t="shared" si="18"/>
        <v>1280613.0630000003</v>
      </c>
      <c r="V107" s="297">
        <f t="shared" si="18"/>
        <v>1442091.578</v>
      </c>
    </row>
    <row r="108" spans="1:22" x14ac:dyDescent="0.2">
      <c r="O108" s="301">
        <f>O107/E107</f>
        <v>8.3659848771796913E-2</v>
      </c>
      <c r="P108" s="301">
        <f>P107/F107</f>
        <v>8.3431681286806531E-2</v>
      </c>
      <c r="Q108" s="301">
        <f>Q107/G107</f>
        <v>8.3348558256988475E-2</v>
      </c>
      <c r="R108" s="301">
        <f>R107/H107</f>
        <v>0.21019966784038743</v>
      </c>
      <c r="S108" s="301">
        <f>S107/SUM(G107:H107)</f>
        <v>0.17018678059115705</v>
      </c>
      <c r="T108" s="301">
        <f>T107/I107</f>
        <v>0.20895873866070078</v>
      </c>
      <c r="U108" s="301">
        <f>U107/SUM(G107:I107)</f>
        <v>0.20626182727817863</v>
      </c>
      <c r="V108" s="301">
        <f>V107/K107</f>
        <v>0.17707117797040448</v>
      </c>
    </row>
    <row r="109" spans="1:22" ht="20.100000000000001" customHeight="1" x14ac:dyDescent="0.2">
      <c r="B109" s="246" t="s">
        <v>454</v>
      </c>
    </row>
    <row r="110" spans="1:22" ht="20.100000000000001" customHeight="1" x14ac:dyDescent="0.2">
      <c r="B110" s="246" t="s">
        <v>290</v>
      </c>
    </row>
    <row r="111" spans="1:22" ht="45.75" customHeight="1" x14ac:dyDescent="0.2">
      <c r="B111" s="562" t="s">
        <v>291</v>
      </c>
      <c r="C111" s="562"/>
      <c r="D111" s="562"/>
      <c r="E111" s="562"/>
      <c r="F111" s="562"/>
      <c r="G111" s="562"/>
      <c r="H111" s="562"/>
      <c r="I111" s="562"/>
      <c r="J111" s="562"/>
      <c r="K111" s="562"/>
      <c r="L111" s="562"/>
      <c r="M111" s="562"/>
      <c r="N111" s="562"/>
      <c r="O111" s="562"/>
      <c r="P111" s="562"/>
      <c r="Q111" s="562"/>
      <c r="R111" s="562"/>
      <c r="S111" s="562"/>
      <c r="T111" s="562"/>
      <c r="U111" s="562"/>
      <c r="V111" s="562"/>
    </row>
  </sheetData>
  <sheetProtection sheet="1" objects="1" scenarios="1" autoFilter="0"/>
  <autoFilter ref="A5:V111"/>
  <mergeCells count="1">
    <mergeCell ref="B111:V111"/>
  </mergeCells>
  <printOptions horizontalCentered="1"/>
  <pageMargins left="0.3" right="0.3" top="0.5" bottom="0.5" header="0.3" footer="0.3"/>
  <pageSetup paperSize="5" scale="52" fitToWidth="2" fitToHeight="0" orientation="landscape" r:id="rId1"/>
  <drawing r:id="rId2"/>
  <legacy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8"/>
  <sheetViews>
    <sheetView showGridLines="0" workbookViewId="0">
      <pane ySplit="5" topLeftCell="A6" activePane="bottomLeft" state="frozen"/>
      <selection activeCell="B6" sqref="B6"/>
      <selection pane="bottomLeft" activeCell="B1" sqref="B1"/>
    </sheetView>
  </sheetViews>
  <sheetFormatPr defaultRowHeight="12.75" x14ac:dyDescent="0.2"/>
  <cols>
    <col min="1" max="1" width="9.140625" style="22"/>
    <col min="2" max="2" width="42.140625" style="22" bestFit="1" customWidth="1"/>
    <col min="3" max="3" width="18.7109375" style="45" customWidth="1"/>
    <col min="4" max="5" width="18.7109375" style="22" customWidth="1"/>
    <col min="6" max="6" width="20.7109375" style="22" customWidth="1"/>
    <col min="7" max="16384" width="9.140625" style="22"/>
  </cols>
  <sheetData>
    <row r="1" spans="2:6" x14ac:dyDescent="0.2">
      <c r="B1" s="50" t="s">
        <v>539</v>
      </c>
      <c r="C1" s="44"/>
      <c r="D1" s="44"/>
      <c r="E1" s="44"/>
      <c r="F1" s="44"/>
    </row>
    <row r="2" spans="2:6" x14ac:dyDescent="0.2">
      <c r="B2" s="50" t="s">
        <v>455</v>
      </c>
      <c r="C2" s="44"/>
      <c r="D2" s="44"/>
      <c r="E2" s="44"/>
      <c r="F2" s="44"/>
    </row>
    <row r="3" spans="2:6" x14ac:dyDescent="0.2">
      <c r="B3" s="394" t="s">
        <v>456</v>
      </c>
      <c r="C3" s="44"/>
      <c r="D3" s="44"/>
      <c r="E3" s="44"/>
      <c r="F3" s="44"/>
    </row>
    <row r="5" spans="2:6" ht="38.25" x14ac:dyDescent="0.2">
      <c r="B5" s="390" t="s">
        <v>303</v>
      </c>
      <c r="C5" s="391" t="s">
        <v>299</v>
      </c>
      <c r="D5" s="391" t="s">
        <v>300</v>
      </c>
      <c r="E5" s="391" t="s">
        <v>301</v>
      </c>
      <c r="F5" s="391" t="s">
        <v>302</v>
      </c>
    </row>
    <row r="6" spans="2:6" x14ac:dyDescent="0.2">
      <c r="B6" s="309" t="s">
        <v>13</v>
      </c>
      <c r="C6" s="310">
        <v>31517.760000000002</v>
      </c>
      <c r="D6" s="310">
        <v>12885.650000000001</v>
      </c>
      <c r="E6" s="310">
        <v>225019.03200000001</v>
      </c>
      <c r="F6" s="310">
        <v>269422.44200000004</v>
      </c>
    </row>
    <row r="7" spans="2:6" x14ac:dyDescent="0.2">
      <c r="B7" s="307" t="s">
        <v>46</v>
      </c>
      <c r="C7" s="308">
        <v>6263.6379999999999</v>
      </c>
      <c r="D7" s="308">
        <v>2959.7060000000001</v>
      </c>
      <c r="E7" s="308">
        <v>44017.908000000003</v>
      </c>
      <c r="F7" s="308">
        <v>53241.252</v>
      </c>
    </row>
    <row r="8" spans="2:6" x14ac:dyDescent="0.2">
      <c r="B8" s="307" t="s">
        <v>47</v>
      </c>
      <c r="C8" s="308">
        <v>4937.8419999999996</v>
      </c>
      <c r="D8" s="308">
        <v>2497.09</v>
      </c>
      <c r="E8" s="308">
        <v>38307.625</v>
      </c>
      <c r="F8" s="308">
        <v>45742.556999999993</v>
      </c>
    </row>
    <row r="9" spans="2:6" x14ac:dyDescent="0.2">
      <c r="B9" s="307" t="s">
        <v>48</v>
      </c>
      <c r="C9" s="308">
        <v>3460.1800000000003</v>
      </c>
      <c r="D9" s="308">
        <v>1234.8200000000002</v>
      </c>
      <c r="E9" s="308">
        <v>24242.718000000001</v>
      </c>
      <c r="F9" s="308">
        <v>28937.718000000001</v>
      </c>
    </row>
    <row r="10" spans="2:6" x14ac:dyDescent="0.2">
      <c r="B10" s="307" t="s">
        <v>49</v>
      </c>
      <c r="C10" s="308">
        <v>16856.100000000002</v>
      </c>
      <c r="D10" s="308">
        <v>6194.0340000000006</v>
      </c>
      <c r="E10" s="308">
        <v>118450.781</v>
      </c>
      <c r="F10" s="308">
        <v>141500.91500000001</v>
      </c>
    </row>
    <row r="11" spans="2:6" x14ac:dyDescent="0.2">
      <c r="B11" s="307"/>
      <c r="C11" s="308"/>
      <c r="D11" s="308"/>
      <c r="E11" s="308"/>
      <c r="F11" s="308"/>
    </row>
    <row r="12" spans="2:6" x14ac:dyDescent="0.2">
      <c r="B12" s="309" t="s">
        <v>14</v>
      </c>
      <c r="C12" s="310">
        <v>41242.813999999998</v>
      </c>
      <c r="D12" s="310">
        <v>17150.629999999997</v>
      </c>
      <c r="E12" s="310">
        <v>306869.26199999999</v>
      </c>
      <c r="F12" s="310">
        <v>365262.70599999995</v>
      </c>
    </row>
    <row r="13" spans="2:6" x14ac:dyDescent="0.2">
      <c r="B13" s="307" t="s">
        <v>50</v>
      </c>
      <c r="C13" s="308">
        <v>2619.848</v>
      </c>
      <c r="D13" s="308">
        <v>1358.056</v>
      </c>
      <c r="E13" s="308">
        <v>18531.638999999999</v>
      </c>
      <c r="F13" s="308">
        <v>22509.542999999998</v>
      </c>
    </row>
    <row r="14" spans="2:6" x14ac:dyDescent="0.2">
      <c r="B14" s="307" t="s">
        <v>51</v>
      </c>
      <c r="C14" s="308">
        <v>3392.5230000000001</v>
      </c>
      <c r="D14" s="308">
        <v>1243.114</v>
      </c>
      <c r="E14" s="308">
        <v>22903.056</v>
      </c>
      <c r="F14" s="308">
        <v>27538.693000000003</v>
      </c>
    </row>
    <row r="15" spans="2:6" x14ac:dyDescent="0.2">
      <c r="B15" s="307" t="s">
        <v>52</v>
      </c>
      <c r="C15" s="308">
        <v>313.47000000000003</v>
      </c>
      <c r="D15" s="308">
        <v>139.42099999999999</v>
      </c>
      <c r="E15" s="308">
        <v>3272.5920000000001</v>
      </c>
      <c r="F15" s="308">
        <v>3725.4830000000002</v>
      </c>
    </row>
    <row r="16" spans="2:6" x14ac:dyDescent="0.2">
      <c r="B16" s="307" t="s">
        <v>53</v>
      </c>
      <c r="C16" s="308">
        <v>1070.5809999999999</v>
      </c>
      <c r="D16" s="308">
        <v>366.11899999999997</v>
      </c>
      <c r="E16" s="308">
        <v>8474.85</v>
      </c>
      <c r="F16" s="308">
        <v>9911.5500000000011</v>
      </c>
    </row>
    <row r="17" spans="2:6" x14ac:dyDescent="0.2">
      <c r="B17" s="307" t="s">
        <v>54</v>
      </c>
      <c r="C17" s="308">
        <v>2479.0740000000001</v>
      </c>
      <c r="D17" s="308">
        <v>950.96199999999999</v>
      </c>
      <c r="E17" s="308">
        <v>19379.059999999998</v>
      </c>
      <c r="F17" s="308">
        <v>22809.095999999998</v>
      </c>
    </row>
    <row r="18" spans="2:6" x14ac:dyDescent="0.2">
      <c r="B18" s="307" t="s">
        <v>55</v>
      </c>
      <c r="C18" s="308">
        <v>1059.912</v>
      </c>
      <c r="D18" s="308">
        <v>431.00400000000002</v>
      </c>
      <c r="E18" s="308">
        <v>8498.5</v>
      </c>
      <c r="F18" s="308">
        <v>9989.4160000000011</v>
      </c>
    </row>
    <row r="19" spans="2:6" x14ac:dyDescent="0.2">
      <c r="B19" s="307" t="s">
        <v>56</v>
      </c>
      <c r="C19" s="308">
        <v>868.89600000000007</v>
      </c>
      <c r="D19" s="308">
        <v>448.92799999999994</v>
      </c>
      <c r="E19" s="308">
        <v>7148.5549999999994</v>
      </c>
      <c r="F19" s="308">
        <v>8466.378999999999</v>
      </c>
    </row>
    <row r="20" spans="2:6" x14ac:dyDescent="0.2">
      <c r="B20" s="307" t="s">
        <v>57</v>
      </c>
      <c r="C20" s="308">
        <v>856.47399999999993</v>
      </c>
      <c r="D20" s="308">
        <v>361.03800000000001</v>
      </c>
      <c r="E20" s="308">
        <v>6948.3</v>
      </c>
      <c r="F20" s="308">
        <v>8165.8119999999999</v>
      </c>
    </row>
    <row r="21" spans="2:6" x14ac:dyDescent="0.2">
      <c r="B21" s="307" t="s">
        <v>105</v>
      </c>
      <c r="C21" s="308">
        <v>17824.821</v>
      </c>
      <c r="D21" s="308">
        <v>6348.6790000000001</v>
      </c>
      <c r="E21" s="308">
        <v>132571.44399999999</v>
      </c>
      <c r="F21" s="308">
        <v>156744.94399999999</v>
      </c>
    </row>
    <row r="22" spans="2:6" x14ac:dyDescent="0.2">
      <c r="B22" s="307" t="s">
        <v>58</v>
      </c>
      <c r="C22" s="308">
        <v>1991.78</v>
      </c>
      <c r="D22" s="308">
        <v>2021.9960000000001</v>
      </c>
      <c r="E22" s="308">
        <v>16554.72</v>
      </c>
      <c r="F22" s="308">
        <v>20568.495999999999</v>
      </c>
    </row>
    <row r="23" spans="2:6" x14ac:dyDescent="0.2">
      <c r="B23" s="307" t="s">
        <v>59</v>
      </c>
      <c r="C23" s="308">
        <v>574.48800000000006</v>
      </c>
      <c r="D23" s="308">
        <v>211.74799999999999</v>
      </c>
      <c r="E23" s="308">
        <v>4696.0019999999995</v>
      </c>
      <c r="F23" s="308">
        <v>5482.2379999999994</v>
      </c>
    </row>
    <row r="24" spans="2:6" x14ac:dyDescent="0.2">
      <c r="B24" s="307" t="s">
        <v>60</v>
      </c>
      <c r="C24" s="308">
        <v>2218.4279999999999</v>
      </c>
      <c r="D24" s="308">
        <v>952.31799999999998</v>
      </c>
      <c r="E24" s="308">
        <v>16578.016</v>
      </c>
      <c r="F24" s="308">
        <v>19748.761999999999</v>
      </c>
    </row>
    <row r="25" spans="2:6" x14ac:dyDescent="0.2">
      <c r="B25" s="307" t="s">
        <v>61</v>
      </c>
      <c r="C25" s="308">
        <v>834</v>
      </c>
      <c r="D25" s="308">
        <v>366.423</v>
      </c>
      <c r="E25" s="308">
        <v>6544.5029999999997</v>
      </c>
      <c r="F25" s="308">
        <v>7744.9259999999995</v>
      </c>
    </row>
    <row r="26" spans="2:6" x14ac:dyDescent="0.2">
      <c r="B26" s="307" t="s">
        <v>62</v>
      </c>
      <c r="C26" s="308">
        <v>4006.31</v>
      </c>
      <c r="D26" s="308">
        <v>1488.962</v>
      </c>
      <c r="E26" s="308">
        <v>26062.893</v>
      </c>
      <c r="F26" s="308">
        <v>31558.165000000001</v>
      </c>
    </row>
    <row r="27" spans="2:6" x14ac:dyDescent="0.2">
      <c r="B27" s="307" t="s">
        <v>63</v>
      </c>
      <c r="C27" s="308">
        <v>836.01699999999994</v>
      </c>
      <c r="D27" s="308">
        <v>342.81700000000001</v>
      </c>
      <c r="E27" s="308">
        <v>5807.8879999999999</v>
      </c>
      <c r="F27" s="308">
        <v>6986.7219999999998</v>
      </c>
    </row>
    <row r="28" spans="2:6" x14ac:dyDescent="0.2">
      <c r="B28" s="307" t="s">
        <v>64</v>
      </c>
      <c r="C28" s="308">
        <v>296.19200000000001</v>
      </c>
      <c r="D28" s="308">
        <v>119.04499999999999</v>
      </c>
      <c r="E28" s="308">
        <v>2897.2440000000001</v>
      </c>
      <c r="F28" s="308">
        <v>3312.4810000000002</v>
      </c>
    </row>
    <row r="29" spans="2:6" x14ac:dyDescent="0.2">
      <c r="B29" s="307"/>
      <c r="C29" s="308"/>
      <c r="D29" s="308"/>
      <c r="E29" s="308"/>
      <c r="F29" s="308"/>
    </row>
    <row r="30" spans="2:6" x14ac:dyDescent="0.2">
      <c r="B30" s="309" t="s">
        <v>15</v>
      </c>
      <c r="C30" s="310">
        <v>8953.1899999999987</v>
      </c>
      <c r="D30" s="310">
        <v>3464.8820000000005</v>
      </c>
      <c r="E30" s="310">
        <v>63303.673000000003</v>
      </c>
      <c r="F30" s="310">
        <v>75721.74500000001</v>
      </c>
    </row>
    <row r="31" spans="2:6" x14ac:dyDescent="0.2">
      <c r="B31" s="307" t="s">
        <v>65</v>
      </c>
      <c r="C31" s="308">
        <v>588.24</v>
      </c>
      <c r="D31" s="308">
        <v>232.72800000000001</v>
      </c>
      <c r="E31" s="308">
        <v>4635.7740000000003</v>
      </c>
      <c r="F31" s="308">
        <v>5456.7420000000002</v>
      </c>
    </row>
    <row r="32" spans="2:6" x14ac:dyDescent="0.2">
      <c r="B32" s="307" t="s">
        <v>66</v>
      </c>
      <c r="C32" s="308">
        <v>6476.9749999999995</v>
      </c>
      <c r="D32" s="308">
        <v>2451.46</v>
      </c>
      <c r="E32" s="308">
        <v>42561.792000000001</v>
      </c>
      <c r="F32" s="308">
        <v>51490.226999999999</v>
      </c>
    </row>
    <row r="33" spans="2:6" x14ac:dyDescent="0.2">
      <c r="B33" s="307" t="s">
        <v>67</v>
      </c>
      <c r="C33" s="308">
        <v>1315.3600000000001</v>
      </c>
      <c r="D33" s="308">
        <v>540.68400000000008</v>
      </c>
      <c r="E33" s="308">
        <v>10671.507000000001</v>
      </c>
      <c r="F33" s="308">
        <v>12527.551000000001</v>
      </c>
    </row>
    <row r="34" spans="2:6" x14ac:dyDescent="0.2">
      <c r="B34" s="307" t="s">
        <v>68</v>
      </c>
      <c r="C34" s="308">
        <v>572.6149999999999</v>
      </c>
      <c r="D34" s="308">
        <v>240.01</v>
      </c>
      <c r="E34" s="308">
        <v>5434.6</v>
      </c>
      <c r="F34" s="308">
        <v>6247.2250000000004</v>
      </c>
    </row>
    <row r="35" spans="2:6" x14ac:dyDescent="0.2">
      <c r="B35" s="307"/>
      <c r="C35" s="308"/>
      <c r="D35" s="308"/>
      <c r="E35" s="308"/>
      <c r="F35" s="308"/>
    </row>
    <row r="36" spans="2:6" x14ac:dyDescent="0.2">
      <c r="B36" s="309" t="s">
        <v>16</v>
      </c>
      <c r="C36" s="310">
        <v>9130.81</v>
      </c>
      <c r="D36" s="310">
        <v>6151.1090000000004</v>
      </c>
      <c r="E36" s="310">
        <v>80198.457999999999</v>
      </c>
      <c r="F36" s="310">
        <v>95480.376999999993</v>
      </c>
    </row>
    <row r="37" spans="2:6" x14ac:dyDescent="0.2">
      <c r="B37" s="307" t="s">
        <v>69</v>
      </c>
      <c r="C37" s="308">
        <v>1404.546</v>
      </c>
      <c r="D37" s="308">
        <v>479.666</v>
      </c>
      <c r="E37" s="308">
        <v>12601.6</v>
      </c>
      <c r="F37" s="308">
        <v>14485.812</v>
      </c>
    </row>
    <row r="38" spans="2:6" x14ac:dyDescent="0.2">
      <c r="B38" s="307" t="s">
        <v>70</v>
      </c>
      <c r="C38" s="308">
        <v>791.94799999999998</v>
      </c>
      <c r="D38" s="308">
        <v>331.84200000000004</v>
      </c>
      <c r="E38" s="308">
        <v>7521.88</v>
      </c>
      <c r="F38" s="308">
        <v>8645.67</v>
      </c>
    </row>
    <row r="39" spans="2:6" x14ac:dyDescent="0.2">
      <c r="B39" s="307" t="s">
        <v>71</v>
      </c>
      <c r="C39" s="308">
        <v>2762.1559999999999</v>
      </c>
      <c r="D39" s="308">
        <v>1937.2810000000002</v>
      </c>
      <c r="E39" s="308">
        <v>26048</v>
      </c>
      <c r="F39" s="308">
        <v>30747.436999999998</v>
      </c>
    </row>
    <row r="40" spans="2:6" x14ac:dyDescent="0.2">
      <c r="B40" s="307" t="s">
        <v>72</v>
      </c>
      <c r="C40" s="308">
        <v>3350.08</v>
      </c>
      <c r="D40" s="308">
        <v>3054.7200000000003</v>
      </c>
      <c r="E40" s="308">
        <v>26727.84</v>
      </c>
      <c r="F40" s="308">
        <v>33132.639999999999</v>
      </c>
    </row>
    <row r="41" spans="2:6" x14ac:dyDescent="0.2">
      <c r="B41" s="307" t="s">
        <v>73</v>
      </c>
      <c r="C41" s="308">
        <v>822.08</v>
      </c>
      <c r="D41" s="308">
        <v>347.6</v>
      </c>
      <c r="E41" s="308">
        <v>7299.1379999999999</v>
      </c>
      <c r="F41" s="308">
        <v>8468.8180000000011</v>
      </c>
    </row>
    <row r="42" spans="2:6" x14ac:dyDescent="0.2">
      <c r="B42" s="307"/>
      <c r="C42" s="308"/>
      <c r="D42" s="308"/>
      <c r="E42" s="308"/>
      <c r="F42" s="308"/>
    </row>
    <row r="43" spans="2:6" x14ac:dyDescent="0.2">
      <c r="B43" s="309" t="s">
        <v>17</v>
      </c>
      <c r="C43" s="310">
        <v>9212.7579999999998</v>
      </c>
      <c r="D43" s="310">
        <v>5586.7869999999994</v>
      </c>
      <c r="E43" s="310">
        <v>73946.563000000024</v>
      </c>
      <c r="F43" s="310">
        <v>88746.108000000007</v>
      </c>
    </row>
    <row r="44" spans="2:6" x14ac:dyDescent="0.2">
      <c r="B44" s="307" t="s">
        <v>74</v>
      </c>
      <c r="C44" s="308">
        <v>736.44</v>
      </c>
      <c r="D44" s="308">
        <v>246.375</v>
      </c>
      <c r="E44" s="308">
        <v>5237.4000000000005</v>
      </c>
      <c r="F44" s="308">
        <v>6220.2150000000001</v>
      </c>
    </row>
    <row r="45" spans="2:6" x14ac:dyDescent="0.2">
      <c r="B45" s="307" t="s">
        <v>75</v>
      </c>
      <c r="C45" s="308">
        <v>301.19399999999996</v>
      </c>
      <c r="D45" s="308">
        <v>140.11099999999999</v>
      </c>
      <c r="E45" s="308">
        <v>2991.3760000000002</v>
      </c>
      <c r="F45" s="308">
        <v>3432.681</v>
      </c>
    </row>
    <row r="46" spans="2:6" x14ac:dyDescent="0.2">
      <c r="B46" s="307" t="s">
        <v>76</v>
      </c>
      <c r="C46" s="308">
        <v>134.02800000000002</v>
      </c>
      <c r="D46" s="308">
        <v>58.564999999999998</v>
      </c>
      <c r="E46" s="308">
        <v>1163.5650000000001</v>
      </c>
      <c r="F46" s="308">
        <v>1356.1580000000001</v>
      </c>
    </row>
    <row r="47" spans="2:6" x14ac:dyDescent="0.2">
      <c r="B47" s="307" t="s">
        <v>77</v>
      </c>
      <c r="C47" s="308">
        <v>219.84200000000001</v>
      </c>
      <c r="D47" s="308">
        <v>83.805999999999983</v>
      </c>
      <c r="E47" s="308">
        <v>1632.55</v>
      </c>
      <c r="F47" s="308">
        <v>1936.1980000000001</v>
      </c>
    </row>
    <row r="48" spans="2:6" x14ac:dyDescent="0.2">
      <c r="B48" s="307" t="s">
        <v>78</v>
      </c>
      <c r="C48" s="308">
        <v>1678.48</v>
      </c>
      <c r="D48" s="308">
        <v>807.01199999999994</v>
      </c>
      <c r="E48" s="308">
        <v>11458.854000000001</v>
      </c>
      <c r="F48" s="308">
        <v>13944.346000000001</v>
      </c>
    </row>
    <row r="49" spans="2:6" x14ac:dyDescent="0.2">
      <c r="B49" s="307" t="s">
        <v>79</v>
      </c>
      <c r="C49" s="308">
        <v>313.18</v>
      </c>
      <c r="D49" s="308">
        <v>143.32</v>
      </c>
      <c r="E49" s="308">
        <v>2864.07</v>
      </c>
      <c r="F49" s="308">
        <v>3320.57</v>
      </c>
    </row>
    <row r="50" spans="2:6" x14ac:dyDescent="0.2">
      <c r="B50" s="307" t="s">
        <v>80</v>
      </c>
      <c r="C50" s="308">
        <v>448.18799999999999</v>
      </c>
      <c r="D50" s="308">
        <v>131.82</v>
      </c>
      <c r="E50" s="308">
        <v>3858.0360000000001</v>
      </c>
      <c r="F50" s="308">
        <v>4438.0439999999999</v>
      </c>
    </row>
    <row r="51" spans="2:6" x14ac:dyDescent="0.2">
      <c r="B51" s="307" t="s">
        <v>81</v>
      </c>
      <c r="C51" s="308">
        <v>151.30500000000001</v>
      </c>
      <c r="D51" s="308">
        <v>94.388000000000005</v>
      </c>
      <c r="E51" s="308">
        <v>1484.0520000000001</v>
      </c>
      <c r="F51" s="308">
        <v>1729.7450000000001</v>
      </c>
    </row>
    <row r="52" spans="2:6" x14ac:dyDescent="0.2">
      <c r="B52" s="307" t="s">
        <v>82</v>
      </c>
      <c r="C52" s="308">
        <v>374.245</v>
      </c>
      <c r="D52" s="308">
        <v>233.67099999999999</v>
      </c>
      <c r="E52" s="308">
        <v>3184.81</v>
      </c>
      <c r="F52" s="308">
        <v>3792.7259999999997</v>
      </c>
    </row>
    <row r="53" spans="2:6" x14ac:dyDescent="0.2">
      <c r="B53" s="307" t="s">
        <v>83</v>
      </c>
      <c r="C53" s="308">
        <v>73.185000000000002</v>
      </c>
      <c r="D53" s="308">
        <v>35.962000000000003</v>
      </c>
      <c r="E53" s="308">
        <v>895.43999999999994</v>
      </c>
      <c r="F53" s="308">
        <v>1004.587</v>
      </c>
    </row>
    <row r="54" spans="2:6" x14ac:dyDescent="0.2">
      <c r="B54" s="307" t="s">
        <v>84</v>
      </c>
      <c r="C54" s="308">
        <v>155.791</v>
      </c>
      <c r="D54" s="308">
        <v>51.95</v>
      </c>
      <c r="E54" s="308">
        <v>1379.0250000000001</v>
      </c>
      <c r="F54" s="308">
        <v>1586.7660000000001</v>
      </c>
    </row>
    <row r="55" spans="2:6" x14ac:dyDescent="0.2">
      <c r="B55" s="307" t="s">
        <v>85</v>
      </c>
      <c r="C55" s="308">
        <v>359.55</v>
      </c>
      <c r="D55" s="308">
        <v>126.83800000000001</v>
      </c>
      <c r="E55" s="308">
        <v>2775.4939999999997</v>
      </c>
      <c r="F55" s="308">
        <v>3261.8820000000001</v>
      </c>
    </row>
    <row r="56" spans="2:6" x14ac:dyDescent="0.2">
      <c r="B56" s="307" t="s">
        <v>86</v>
      </c>
      <c r="C56" s="308">
        <v>299.88199999999995</v>
      </c>
      <c r="D56" s="308">
        <v>108.16</v>
      </c>
      <c r="E56" s="308">
        <v>2710.5540000000001</v>
      </c>
      <c r="F56" s="308">
        <v>3118.596</v>
      </c>
    </row>
    <row r="57" spans="2:6" x14ac:dyDescent="0.2">
      <c r="B57" s="307" t="s">
        <v>87</v>
      </c>
      <c r="C57" s="308">
        <v>149.38900000000001</v>
      </c>
      <c r="D57" s="308">
        <v>52.902000000000001</v>
      </c>
      <c r="E57" s="308">
        <v>1454.8040000000001</v>
      </c>
      <c r="F57" s="308">
        <v>1657.0950000000003</v>
      </c>
    </row>
    <row r="58" spans="2:6" x14ac:dyDescent="0.2">
      <c r="B58" s="307" t="s">
        <v>88</v>
      </c>
      <c r="C58" s="308">
        <v>616.23</v>
      </c>
      <c r="D58" s="308">
        <v>375.16499999999996</v>
      </c>
      <c r="E58" s="308">
        <v>4664.7879999999996</v>
      </c>
      <c r="F58" s="308">
        <v>5656.1829999999991</v>
      </c>
    </row>
    <row r="59" spans="2:6" x14ac:dyDescent="0.2">
      <c r="B59" s="307" t="s">
        <v>89</v>
      </c>
      <c r="C59" s="308">
        <v>176.02199999999999</v>
      </c>
      <c r="D59" s="308">
        <v>72.465999999999994</v>
      </c>
      <c r="E59" s="308">
        <v>1564.34</v>
      </c>
      <c r="F59" s="308">
        <v>1812.8279999999997</v>
      </c>
    </row>
    <row r="60" spans="2:6" x14ac:dyDescent="0.2">
      <c r="B60" s="307" t="s">
        <v>90</v>
      </c>
      <c r="C60" s="308">
        <v>2759.5250000000001</v>
      </c>
      <c r="D60" s="308">
        <v>2734.7049999999999</v>
      </c>
      <c r="E60" s="308">
        <v>22433.4</v>
      </c>
      <c r="F60" s="308">
        <v>27927.630000000005</v>
      </c>
    </row>
    <row r="61" spans="2:6" x14ac:dyDescent="0.2">
      <c r="B61" s="307" t="s">
        <v>91</v>
      </c>
      <c r="C61" s="308">
        <v>55.169999999999995</v>
      </c>
      <c r="D61" s="308">
        <v>22.923999999999999</v>
      </c>
      <c r="E61" s="308">
        <v>663.13800000000003</v>
      </c>
      <c r="F61" s="308">
        <v>741.23199999999997</v>
      </c>
    </row>
    <row r="62" spans="2:6" x14ac:dyDescent="0.2">
      <c r="B62" s="307" t="s">
        <v>92</v>
      </c>
      <c r="C62" s="308">
        <v>211.11199999999999</v>
      </c>
      <c r="D62" s="308">
        <v>66.647000000000006</v>
      </c>
      <c r="E62" s="308">
        <v>1530.867</v>
      </c>
      <c r="F62" s="308">
        <v>1808.626</v>
      </c>
    </row>
    <row r="63" spans="2:6" x14ac:dyDescent="0.2">
      <c r="B63" s="307"/>
      <c r="C63" s="308"/>
      <c r="D63" s="308"/>
      <c r="E63" s="308"/>
      <c r="F63" s="308"/>
    </row>
    <row r="64" spans="2:6" x14ac:dyDescent="0.2">
      <c r="B64" s="309" t="s">
        <v>18</v>
      </c>
      <c r="C64" s="310">
        <v>15121.454000000002</v>
      </c>
      <c r="D64" s="310">
        <v>6396.3550000000005</v>
      </c>
      <c r="E64" s="310">
        <v>108069.84600000001</v>
      </c>
      <c r="F64" s="310">
        <v>129587.655</v>
      </c>
    </row>
    <row r="65" spans="2:6" x14ac:dyDescent="0.2">
      <c r="B65" s="307" t="s">
        <v>93</v>
      </c>
      <c r="C65" s="308">
        <v>562.78399999999999</v>
      </c>
      <c r="D65" s="308">
        <v>224.15999999999997</v>
      </c>
      <c r="E65" s="308">
        <v>4228.1279999999997</v>
      </c>
      <c r="F65" s="308">
        <v>5015.0719999999992</v>
      </c>
    </row>
    <row r="66" spans="2:6" x14ac:dyDescent="0.2">
      <c r="B66" s="307" t="s">
        <v>94</v>
      </c>
      <c r="C66" s="308">
        <v>922.67500000000007</v>
      </c>
      <c r="D66" s="308">
        <v>398.34100000000001</v>
      </c>
      <c r="E66" s="308">
        <v>7218.33</v>
      </c>
      <c r="F66" s="308">
        <v>8539.3459999999995</v>
      </c>
    </row>
    <row r="67" spans="2:6" x14ac:dyDescent="0.2">
      <c r="B67" s="307" t="s">
        <v>95</v>
      </c>
      <c r="C67" s="308">
        <v>1258.5</v>
      </c>
      <c r="D67" s="308">
        <v>486.74100000000004</v>
      </c>
      <c r="E67" s="308">
        <v>8935.4220000000005</v>
      </c>
      <c r="F67" s="308">
        <v>10680.663</v>
      </c>
    </row>
    <row r="68" spans="2:6" x14ac:dyDescent="0.2">
      <c r="B68" s="307" t="s">
        <v>96</v>
      </c>
      <c r="C68" s="308">
        <v>973.36799999999994</v>
      </c>
      <c r="D68" s="308">
        <v>405.45600000000002</v>
      </c>
      <c r="E68" s="308">
        <v>6928.62</v>
      </c>
      <c r="F68" s="308">
        <v>8307.4439999999995</v>
      </c>
    </row>
    <row r="69" spans="2:6" x14ac:dyDescent="0.2">
      <c r="B69" s="307" t="s">
        <v>97</v>
      </c>
      <c r="C69" s="308">
        <v>396.92400000000004</v>
      </c>
      <c r="D69" s="308">
        <v>142.392</v>
      </c>
      <c r="E69" s="308">
        <v>3412.53</v>
      </c>
      <c r="F69" s="308">
        <v>3951.846</v>
      </c>
    </row>
    <row r="70" spans="2:6" x14ac:dyDescent="0.2">
      <c r="B70" s="307" t="s">
        <v>98</v>
      </c>
      <c r="C70" s="308">
        <v>997.80299999999988</v>
      </c>
      <c r="D70" s="308">
        <v>392.80700000000002</v>
      </c>
      <c r="E70" s="308">
        <v>6866.277</v>
      </c>
      <c r="F70" s="308">
        <v>8256.8869999999988</v>
      </c>
    </row>
    <row r="71" spans="2:6" x14ac:dyDescent="0.2">
      <c r="B71" s="307" t="s">
        <v>99</v>
      </c>
      <c r="C71" s="308">
        <v>1552.8159999999998</v>
      </c>
      <c r="D71" s="308">
        <v>592.26900000000001</v>
      </c>
      <c r="E71" s="308">
        <v>11251.691999999999</v>
      </c>
      <c r="F71" s="308">
        <v>13396.776999999998</v>
      </c>
    </row>
    <row r="72" spans="2:6" x14ac:dyDescent="0.2">
      <c r="B72" s="307" t="s">
        <v>100</v>
      </c>
      <c r="C72" s="308">
        <v>2789.962</v>
      </c>
      <c r="D72" s="308">
        <v>1470.184</v>
      </c>
      <c r="E72" s="308">
        <v>19050.761999999999</v>
      </c>
      <c r="F72" s="308">
        <v>23310.907999999999</v>
      </c>
    </row>
    <row r="73" spans="2:6" x14ac:dyDescent="0.2">
      <c r="B73" s="307" t="s">
        <v>101</v>
      </c>
      <c r="C73" s="308">
        <v>1295.232</v>
      </c>
      <c r="D73" s="308">
        <v>558.60400000000004</v>
      </c>
      <c r="E73" s="308">
        <v>9250.5400000000009</v>
      </c>
      <c r="F73" s="308">
        <v>11104.376</v>
      </c>
    </row>
    <row r="74" spans="2:6" x14ac:dyDescent="0.2">
      <c r="B74" s="307" t="s">
        <v>102</v>
      </c>
      <c r="C74" s="308">
        <v>624.58000000000004</v>
      </c>
      <c r="D74" s="308">
        <v>249.48699999999999</v>
      </c>
      <c r="E74" s="308">
        <v>4422.46</v>
      </c>
      <c r="F74" s="308">
        <v>5296.527</v>
      </c>
    </row>
    <row r="75" spans="2:6" x14ac:dyDescent="0.2">
      <c r="B75" s="307" t="s">
        <v>103</v>
      </c>
      <c r="C75" s="308">
        <v>2252.3599999999997</v>
      </c>
      <c r="D75" s="308">
        <v>934.77199999999993</v>
      </c>
      <c r="E75" s="308">
        <v>16207.59</v>
      </c>
      <c r="F75" s="308">
        <v>19394.722000000002</v>
      </c>
    </row>
    <row r="76" spans="2:6" x14ac:dyDescent="0.2">
      <c r="B76" s="307" t="s">
        <v>104</v>
      </c>
      <c r="C76" s="308">
        <v>1494.45</v>
      </c>
      <c r="D76" s="308">
        <v>541.14200000000005</v>
      </c>
      <c r="E76" s="308">
        <v>10297.495000000001</v>
      </c>
      <c r="F76" s="308">
        <v>12333.087000000001</v>
      </c>
    </row>
    <row r="77" spans="2:6" x14ac:dyDescent="0.2">
      <c r="B77" s="307"/>
      <c r="C77" s="308"/>
      <c r="D77" s="308"/>
      <c r="E77" s="308"/>
      <c r="F77" s="308"/>
    </row>
    <row r="78" spans="2:6" x14ac:dyDescent="0.2">
      <c r="B78" s="309" t="s">
        <v>20</v>
      </c>
      <c r="C78" s="310">
        <v>13931.165999999999</v>
      </c>
      <c r="D78" s="310">
        <v>5842.7629999999999</v>
      </c>
      <c r="E78" s="310">
        <v>101008.55700000002</v>
      </c>
      <c r="F78" s="310">
        <v>120782.48599999999</v>
      </c>
    </row>
    <row r="79" spans="2:6" x14ac:dyDescent="0.2">
      <c r="B79" s="307" t="s">
        <v>106</v>
      </c>
      <c r="C79" s="308">
        <v>1282.8800000000001</v>
      </c>
      <c r="D79" s="308">
        <v>677.15900000000011</v>
      </c>
      <c r="E79" s="308">
        <v>9327.56</v>
      </c>
      <c r="F79" s="308">
        <v>11287.598999999998</v>
      </c>
    </row>
    <row r="80" spans="2:6" x14ac:dyDescent="0.2">
      <c r="B80" s="307" t="s">
        <v>107</v>
      </c>
      <c r="C80" s="308">
        <v>2381.4549999999999</v>
      </c>
      <c r="D80" s="308">
        <v>909.98299999999995</v>
      </c>
      <c r="E80" s="308">
        <v>15558.374999999998</v>
      </c>
      <c r="F80" s="308">
        <v>18849.812999999995</v>
      </c>
    </row>
    <row r="81" spans="2:6" x14ac:dyDescent="0.2">
      <c r="B81" s="307" t="s">
        <v>108</v>
      </c>
      <c r="C81" s="308">
        <v>1450.914</v>
      </c>
      <c r="D81" s="308">
        <v>686.26900000000001</v>
      </c>
      <c r="E81" s="308">
        <v>10580.067000000001</v>
      </c>
      <c r="F81" s="308">
        <v>12717.250000000002</v>
      </c>
    </row>
    <row r="82" spans="2:6" x14ac:dyDescent="0.2">
      <c r="B82" s="307" t="s">
        <v>109</v>
      </c>
      <c r="C82" s="308">
        <v>3297.12</v>
      </c>
      <c r="D82" s="308">
        <v>1339.529</v>
      </c>
      <c r="E82" s="308">
        <v>24936.926000000003</v>
      </c>
      <c r="F82" s="308">
        <v>29573.575000000001</v>
      </c>
    </row>
    <row r="83" spans="2:6" x14ac:dyDescent="0.2">
      <c r="B83" s="307" t="s">
        <v>110</v>
      </c>
      <c r="C83" s="308">
        <v>2615.69</v>
      </c>
      <c r="D83" s="308">
        <v>1018.244</v>
      </c>
      <c r="E83" s="308">
        <v>18510.001</v>
      </c>
      <c r="F83" s="308">
        <v>22143.934999999998</v>
      </c>
    </row>
    <row r="84" spans="2:6" x14ac:dyDescent="0.2">
      <c r="B84" s="307" t="s">
        <v>111</v>
      </c>
      <c r="C84" s="308">
        <v>1148.8920000000001</v>
      </c>
      <c r="D84" s="308">
        <v>482.72800000000007</v>
      </c>
      <c r="E84" s="308">
        <v>9587.0810000000001</v>
      </c>
      <c r="F84" s="308">
        <v>11218.701000000001</v>
      </c>
    </row>
    <row r="85" spans="2:6" x14ac:dyDescent="0.2">
      <c r="B85" s="307" t="s">
        <v>112</v>
      </c>
      <c r="C85" s="308">
        <v>1165.164</v>
      </c>
      <c r="D85" s="308">
        <v>487.07100000000003</v>
      </c>
      <c r="E85" s="308">
        <v>8033.857</v>
      </c>
      <c r="F85" s="308">
        <v>9686.0920000000006</v>
      </c>
    </row>
    <row r="86" spans="2:6" x14ac:dyDescent="0.2">
      <c r="B86" s="307" t="s">
        <v>113</v>
      </c>
      <c r="C86" s="308">
        <v>589.05100000000004</v>
      </c>
      <c r="D86" s="308">
        <v>241.77999999999997</v>
      </c>
      <c r="E86" s="308">
        <v>4474.6899999999996</v>
      </c>
      <c r="F86" s="308">
        <v>5305.5209999999997</v>
      </c>
    </row>
    <row r="87" spans="2:6" x14ac:dyDescent="0.2">
      <c r="B87" s="307"/>
      <c r="C87" s="308"/>
      <c r="D87" s="308"/>
      <c r="E87" s="308"/>
      <c r="F87" s="308"/>
    </row>
    <row r="88" spans="2:6" x14ac:dyDescent="0.2">
      <c r="B88" s="309" t="s">
        <v>21</v>
      </c>
      <c r="C88" s="310">
        <v>18425.665000000001</v>
      </c>
      <c r="D88" s="310">
        <v>8611.0560000000005</v>
      </c>
      <c r="E88" s="310">
        <v>132391.429</v>
      </c>
      <c r="F88" s="310">
        <v>159428.14999999997</v>
      </c>
    </row>
    <row r="89" spans="2:6" x14ac:dyDescent="0.2">
      <c r="B89" s="307" t="s">
        <v>114</v>
      </c>
      <c r="C89" s="308">
        <v>401.62500000000006</v>
      </c>
      <c r="D89" s="308">
        <v>189.072</v>
      </c>
      <c r="E89" s="308">
        <v>3624.8520000000003</v>
      </c>
      <c r="F89" s="308">
        <v>4215.5490000000009</v>
      </c>
    </row>
    <row r="90" spans="2:6" x14ac:dyDescent="0.2">
      <c r="B90" s="307" t="s">
        <v>115</v>
      </c>
      <c r="C90" s="308">
        <v>8232.42</v>
      </c>
      <c r="D90" s="308">
        <v>4509.5400000000009</v>
      </c>
      <c r="E90" s="308">
        <v>60993.989000000001</v>
      </c>
      <c r="F90" s="308">
        <v>73735.949000000008</v>
      </c>
    </row>
    <row r="91" spans="2:6" x14ac:dyDescent="0.2">
      <c r="B91" s="307" t="s">
        <v>116</v>
      </c>
      <c r="C91" s="308">
        <v>2458.7950000000001</v>
      </c>
      <c r="D91" s="308">
        <v>1048.317</v>
      </c>
      <c r="E91" s="308">
        <v>17266.121999999999</v>
      </c>
      <c r="F91" s="308">
        <v>20773.233999999997</v>
      </c>
    </row>
    <row r="92" spans="2:6" x14ac:dyDescent="0.2">
      <c r="B92" s="307" t="s">
        <v>117</v>
      </c>
      <c r="C92" s="308">
        <v>1148.8399999999999</v>
      </c>
      <c r="D92" s="308">
        <v>408.44100000000003</v>
      </c>
      <c r="E92" s="308">
        <v>7929.1890000000003</v>
      </c>
      <c r="F92" s="308">
        <v>9486.4700000000012</v>
      </c>
    </row>
    <row r="93" spans="2:6" x14ac:dyDescent="0.2">
      <c r="B93" s="307" t="s">
        <v>118</v>
      </c>
      <c r="C93" s="308">
        <v>1194.364</v>
      </c>
      <c r="D93" s="308">
        <v>416.226</v>
      </c>
      <c r="E93" s="308">
        <v>7477.1819999999998</v>
      </c>
      <c r="F93" s="308">
        <v>9087.771999999999</v>
      </c>
    </row>
    <row r="94" spans="2:6" x14ac:dyDescent="0.2">
      <c r="B94" s="307" t="s">
        <v>119</v>
      </c>
      <c r="C94" s="308">
        <v>513.38</v>
      </c>
      <c r="D94" s="308">
        <v>218.8</v>
      </c>
      <c r="E94" s="308">
        <v>3396.8250000000003</v>
      </c>
      <c r="F94" s="308">
        <v>4129.0050000000001</v>
      </c>
    </row>
    <row r="95" spans="2:6" x14ac:dyDescent="0.2">
      <c r="B95" s="307" t="s">
        <v>120</v>
      </c>
      <c r="C95" s="308">
        <v>1329.92</v>
      </c>
      <c r="D95" s="308">
        <v>463.01</v>
      </c>
      <c r="E95" s="308">
        <v>9256.26</v>
      </c>
      <c r="F95" s="308">
        <v>11049.19</v>
      </c>
    </row>
    <row r="96" spans="2:6" x14ac:dyDescent="0.2">
      <c r="B96" s="307" t="s">
        <v>121</v>
      </c>
      <c r="C96" s="308">
        <v>2350.4770000000003</v>
      </c>
      <c r="D96" s="308">
        <v>966.67</v>
      </c>
      <c r="E96" s="308">
        <v>16593.11</v>
      </c>
      <c r="F96" s="308">
        <v>19910.256999999998</v>
      </c>
    </row>
    <row r="97" spans="2:6" x14ac:dyDescent="0.2">
      <c r="B97" s="307" t="s">
        <v>122</v>
      </c>
      <c r="C97" s="308">
        <v>795.84399999999994</v>
      </c>
      <c r="D97" s="308">
        <v>390.98</v>
      </c>
      <c r="E97" s="308">
        <v>5853.9000000000005</v>
      </c>
      <c r="F97" s="308">
        <v>7040.7240000000011</v>
      </c>
    </row>
    <row r="98" spans="2:6" x14ac:dyDescent="0.2">
      <c r="B98" s="307"/>
      <c r="C98" s="308"/>
      <c r="D98" s="308"/>
      <c r="E98" s="308"/>
      <c r="F98" s="308"/>
    </row>
    <row r="99" spans="2:6" x14ac:dyDescent="0.2">
      <c r="B99" s="309" t="s">
        <v>292</v>
      </c>
      <c r="C99" s="310">
        <v>13942.897999999999</v>
      </c>
      <c r="D99" s="310">
        <v>7408.4819999999991</v>
      </c>
      <c r="E99" s="310">
        <v>116308.52899999998</v>
      </c>
      <c r="F99" s="310">
        <v>137659.90900000001</v>
      </c>
    </row>
    <row r="100" spans="2:6" x14ac:dyDescent="0.2">
      <c r="B100" s="307" t="s">
        <v>123</v>
      </c>
      <c r="C100" s="308">
        <v>514.21600000000001</v>
      </c>
      <c r="D100" s="308">
        <v>205.11900000000003</v>
      </c>
      <c r="E100" s="308">
        <v>4205.5650000000005</v>
      </c>
      <c r="F100" s="308">
        <v>4924.9000000000005</v>
      </c>
    </row>
    <row r="101" spans="2:6" x14ac:dyDescent="0.2">
      <c r="B101" s="307" t="s">
        <v>124</v>
      </c>
      <c r="C101" s="308">
        <v>152.59799999999998</v>
      </c>
      <c r="D101" s="308">
        <v>65.144999999999996</v>
      </c>
      <c r="E101" s="308">
        <v>1298.808</v>
      </c>
      <c r="F101" s="308">
        <v>1516.5509999999999</v>
      </c>
    </row>
    <row r="102" spans="2:6" x14ac:dyDescent="0.2">
      <c r="B102" s="307" t="s">
        <v>125</v>
      </c>
      <c r="C102" s="308">
        <v>336.68</v>
      </c>
      <c r="D102" s="308">
        <v>126.304</v>
      </c>
      <c r="E102" s="308">
        <v>2980.61</v>
      </c>
      <c r="F102" s="308">
        <v>3443.5940000000001</v>
      </c>
    </row>
    <row r="103" spans="2:6" x14ac:dyDescent="0.2">
      <c r="B103" s="307" t="s">
        <v>126</v>
      </c>
      <c r="C103" s="308">
        <v>199.99800000000002</v>
      </c>
      <c r="D103" s="308">
        <v>107.729</v>
      </c>
      <c r="E103" s="308">
        <v>2282.3869999999997</v>
      </c>
      <c r="F103" s="308">
        <v>2590.1139999999996</v>
      </c>
    </row>
    <row r="104" spans="2:6" x14ac:dyDescent="0.2">
      <c r="B104" s="307" t="s">
        <v>127</v>
      </c>
      <c r="C104" s="308">
        <v>3206.8960000000002</v>
      </c>
      <c r="D104" s="308">
        <v>1297.6669999999999</v>
      </c>
      <c r="E104" s="308">
        <v>27504.875</v>
      </c>
      <c r="F104" s="308">
        <v>32009.438000000002</v>
      </c>
    </row>
    <row r="105" spans="2:6" x14ac:dyDescent="0.2">
      <c r="B105" s="307" t="s">
        <v>128</v>
      </c>
      <c r="C105" s="308">
        <v>1151.6120000000001</v>
      </c>
      <c r="D105" s="308">
        <v>506.00900000000001</v>
      </c>
      <c r="E105" s="308">
        <v>8783.85</v>
      </c>
      <c r="F105" s="308">
        <v>10441.471000000001</v>
      </c>
    </row>
    <row r="106" spans="2:6" x14ac:dyDescent="0.2">
      <c r="B106" s="307" t="s">
        <v>129</v>
      </c>
      <c r="C106" s="308">
        <v>335.67099999999999</v>
      </c>
      <c r="D106" s="308">
        <v>118.946</v>
      </c>
      <c r="E106" s="308">
        <v>2425.5439999999999</v>
      </c>
      <c r="F106" s="308">
        <v>2880.1609999999996</v>
      </c>
    </row>
    <row r="107" spans="2:6" x14ac:dyDescent="0.2">
      <c r="B107" s="307" t="s">
        <v>130</v>
      </c>
      <c r="C107" s="308">
        <v>123.5</v>
      </c>
      <c r="D107" s="308">
        <v>46.222000000000001</v>
      </c>
      <c r="E107" s="308">
        <v>1031.3050000000001</v>
      </c>
      <c r="F107" s="308">
        <v>1201.027</v>
      </c>
    </row>
    <row r="108" spans="2:6" x14ac:dyDescent="0.2">
      <c r="B108" s="307" t="s">
        <v>131</v>
      </c>
      <c r="C108" s="308">
        <v>126.953</v>
      </c>
      <c r="D108" s="308">
        <v>52.642000000000003</v>
      </c>
      <c r="E108" s="308">
        <v>973.48799999999994</v>
      </c>
      <c r="F108" s="308">
        <v>1153.0829999999999</v>
      </c>
    </row>
    <row r="109" spans="2:6" x14ac:dyDescent="0.2">
      <c r="B109" s="307" t="s">
        <v>132</v>
      </c>
      <c r="C109" s="308">
        <v>699.596</v>
      </c>
      <c r="D109" s="308">
        <v>276.10399999999998</v>
      </c>
      <c r="E109" s="308">
        <v>5888.16</v>
      </c>
      <c r="F109" s="308">
        <v>6863.8600000000006</v>
      </c>
    </row>
    <row r="110" spans="2:6" x14ac:dyDescent="0.2">
      <c r="B110" s="307" t="s">
        <v>133</v>
      </c>
      <c r="C110" s="308">
        <v>1541.19</v>
      </c>
      <c r="D110" s="308">
        <v>477.55200000000002</v>
      </c>
      <c r="E110" s="308">
        <v>11603.6</v>
      </c>
      <c r="F110" s="308">
        <v>13622.342000000001</v>
      </c>
    </row>
    <row r="111" spans="2:6" x14ac:dyDescent="0.2">
      <c r="B111" s="307" t="s">
        <v>134</v>
      </c>
      <c r="C111" s="308">
        <v>505.88500000000005</v>
      </c>
      <c r="D111" s="308">
        <v>657.59500000000003</v>
      </c>
      <c r="E111" s="308">
        <v>4660.3379999999997</v>
      </c>
      <c r="F111" s="308">
        <v>5823.8180000000002</v>
      </c>
    </row>
    <row r="112" spans="2:6" x14ac:dyDescent="0.2">
      <c r="B112" s="307" t="s">
        <v>135</v>
      </c>
      <c r="C112" s="308">
        <v>439.911</v>
      </c>
      <c r="D112" s="308">
        <v>164.40900000000002</v>
      </c>
      <c r="E112" s="308">
        <v>3415.23</v>
      </c>
      <c r="F112" s="308">
        <v>4019.55</v>
      </c>
    </row>
    <row r="113" spans="2:6" x14ac:dyDescent="0.2">
      <c r="B113" s="307" t="s">
        <v>136</v>
      </c>
      <c r="C113" s="308">
        <v>257.02499999999998</v>
      </c>
      <c r="D113" s="308">
        <v>183.60600000000002</v>
      </c>
      <c r="E113" s="308">
        <v>2284.6080000000002</v>
      </c>
      <c r="F113" s="308">
        <v>2725.2390000000005</v>
      </c>
    </row>
    <row r="114" spans="2:6" x14ac:dyDescent="0.2">
      <c r="B114" s="307" t="s">
        <v>137</v>
      </c>
      <c r="C114" s="308">
        <v>628.83600000000001</v>
      </c>
      <c r="D114" s="308">
        <v>231.69299999999998</v>
      </c>
      <c r="E114" s="308">
        <v>4887.54</v>
      </c>
      <c r="F114" s="308">
        <v>5748.0690000000004</v>
      </c>
    </row>
    <row r="115" spans="2:6" x14ac:dyDescent="0.2">
      <c r="B115" s="307" t="s">
        <v>138</v>
      </c>
      <c r="C115" s="308">
        <v>182.55199999999999</v>
      </c>
      <c r="D115" s="308">
        <v>57.856999999999999</v>
      </c>
      <c r="E115" s="308">
        <v>1615.4929999999999</v>
      </c>
      <c r="F115" s="308">
        <v>1855.9019999999998</v>
      </c>
    </row>
    <row r="116" spans="2:6" x14ac:dyDescent="0.2">
      <c r="B116" s="307" t="s">
        <v>139</v>
      </c>
      <c r="C116" s="308">
        <v>250.96</v>
      </c>
      <c r="D116" s="308">
        <v>93.616000000000014</v>
      </c>
      <c r="E116" s="308">
        <v>2019.402</v>
      </c>
      <c r="F116" s="308">
        <v>2363.9780000000001</v>
      </c>
    </row>
    <row r="117" spans="2:6" x14ac:dyDescent="0.2">
      <c r="B117" s="307" t="s">
        <v>140</v>
      </c>
      <c r="C117" s="308">
        <v>970.75199999999995</v>
      </c>
      <c r="D117" s="308">
        <v>380.86200000000002</v>
      </c>
      <c r="E117" s="308">
        <v>7596.6140000000005</v>
      </c>
      <c r="F117" s="308">
        <v>8948.228000000001</v>
      </c>
    </row>
    <row r="118" spans="2:6" x14ac:dyDescent="0.2">
      <c r="B118" s="307" t="s">
        <v>141</v>
      </c>
      <c r="C118" s="308">
        <v>267.24200000000002</v>
      </c>
      <c r="D118" s="308">
        <v>90.039999999999992</v>
      </c>
      <c r="E118" s="308">
        <v>1766.454</v>
      </c>
      <c r="F118" s="308">
        <v>2123.7359999999999</v>
      </c>
    </row>
    <row r="119" spans="2:6" x14ac:dyDescent="0.2">
      <c r="B119" s="307" t="s">
        <v>142</v>
      </c>
      <c r="C119" s="308">
        <v>372.14100000000002</v>
      </c>
      <c r="D119" s="308">
        <v>189.66399999999999</v>
      </c>
      <c r="E119" s="308">
        <v>3086.17</v>
      </c>
      <c r="F119" s="308">
        <v>3647.9749999999999</v>
      </c>
    </row>
    <row r="120" spans="2:6" x14ac:dyDescent="0.2">
      <c r="B120" s="307" t="s">
        <v>143</v>
      </c>
      <c r="C120" s="308">
        <v>477.738</v>
      </c>
      <c r="D120" s="308">
        <v>1611.232</v>
      </c>
      <c r="E120" s="308">
        <v>6511.8779999999997</v>
      </c>
      <c r="F120" s="308">
        <v>8600.848</v>
      </c>
    </row>
    <row r="121" spans="2:6" x14ac:dyDescent="0.2">
      <c r="B121" s="307" t="s">
        <v>144</v>
      </c>
      <c r="C121" s="308">
        <v>973.74199999999996</v>
      </c>
      <c r="D121" s="308">
        <v>380.947</v>
      </c>
      <c r="E121" s="308">
        <v>7519.2960000000003</v>
      </c>
      <c r="F121" s="308">
        <v>8873.9850000000006</v>
      </c>
    </row>
    <row r="122" spans="2:6" x14ac:dyDescent="0.2">
      <c r="B122" s="307" t="s">
        <v>145</v>
      </c>
      <c r="C122" s="308">
        <v>227.20400000000001</v>
      </c>
      <c r="D122" s="308">
        <v>87.521999999999991</v>
      </c>
      <c r="E122" s="308">
        <v>1967.3140000000001</v>
      </c>
      <c r="F122" s="308">
        <v>2282.0400000000004</v>
      </c>
    </row>
    <row r="123" spans="2:6" x14ac:dyDescent="0.2">
      <c r="B123" s="307"/>
      <c r="C123" s="308"/>
      <c r="D123" s="308"/>
      <c r="E123" s="308"/>
      <c r="F123" s="308"/>
    </row>
    <row r="124" spans="2:6" x14ac:dyDescent="0.2">
      <c r="B124" s="309" t="s">
        <v>298</v>
      </c>
      <c r="C124" s="310">
        <v>161478.51500000007</v>
      </c>
      <c r="D124" s="310">
        <v>73497.714000000036</v>
      </c>
      <c r="E124" s="310">
        <v>1207115.3489999999</v>
      </c>
      <c r="F124" s="310">
        <v>1442091.5780000004</v>
      </c>
    </row>
    <row r="125" spans="2:6" x14ac:dyDescent="0.2">
      <c r="B125"/>
      <c r="C125"/>
      <c r="D125"/>
      <c r="E125"/>
      <c r="F125"/>
    </row>
    <row r="126" spans="2:6" x14ac:dyDescent="0.2">
      <c r="B126"/>
      <c r="C126"/>
      <c r="D126"/>
      <c r="E126"/>
      <c r="F126"/>
    </row>
    <row r="127" spans="2:6" x14ac:dyDescent="0.2">
      <c r="B127"/>
      <c r="C127"/>
      <c r="D127"/>
      <c r="E127"/>
      <c r="F127"/>
    </row>
    <row r="128" spans="2:6" x14ac:dyDescent="0.2">
      <c r="B128"/>
      <c r="C128"/>
      <c r="D128"/>
      <c r="E128"/>
      <c r="F128"/>
    </row>
  </sheetData>
  <sheetProtection sheet="1" objects="1" scenarios="1"/>
  <pageMargins left="0.3" right="0.3" top="0.5" bottom="0.5" header="0.3" footer="0.3"/>
  <pageSetup scale="80" fitToHeight="2"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S111"/>
  <sheetViews>
    <sheetView showGridLines="0" zoomScale="80" zoomScaleNormal="80" workbookViewId="0">
      <pane xSplit="1" ySplit="5" topLeftCell="B85" activePane="bottomRight" state="frozen"/>
      <selection activeCell="B88" sqref="B88"/>
      <selection pane="topRight" activeCell="B88" sqref="B88"/>
      <selection pane="bottomLeft" activeCell="B88" sqref="B88"/>
      <selection pane="bottomRight" activeCell="E95" sqref="E95"/>
    </sheetView>
  </sheetViews>
  <sheetFormatPr defaultRowHeight="14.25" x14ac:dyDescent="0.2"/>
  <cols>
    <col min="1" max="1" width="21.5703125" style="247" customWidth="1"/>
    <col min="2" max="2" width="43.5703125" style="246" customWidth="1"/>
    <col min="3" max="3" width="12.42578125" style="289" customWidth="1"/>
    <col min="4" max="19" width="16.140625" style="246" customWidth="1"/>
    <col min="20" max="16384" width="9.140625" style="246"/>
  </cols>
  <sheetData>
    <row r="1" spans="1:19" ht="24.95" customHeight="1" x14ac:dyDescent="0.2">
      <c r="A1" s="463" t="s">
        <v>488</v>
      </c>
      <c r="B1" s="464"/>
      <c r="C1" s="464"/>
      <c r="D1" s="465" t="s">
        <v>489</v>
      </c>
      <c r="E1" s="465" t="s">
        <v>489</v>
      </c>
      <c r="F1" s="465" t="s">
        <v>489</v>
      </c>
      <c r="G1" s="465"/>
      <c r="H1" s="465"/>
      <c r="I1" s="465" t="s">
        <v>489</v>
      </c>
      <c r="J1" s="464"/>
      <c r="K1" s="464"/>
      <c r="L1" s="464"/>
      <c r="M1" s="464"/>
      <c r="N1" s="464"/>
      <c r="O1" s="464"/>
      <c r="P1" s="464"/>
      <c r="Q1" s="464"/>
      <c r="R1" s="464"/>
      <c r="S1" s="464"/>
    </row>
    <row r="2" spans="1:19" ht="18" x14ac:dyDescent="0.2">
      <c r="A2" s="244" t="s">
        <v>487</v>
      </c>
      <c r="B2" s="245"/>
      <c r="C2" s="245"/>
      <c r="D2" s="245"/>
      <c r="E2" s="245"/>
      <c r="F2" s="245"/>
      <c r="G2" s="245"/>
      <c r="H2" s="245"/>
      <c r="I2" s="245"/>
      <c r="J2" s="245"/>
      <c r="K2" s="245"/>
      <c r="L2" s="245"/>
      <c r="M2" s="245"/>
      <c r="N2" s="245"/>
      <c r="O2" s="245"/>
      <c r="P2" s="244"/>
      <c r="Q2" s="244"/>
      <c r="R2" s="244"/>
      <c r="S2" s="245"/>
    </row>
    <row r="3" spans="1:19" s="455" customFormat="1" ht="24.95" customHeight="1" thickBot="1" x14ac:dyDescent="0.25">
      <c r="A3" s="454">
        <v>1</v>
      </c>
      <c r="B3" s="454">
        <v>2</v>
      </c>
      <c r="C3" s="454">
        <v>3</v>
      </c>
      <c r="D3" s="454">
        <v>4</v>
      </c>
      <c r="E3" s="454">
        <v>5</v>
      </c>
      <c r="F3" s="454">
        <v>6</v>
      </c>
      <c r="G3" s="454">
        <v>7</v>
      </c>
      <c r="H3" s="454">
        <v>8</v>
      </c>
      <c r="I3" s="454">
        <v>9</v>
      </c>
      <c r="J3" s="454">
        <v>10</v>
      </c>
      <c r="K3" s="454">
        <v>11</v>
      </c>
      <c r="L3" s="454">
        <v>12</v>
      </c>
      <c r="M3" s="454">
        <v>13</v>
      </c>
      <c r="N3" s="454">
        <v>14</v>
      </c>
      <c r="O3" s="454">
        <v>15</v>
      </c>
      <c r="P3" s="454">
        <v>16</v>
      </c>
      <c r="Q3" s="454">
        <v>17</v>
      </c>
      <c r="R3" s="454">
        <v>18</v>
      </c>
      <c r="S3" s="454">
        <v>19</v>
      </c>
    </row>
    <row r="4" spans="1:19" ht="20.100000000000001" customHeight="1" thickTop="1" x14ac:dyDescent="0.2">
      <c r="B4" s="245"/>
      <c r="C4" s="245"/>
      <c r="D4" s="248" t="s">
        <v>485</v>
      </c>
      <c r="E4" s="249"/>
      <c r="F4" s="250"/>
      <c r="G4" s="250"/>
      <c r="H4" s="250"/>
      <c r="I4" s="250"/>
      <c r="J4" s="251"/>
      <c r="K4" s="456" t="s">
        <v>490</v>
      </c>
      <c r="L4" s="250"/>
      <c r="M4" s="251"/>
      <c r="N4" s="252" t="s">
        <v>486</v>
      </c>
      <c r="O4" s="253"/>
      <c r="P4" s="253"/>
      <c r="Q4" s="253"/>
      <c r="R4" s="253"/>
      <c r="S4" s="254"/>
    </row>
    <row r="5" spans="1:19" ht="71.25" customHeight="1" thickBot="1" x14ac:dyDescent="0.25">
      <c r="A5" s="255" t="s">
        <v>268</v>
      </c>
      <c r="B5" s="255" t="s">
        <v>293</v>
      </c>
      <c r="C5" s="255" t="s">
        <v>269</v>
      </c>
      <c r="D5" s="256" t="s">
        <v>480</v>
      </c>
      <c r="E5" s="257" t="s">
        <v>271</v>
      </c>
      <c r="F5" s="257" t="s">
        <v>272</v>
      </c>
      <c r="G5" s="257" t="s">
        <v>281</v>
      </c>
      <c r="H5" s="257" t="s">
        <v>275</v>
      </c>
      <c r="I5" s="258" t="s">
        <v>276</v>
      </c>
      <c r="J5" s="259" t="s">
        <v>277</v>
      </c>
      <c r="K5" s="466" t="s">
        <v>491</v>
      </c>
      <c r="L5" s="467" t="s">
        <v>492</v>
      </c>
      <c r="M5" s="505" t="s">
        <v>493</v>
      </c>
      <c r="N5" s="506" t="s">
        <v>271</v>
      </c>
      <c r="O5" s="507" t="s">
        <v>272</v>
      </c>
      <c r="P5" s="508" t="s">
        <v>281</v>
      </c>
      <c r="Q5" s="508" t="s">
        <v>282</v>
      </c>
      <c r="R5" s="508" t="s">
        <v>283</v>
      </c>
      <c r="S5" s="267" t="s">
        <v>284</v>
      </c>
    </row>
    <row r="6" spans="1:19" ht="24.95" customHeight="1" thickTop="1" x14ac:dyDescent="0.2">
      <c r="A6" s="268" t="s">
        <v>50</v>
      </c>
      <c r="B6" s="269" t="s">
        <v>14</v>
      </c>
      <c r="C6" s="270" t="s">
        <v>285</v>
      </c>
      <c r="D6" s="271">
        <v>154732</v>
      </c>
      <c r="E6" s="271">
        <v>5187</v>
      </c>
      <c r="F6" s="271">
        <v>29640</v>
      </c>
      <c r="G6" s="271">
        <v>7716</v>
      </c>
      <c r="H6" s="271">
        <v>87239</v>
      </c>
      <c r="I6" s="271">
        <v>24950</v>
      </c>
      <c r="J6" s="271">
        <f t="shared" ref="J6:J69" si="0">SUM(F6:H6)</f>
        <v>124595</v>
      </c>
      <c r="K6" s="468">
        <v>7.2000000000000008E-2</v>
      </c>
      <c r="L6" s="468">
        <v>0.24299999999999999</v>
      </c>
      <c r="M6" s="469">
        <v>0.19500000000000001</v>
      </c>
      <c r="N6" s="274">
        <f>E6*K6</f>
        <v>373.46400000000006</v>
      </c>
      <c r="O6" s="275">
        <f>F6*K6</f>
        <v>2134.0800000000004</v>
      </c>
      <c r="P6" s="275">
        <f>G6*L6</f>
        <v>1874.9880000000001</v>
      </c>
      <c r="Q6" s="275">
        <f>H6*L6</f>
        <v>21199.077000000001</v>
      </c>
      <c r="R6" s="275">
        <f>SUM(P6:Q6)</f>
        <v>23074.065000000002</v>
      </c>
      <c r="S6" s="275">
        <f>J6*M6</f>
        <v>24296.025000000001</v>
      </c>
    </row>
    <row r="7" spans="1:19" ht="24.95" customHeight="1" x14ac:dyDescent="0.2">
      <c r="A7" s="276" t="s">
        <v>123</v>
      </c>
      <c r="B7" s="277" t="s">
        <v>292</v>
      </c>
      <c r="C7" s="278" t="s">
        <v>285</v>
      </c>
      <c r="D7" s="279">
        <v>37383</v>
      </c>
      <c r="E7" s="279">
        <v>1098</v>
      </c>
      <c r="F7" s="279">
        <v>6622</v>
      </c>
      <c r="G7" s="279">
        <v>1306</v>
      </c>
      <c r="H7" s="279">
        <v>21507</v>
      </c>
      <c r="I7" s="279">
        <v>6850</v>
      </c>
      <c r="J7" s="279">
        <f t="shared" si="0"/>
        <v>29435</v>
      </c>
      <c r="K7" s="470">
        <v>6.8000000000000005E-2</v>
      </c>
      <c r="L7" s="470">
        <v>0.214</v>
      </c>
      <c r="M7" s="471">
        <v>0.17399999999999999</v>
      </c>
      <c r="N7" s="282">
        <f t="shared" ref="N7:N70" si="1">E7*K7</f>
        <v>74.664000000000001</v>
      </c>
      <c r="O7" s="283">
        <f t="shared" ref="O7:P70" si="2">F7*K7</f>
        <v>450.29600000000005</v>
      </c>
      <c r="P7" s="283">
        <f t="shared" si="2"/>
        <v>279.48399999999998</v>
      </c>
      <c r="Q7" s="283">
        <f t="shared" ref="Q7:Q70" si="3">H7*L7</f>
        <v>4602.4979999999996</v>
      </c>
      <c r="R7" s="283">
        <f t="shared" ref="R7:R70" si="4">SUM(P7:Q7)</f>
        <v>4881.982</v>
      </c>
      <c r="S7" s="283">
        <f t="shared" ref="S7:S70" si="5">J7*M7</f>
        <v>5121.6899999999996</v>
      </c>
    </row>
    <row r="8" spans="1:19" ht="24.95" customHeight="1" x14ac:dyDescent="0.2">
      <c r="A8" s="276" t="s">
        <v>124</v>
      </c>
      <c r="B8" s="277" t="s">
        <v>292</v>
      </c>
      <c r="C8" s="278" t="s">
        <v>286</v>
      </c>
      <c r="D8" s="279">
        <v>11156</v>
      </c>
      <c r="E8" s="279">
        <v>272</v>
      </c>
      <c r="F8" s="279">
        <v>1743</v>
      </c>
      <c r="G8" s="279">
        <v>379</v>
      </c>
      <c r="H8" s="279">
        <v>6063</v>
      </c>
      <c r="I8" s="279">
        <v>2699</v>
      </c>
      <c r="J8" s="279">
        <f t="shared" si="0"/>
        <v>8185</v>
      </c>
      <c r="K8" s="470">
        <v>0.113</v>
      </c>
      <c r="L8" s="470">
        <v>0.29499999999999998</v>
      </c>
      <c r="M8" s="471">
        <v>0.251</v>
      </c>
      <c r="N8" s="282">
        <f t="shared" si="1"/>
        <v>30.736000000000001</v>
      </c>
      <c r="O8" s="283">
        <f t="shared" si="2"/>
        <v>196.959</v>
      </c>
      <c r="P8" s="283">
        <f t="shared" si="2"/>
        <v>111.80499999999999</v>
      </c>
      <c r="Q8" s="283">
        <f t="shared" si="3"/>
        <v>1788.5849999999998</v>
      </c>
      <c r="R8" s="283">
        <f t="shared" si="4"/>
        <v>1900.3899999999999</v>
      </c>
      <c r="S8" s="283">
        <f t="shared" si="5"/>
        <v>2054.4349999999999</v>
      </c>
    </row>
    <row r="9" spans="1:19" ht="24.95" customHeight="1" x14ac:dyDescent="0.2">
      <c r="A9" s="276" t="s">
        <v>114</v>
      </c>
      <c r="B9" s="277" t="s">
        <v>21</v>
      </c>
      <c r="C9" s="278" t="s">
        <v>286</v>
      </c>
      <c r="D9" s="279">
        <v>26429</v>
      </c>
      <c r="E9" s="279">
        <v>719</v>
      </c>
      <c r="F9" s="279">
        <v>4698</v>
      </c>
      <c r="G9" s="279">
        <v>944</v>
      </c>
      <c r="H9" s="279">
        <v>15719</v>
      </c>
      <c r="I9" s="279">
        <v>4349</v>
      </c>
      <c r="J9" s="279">
        <f t="shared" si="0"/>
        <v>21361</v>
      </c>
      <c r="K9" s="470">
        <v>6.2E-2</v>
      </c>
      <c r="L9" s="470">
        <v>0.23899999999999999</v>
      </c>
      <c r="M9" s="471">
        <v>0.19</v>
      </c>
      <c r="N9" s="282">
        <f t="shared" si="1"/>
        <v>44.578000000000003</v>
      </c>
      <c r="O9" s="283">
        <f t="shared" si="2"/>
        <v>291.27600000000001</v>
      </c>
      <c r="P9" s="283">
        <f t="shared" si="2"/>
        <v>225.61599999999999</v>
      </c>
      <c r="Q9" s="283">
        <f t="shared" si="3"/>
        <v>3756.8409999999999</v>
      </c>
      <c r="R9" s="283">
        <f t="shared" si="4"/>
        <v>3982.4569999999999</v>
      </c>
      <c r="S9" s="283">
        <f t="shared" si="5"/>
        <v>4058.59</v>
      </c>
    </row>
    <row r="10" spans="1:19" ht="24.95" customHeight="1" x14ac:dyDescent="0.2">
      <c r="A10" s="276" t="s">
        <v>125</v>
      </c>
      <c r="B10" s="277" t="s">
        <v>292</v>
      </c>
      <c r="C10" s="278" t="s">
        <v>286</v>
      </c>
      <c r="D10" s="279">
        <v>27444</v>
      </c>
      <c r="E10" s="279">
        <v>753</v>
      </c>
      <c r="F10" s="279">
        <v>4371</v>
      </c>
      <c r="G10" s="279">
        <v>866</v>
      </c>
      <c r="H10" s="279">
        <v>15043</v>
      </c>
      <c r="I10" s="279">
        <v>6411</v>
      </c>
      <c r="J10" s="279">
        <f t="shared" si="0"/>
        <v>20280</v>
      </c>
      <c r="K10" s="470">
        <v>9.0999999999999998E-2</v>
      </c>
      <c r="L10" s="470">
        <v>0.28000000000000003</v>
      </c>
      <c r="M10" s="471">
        <v>0.23399999999999999</v>
      </c>
      <c r="N10" s="282">
        <f t="shared" si="1"/>
        <v>68.522999999999996</v>
      </c>
      <c r="O10" s="283">
        <f t="shared" si="2"/>
        <v>397.76099999999997</v>
      </c>
      <c r="P10" s="283">
        <f t="shared" si="2"/>
        <v>242.48000000000002</v>
      </c>
      <c r="Q10" s="283">
        <f t="shared" si="3"/>
        <v>4212.04</v>
      </c>
      <c r="R10" s="283">
        <f t="shared" si="4"/>
        <v>4454.5200000000004</v>
      </c>
      <c r="S10" s="283">
        <f t="shared" si="5"/>
        <v>4745.5199999999995</v>
      </c>
    </row>
    <row r="11" spans="1:19" ht="24.95" customHeight="1" x14ac:dyDescent="0.2">
      <c r="A11" s="276" t="s">
        <v>126</v>
      </c>
      <c r="B11" s="277" t="s">
        <v>292</v>
      </c>
      <c r="C11" s="278" t="s">
        <v>286</v>
      </c>
      <c r="D11" s="279">
        <v>17879</v>
      </c>
      <c r="E11" s="279">
        <v>452</v>
      </c>
      <c r="F11" s="279">
        <v>2392</v>
      </c>
      <c r="G11" s="279">
        <v>645</v>
      </c>
      <c r="H11" s="279">
        <v>10767</v>
      </c>
      <c r="I11" s="279">
        <v>3623</v>
      </c>
      <c r="J11" s="279">
        <f t="shared" si="0"/>
        <v>13804</v>
      </c>
      <c r="K11" s="470">
        <v>0.106</v>
      </c>
      <c r="L11" s="470">
        <v>0.28899999999999998</v>
      </c>
      <c r="M11" s="471">
        <v>0.24600000000000002</v>
      </c>
      <c r="N11" s="282">
        <f t="shared" si="1"/>
        <v>47.911999999999999</v>
      </c>
      <c r="O11" s="283">
        <f t="shared" si="2"/>
        <v>253.55199999999999</v>
      </c>
      <c r="P11" s="283">
        <f t="shared" si="2"/>
        <v>186.40499999999997</v>
      </c>
      <c r="Q11" s="283">
        <f t="shared" si="3"/>
        <v>3111.6629999999996</v>
      </c>
      <c r="R11" s="283">
        <f t="shared" si="4"/>
        <v>3298.0679999999993</v>
      </c>
      <c r="S11" s="283">
        <f t="shared" si="5"/>
        <v>3395.7840000000006</v>
      </c>
    </row>
    <row r="12" spans="1:19" ht="24.95" customHeight="1" x14ac:dyDescent="0.2">
      <c r="A12" s="276" t="s">
        <v>74</v>
      </c>
      <c r="B12" s="277" t="s">
        <v>476</v>
      </c>
      <c r="C12" s="278" t="s">
        <v>286</v>
      </c>
      <c r="D12" s="279">
        <v>47782</v>
      </c>
      <c r="E12" s="279">
        <v>1439</v>
      </c>
      <c r="F12" s="279">
        <v>8626</v>
      </c>
      <c r="G12" s="279">
        <v>1512</v>
      </c>
      <c r="H12" s="279">
        <v>25594</v>
      </c>
      <c r="I12" s="279">
        <v>10611</v>
      </c>
      <c r="J12" s="279">
        <f t="shared" si="0"/>
        <v>35732</v>
      </c>
      <c r="K12" s="470">
        <v>8.199999999999999E-2</v>
      </c>
      <c r="L12" s="470">
        <v>0.23699999999999999</v>
      </c>
      <c r="M12" s="471">
        <v>0.19500000000000001</v>
      </c>
      <c r="N12" s="282">
        <f t="shared" si="1"/>
        <v>117.99799999999999</v>
      </c>
      <c r="O12" s="283">
        <f t="shared" si="2"/>
        <v>707.33199999999988</v>
      </c>
      <c r="P12" s="283">
        <f t="shared" si="2"/>
        <v>358.34399999999999</v>
      </c>
      <c r="Q12" s="283">
        <f t="shared" si="3"/>
        <v>6065.7779999999993</v>
      </c>
      <c r="R12" s="283">
        <f t="shared" si="4"/>
        <v>6424.1219999999994</v>
      </c>
      <c r="S12" s="283">
        <f t="shared" si="5"/>
        <v>6967.7400000000007</v>
      </c>
    </row>
    <row r="13" spans="1:19" ht="24.95" customHeight="1" x14ac:dyDescent="0.2">
      <c r="A13" s="284" t="s">
        <v>75</v>
      </c>
      <c r="B13" s="285" t="s">
        <v>476</v>
      </c>
      <c r="C13" s="286" t="s">
        <v>286</v>
      </c>
      <c r="D13" s="279">
        <v>20611</v>
      </c>
      <c r="E13" s="279">
        <v>543</v>
      </c>
      <c r="F13" s="279">
        <v>3395</v>
      </c>
      <c r="G13" s="279">
        <v>788</v>
      </c>
      <c r="H13" s="279">
        <v>12048</v>
      </c>
      <c r="I13" s="279">
        <v>3837</v>
      </c>
      <c r="J13" s="279">
        <f t="shared" si="0"/>
        <v>16231</v>
      </c>
      <c r="K13" s="470">
        <v>5.9000000000000004E-2</v>
      </c>
      <c r="L13" s="470">
        <v>0.20800000000000002</v>
      </c>
      <c r="M13" s="471">
        <v>0.17</v>
      </c>
      <c r="N13" s="282">
        <f t="shared" si="1"/>
        <v>32.036999999999999</v>
      </c>
      <c r="O13" s="283">
        <f t="shared" si="2"/>
        <v>200.30500000000001</v>
      </c>
      <c r="P13" s="283">
        <f t="shared" si="2"/>
        <v>163.90400000000002</v>
      </c>
      <c r="Q13" s="283">
        <f t="shared" si="3"/>
        <v>2505.9840000000004</v>
      </c>
      <c r="R13" s="283">
        <f t="shared" si="4"/>
        <v>2669.8880000000004</v>
      </c>
      <c r="S13" s="283">
        <f t="shared" si="5"/>
        <v>2759.27</v>
      </c>
    </row>
    <row r="14" spans="1:19" ht="24.95" customHeight="1" x14ac:dyDescent="0.2">
      <c r="A14" s="284" t="s">
        <v>93</v>
      </c>
      <c r="B14" s="285" t="s">
        <v>18</v>
      </c>
      <c r="C14" s="286" t="s">
        <v>286</v>
      </c>
      <c r="D14" s="279">
        <v>35245</v>
      </c>
      <c r="E14" s="279">
        <v>1049</v>
      </c>
      <c r="F14" s="279">
        <v>6448</v>
      </c>
      <c r="G14" s="279">
        <v>1319</v>
      </c>
      <c r="H14" s="279">
        <v>19854</v>
      </c>
      <c r="I14" s="279">
        <v>6575</v>
      </c>
      <c r="J14" s="279">
        <f t="shared" si="0"/>
        <v>27621</v>
      </c>
      <c r="K14" s="470">
        <v>8.3000000000000004E-2</v>
      </c>
      <c r="L14" s="470">
        <v>0.248</v>
      </c>
      <c r="M14" s="471">
        <v>0.20300000000000001</v>
      </c>
      <c r="N14" s="282">
        <f t="shared" si="1"/>
        <v>87.067000000000007</v>
      </c>
      <c r="O14" s="283">
        <f t="shared" si="2"/>
        <v>535.18400000000008</v>
      </c>
      <c r="P14" s="283">
        <f t="shared" si="2"/>
        <v>327.11200000000002</v>
      </c>
      <c r="Q14" s="283">
        <f t="shared" si="3"/>
        <v>4923.7920000000004</v>
      </c>
      <c r="R14" s="283">
        <f t="shared" si="4"/>
        <v>5250.9040000000005</v>
      </c>
      <c r="S14" s="283">
        <f t="shared" si="5"/>
        <v>5607.0630000000001</v>
      </c>
    </row>
    <row r="15" spans="1:19" ht="24.95" customHeight="1" x14ac:dyDescent="0.2">
      <c r="A15" s="284" t="s">
        <v>69</v>
      </c>
      <c r="B15" s="285" t="s">
        <v>476</v>
      </c>
      <c r="C15" s="286" t="s">
        <v>285</v>
      </c>
      <c r="D15" s="279">
        <v>121744</v>
      </c>
      <c r="E15" s="279">
        <v>3173</v>
      </c>
      <c r="F15" s="279">
        <v>18292</v>
      </c>
      <c r="G15" s="279">
        <v>3045</v>
      </c>
      <c r="H15" s="279">
        <v>63973</v>
      </c>
      <c r="I15" s="279">
        <v>33261</v>
      </c>
      <c r="J15" s="279">
        <f t="shared" si="0"/>
        <v>85310</v>
      </c>
      <c r="K15" s="470">
        <v>7.9000000000000001E-2</v>
      </c>
      <c r="L15" s="470">
        <v>0.23100000000000001</v>
      </c>
      <c r="M15" s="471">
        <v>0.19399999999999998</v>
      </c>
      <c r="N15" s="282">
        <f t="shared" si="1"/>
        <v>250.667</v>
      </c>
      <c r="O15" s="283">
        <f t="shared" si="2"/>
        <v>1445.068</v>
      </c>
      <c r="P15" s="283">
        <f t="shared" si="2"/>
        <v>703.39499999999998</v>
      </c>
      <c r="Q15" s="283">
        <f t="shared" si="3"/>
        <v>14777.763000000001</v>
      </c>
      <c r="R15" s="283">
        <f t="shared" si="4"/>
        <v>15481.158000000001</v>
      </c>
      <c r="S15" s="283">
        <f t="shared" si="5"/>
        <v>16550.14</v>
      </c>
    </row>
    <row r="16" spans="1:19" ht="24.95" customHeight="1" x14ac:dyDescent="0.2">
      <c r="A16" s="284" t="s">
        <v>127</v>
      </c>
      <c r="B16" s="285" t="s">
        <v>292</v>
      </c>
      <c r="C16" s="286" t="s">
        <v>285</v>
      </c>
      <c r="D16" s="279">
        <v>255008</v>
      </c>
      <c r="E16" s="279">
        <v>7853</v>
      </c>
      <c r="F16" s="279">
        <v>41908</v>
      </c>
      <c r="G16" s="279">
        <v>8506</v>
      </c>
      <c r="H16" s="279">
        <v>149907</v>
      </c>
      <c r="I16" s="279">
        <v>46834</v>
      </c>
      <c r="J16" s="279">
        <f t="shared" si="0"/>
        <v>200321</v>
      </c>
      <c r="K16" s="470">
        <v>6.8000000000000005E-2</v>
      </c>
      <c r="L16" s="470">
        <v>0.24399999999999999</v>
      </c>
      <c r="M16" s="471">
        <v>0.2</v>
      </c>
      <c r="N16" s="282">
        <f t="shared" si="1"/>
        <v>534.00400000000002</v>
      </c>
      <c r="O16" s="283">
        <f t="shared" si="2"/>
        <v>2849.7440000000001</v>
      </c>
      <c r="P16" s="283">
        <f t="shared" si="2"/>
        <v>2075.4639999999999</v>
      </c>
      <c r="Q16" s="283">
        <f t="shared" si="3"/>
        <v>36577.307999999997</v>
      </c>
      <c r="R16" s="283">
        <f t="shared" si="4"/>
        <v>38652.771999999997</v>
      </c>
      <c r="S16" s="283">
        <f t="shared" si="5"/>
        <v>40064.200000000004</v>
      </c>
    </row>
    <row r="17" spans="1:19" ht="24.95" customHeight="1" x14ac:dyDescent="0.2">
      <c r="A17" s="284" t="s">
        <v>106</v>
      </c>
      <c r="B17" s="285" t="s">
        <v>20</v>
      </c>
      <c r="C17" s="286" t="s">
        <v>285</v>
      </c>
      <c r="D17" s="279">
        <v>88786</v>
      </c>
      <c r="E17" s="279">
        <v>2492</v>
      </c>
      <c r="F17" s="279">
        <v>15784</v>
      </c>
      <c r="G17" s="279">
        <v>4477</v>
      </c>
      <c r="H17" s="279">
        <v>49551</v>
      </c>
      <c r="I17" s="279">
        <v>16482</v>
      </c>
      <c r="J17" s="279">
        <f t="shared" si="0"/>
        <v>69812</v>
      </c>
      <c r="K17" s="470">
        <v>6.9000000000000006E-2</v>
      </c>
      <c r="L17" s="470">
        <v>0.23899999999999999</v>
      </c>
      <c r="M17" s="471">
        <v>0.19600000000000001</v>
      </c>
      <c r="N17" s="282">
        <f t="shared" si="1"/>
        <v>171.94800000000001</v>
      </c>
      <c r="O17" s="283">
        <f t="shared" si="2"/>
        <v>1089.096</v>
      </c>
      <c r="P17" s="283">
        <f t="shared" si="2"/>
        <v>1070.0029999999999</v>
      </c>
      <c r="Q17" s="283">
        <f t="shared" si="3"/>
        <v>11842.689</v>
      </c>
      <c r="R17" s="283">
        <f t="shared" si="4"/>
        <v>12912.692000000001</v>
      </c>
      <c r="S17" s="283">
        <f t="shared" si="5"/>
        <v>13683.152</v>
      </c>
    </row>
    <row r="18" spans="1:19" ht="24.95" customHeight="1" x14ac:dyDescent="0.2">
      <c r="A18" s="284" t="s">
        <v>51</v>
      </c>
      <c r="B18" s="285" t="s">
        <v>14</v>
      </c>
      <c r="C18" s="286" t="s">
        <v>285</v>
      </c>
      <c r="D18" s="279">
        <v>192434</v>
      </c>
      <c r="E18" s="279">
        <v>7147</v>
      </c>
      <c r="F18" s="279">
        <v>41984</v>
      </c>
      <c r="G18" s="279">
        <v>7536</v>
      </c>
      <c r="H18" s="279">
        <v>111278</v>
      </c>
      <c r="I18" s="279">
        <v>24489</v>
      </c>
      <c r="J18" s="279">
        <f t="shared" si="0"/>
        <v>160798</v>
      </c>
      <c r="K18" s="470">
        <v>7.2000000000000008E-2</v>
      </c>
      <c r="L18" s="470">
        <v>0.20499999999999999</v>
      </c>
      <c r="M18" s="471">
        <v>0.16399999999999998</v>
      </c>
      <c r="N18" s="282">
        <f t="shared" si="1"/>
        <v>514.58400000000006</v>
      </c>
      <c r="O18" s="283">
        <f t="shared" si="2"/>
        <v>3022.8480000000004</v>
      </c>
      <c r="P18" s="283">
        <f t="shared" si="2"/>
        <v>1544.8799999999999</v>
      </c>
      <c r="Q18" s="283">
        <f t="shared" si="3"/>
        <v>22811.989999999998</v>
      </c>
      <c r="R18" s="283">
        <f t="shared" si="4"/>
        <v>24356.87</v>
      </c>
      <c r="S18" s="283">
        <f t="shared" si="5"/>
        <v>26370.871999999996</v>
      </c>
    </row>
    <row r="19" spans="1:19" ht="24.95" customHeight="1" x14ac:dyDescent="0.2">
      <c r="A19" s="284" t="s">
        <v>128</v>
      </c>
      <c r="B19" s="285" t="s">
        <v>292</v>
      </c>
      <c r="C19" s="286" t="s">
        <v>285</v>
      </c>
      <c r="D19" s="279">
        <v>82241</v>
      </c>
      <c r="E19" s="279">
        <v>2322</v>
      </c>
      <c r="F19" s="279">
        <v>14695</v>
      </c>
      <c r="G19" s="279">
        <v>3278</v>
      </c>
      <c r="H19" s="279">
        <v>47124</v>
      </c>
      <c r="I19" s="279">
        <v>14822</v>
      </c>
      <c r="J19" s="279">
        <f t="shared" si="0"/>
        <v>65097</v>
      </c>
      <c r="K19" s="470">
        <v>6.3E-2</v>
      </c>
      <c r="L19" s="470">
        <v>0.24199999999999999</v>
      </c>
      <c r="M19" s="471">
        <v>0.19500000000000001</v>
      </c>
      <c r="N19" s="282">
        <f t="shared" si="1"/>
        <v>146.286</v>
      </c>
      <c r="O19" s="283">
        <f t="shared" si="2"/>
        <v>925.78499999999997</v>
      </c>
      <c r="P19" s="283">
        <f t="shared" si="2"/>
        <v>793.27599999999995</v>
      </c>
      <c r="Q19" s="283">
        <f t="shared" si="3"/>
        <v>11404.008</v>
      </c>
      <c r="R19" s="283">
        <f t="shared" si="4"/>
        <v>12197.284</v>
      </c>
      <c r="S19" s="283">
        <f t="shared" si="5"/>
        <v>12693.915000000001</v>
      </c>
    </row>
    <row r="20" spans="1:19" ht="24.95" customHeight="1" x14ac:dyDescent="0.2">
      <c r="A20" s="284" t="s">
        <v>76</v>
      </c>
      <c r="B20" s="285" t="s">
        <v>476</v>
      </c>
      <c r="C20" s="286" t="s">
        <v>286</v>
      </c>
      <c r="D20" s="279">
        <v>10380</v>
      </c>
      <c r="E20" s="279">
        <v>292</v>
      </c>
      <c r="F20" s="279">
        <v>1975</v>
      </c>
      <c r="G20" s="279">
        <v>385</v>
      </c>
      <c r="H20" s="279">
        <v>6137</v>
      </c>
      <c r="I20" s="279">
        <v>1591</v>
      </c>
      <c r="J20" s="279">
        <f t="shared" si="0"/>
        <v>8497</v>
      </c>
      <c r="K20" s="470">
        <v>8.5999999999999993E-2</v>
      </c>
      <c r="L20" s="470">
        <v>0.187</v>
      </c>
      <c r="M20" s="471">
        <v>0.157</v>
      </c>
      <c r="N20" s="282">
        <f t="shared" si="1"/>
        <v>25.111999999999998</v>
      </c>
      <c r="O20" s="283">
        <f t="shared" si="2"/>
        <v>169.85</v>
      </c>
      <c r="P20" s="283">
        <f t="shared" si="2"/>
        <v>71.995000000000005</v>
      </c>
      <c r="Q20" s="283">
        <f t="shared" si="3"/>
        <v>1147.6189999999999</v>
      </c>
      <c r="R20" s="283">
        <f t="shared" si="4"/>
        <v>1219.614</v>
      </c>
      <c r="S20" s="283">
        <f t="shared" si="5"/>
        <v>1334.029</v>
      </c>
    </row>
    <row r="21" spans="1:19" ht="24.95" customHeight="1" x14ac:dyDescent="0.2">
      <c r="A21" s="284" t="s">
        <v>70</v>
      </c>
      <c r="B21" s="285" t="s">
        <v>476</v>
      </c>
      <c r="C21" s="286" t="s">
        <v>286</v>
      </c>
      <c r="D21" s="279">
        <v>70911</v>
      </c>
      <c r="E21" s="279">
        <v>1871</v>
      </c>
      <c r="F21" s="279">
        <v>10737</v>
      </c>
      <c r="G21" s="279">
        <v>2197</v>
      </c>
      <c r="H21" s="279">
        <v>40243</v>
      </c>
      <c r="I21" s="279">
        <v>15863</v>
      </c>
      <c r="J21" s="279">
        <f t="shared" si="0"/>
        <v>53177</v>
      </c>
      <c r="K21" s="470">
        <v>7.6999999999999999E-2</v>
      </c>
      <c r="L21" s="470">
        <v>0.22399999999999998</v>
      </c>
      <c r="M21" s="471">
        <v>0.188</v>
      </c>
      <c r="N21" s="282">
        <f t="shared" si="1"/>
        <v>144.06700000000001</v>
      </c>
      <c r="O21" s="283">
        <f t="shared" si="2"/>
        <v>826.74900000000002</v>
      </c>
      <c r="P21" s="283">
        <f t="shared" si="2"/>
        <v>492.12799999999993</v>
      </c>
      <c r="Q21" s="283">
        <f t="shared" si="3"/>
        <v>9014.4319999999989</v>
      </c>
      <c r="R21" s="283">
        <f t="shared" si="4"/>
        <v>9506.56</v>
      </c>
      <c r="S21" s="283">
        <f t="shared" si="5"/>
        <v>9997.2759999999998</v>
      </c>
    </row>
    <row r="22" spans="1:19" ht="24.95" customHeight="1" x14ac:dyDescent="0.2">
      <c r="A22" s="284" t="s">
        <v>52</v>
      </c>
      <c r="B22" s="285" t="s">
        <v>14</v>
      </c>
      <c r="C22" s="286" t="s">
        <v>286</v>
      </c>
      <c r="D22" s="279">
        <v>23806</v>
      </c>
      <c r="E22" s="279">
        <v>616</v>
      </c>
      <c r="F22" s="279">
        <v>3790</v>
      </c>
      <c r="G22" s="279">
        <v>767</v>
      </c>
      <c r="H22" s="279">
        <v>14179</v>
      </c>
      <c r="I22" s="279">
        <v>4454</v>
      </c>
      <c r="J22" s="279">
        <f t="shared" si="0"/>
        <v>18736</v>
      </c>
      <c r="K22" s="470">
        <v>7.0000000000000007E-2</v>
      </c>
      <c r="L22" s="470">
        <v>0.20499999999999999</v>
      </c>
      <c r="M22" s="471">
        <v>0.17</v>
      </c>
      <c r="N22" s="282">
        <f t="shared" si="1"/>
        <v>43.120000000000005</v>
      </c>
      <c r="O22" s="283">
        <f t="shared" si="2"/>
        <v>265.3</v>
      </c>
      <c r="P22" s="283">
        <f t="shared" si="2"/>
        <v>157.23499999999999</v>
      </c>
      <c r="Q22" s="283">
        <f t="shared" si="3"/>
        <v>2906.6949999999997</v>
      </c>
      <c r="R22" s="283">
        <f t="shared" si="4"/>
        <v>3063.93</v>
      </c>
      <c r="S22" s="283">
        <f t="shared" si="5"/>
        <v>3185.1200000000003</v>
      </c>
    </row>
    <row r="23" spans="1:19" ht="24.95" customHeight="1" x14ac:dyDescent="0.2">
      <c r="A23" s="284" t="s">
        <v>107</v>
      </c>
      <c r="B23" s="285" t="s">
        <v>20</v>
      </c>
      <c r="C23" s="286" t="s">
        <v>285</v>
      </c>
      <c r="D23" s="279">
        <v>155477</v>
      </c>
      <c r="E23" s="279">
        <v>5123</v>
      </c>
      <c r="F23" s="279">
        <v>29971</v>
      </c>
      <c r="G23" s="279">
        <v>6206</v>
      </c>
      <c r="H23" s="279">
        <v>88721</v>
      </c>
      <c r="I23" s="279">
        <v>25456</v>
      </c>
      <c r="J23" s="279">
        <f t="shared" si="0"/>
        <v>124898</v>
      </c>
      <c r="K23" s="470">
        <v>7.0000000000000007E-2</v>
      </c>
      <c r="L23" s="470">
        <v>0.22899999999999998</v>
      </c>
      <c r="M23" s="471">
        <v>0.184</v>
      </c>
      <c r="N23" s="282">
        <f t="shared" si="1"/>
        <v>358.61</v>
      </c>
      <c r="O23" s="283">
        <f t="shared" si="2"/>
        <v>2097.9700000000003</v>
      </c>
      <c r="P23" s="283">
        <f t="shared" si="2"/>
        <v>1421.174</v>
      </c>
      <c r="Q23" s="283">
        <f t="shared" si="3"/>
        <v>20317.108999999997</v>
      </c>
      <c r="R23" s="283">
        <f t="shared" si="4"/>
        <v>21738.282999999996</v>
      </c>
      <c r="S23" s="283">
        <f t="shared" si="5"/>
        <v>22981.232</v>
      </c>
    </row>
    <row r="24" spans="1:19" ht="24.95" customHeight="1" x14ac:dyDescent="0.2">
      <c r="A24" s="284" t="s">
        <v>53</v>
      </c>
      <c r="B24" s="285" t="s">
        <v>14</v>
      </c>
      <c r="C24" s="286" t="s">
        <v>285</v>
      </c>
      <c r="D24" s="279">
        <v>69856</v>
      </c>
      <c r="E24" s="279">
        <v>1935</v>
      </c>
      <c r="F24" s="279">
        <v>12037</v>
      </c>
      <c r="G24" s="279">
        <v>2058</v>
      </c>
      <c r="H24" s="279">
        <v>37914</v>
      </c>
      <c r="I24" s="279">
        <v>15912</v>
      </c>
      <c r="J24" s="279">
        <f t="shared" si="0"/>
        <v>52009</v>
      </c>
      <c r="K24" s="470">
        <v>8.900000000000001E-2</v>
      </c>
      <c r="L24" s="470">
        <v>0.23199999999999998</v>
      </c>
      <c r="M24" s="471">
        <v>0.193</v>
      </c>
      <c r="N24" s="282">
        <f t="shared" si="1"/>
        <v>172.21500000000003</v>
      </c>
      <c r="O24" s="283">
        <f t="shared" si="2"/>
        <v>1071.2930000000001</v>
      </c>
      <c r="P24" s="283">
        <f t="shared" si="2"/>
        <v>477.45599999999996</v>
      </c>
      <c r="Q24" s="283">
        <f t="shared" si="3"/>
        <v>8796.0479999999989</v>
      </c>
      <c r="R24" s="283">
        <f t="shared" si="4"/>
        <v>9273.503999999999</v>
      </c>
      <c r="S24" s="283">
        <f t="shared" si="5"/>
        <v>10037.737000000001</v>
      </c>
    </row>
    <row r="25" spans="1:19" ht="24.95" customHeight="1" x14ac:dyDescent="0.2">
      <c r="A25" s="284" t="s">
        <v>129</v>
      </c>
      <c r="B25" s="285" t="s">
        <v>292</v>
      </c>
      <c r="C25" s="286" t="s">
        <v>286</v>
      </c>
      <c r="D25" s="279">
        <v>27608</v>
      </c>
      <c r="E25" s="279">
        <v>693</v>
      </c>
      <c r="F25" s="279">
        <v>4253</v>
      </c>
      <c r="G25" s="279">
        <v>849</v>
      </c>
      <c r="H25" s="279">
        <v>14242</v>
      </c>
      <c r="I25" s="279">
        <v>7571</v>
      </c>
      <c r="J25" s="279">
        <f t="shared" si="0"/>
        <v>19344</v>
      </c>
      <c r="K25" s="470">
        <v>9.1999999999999998E-2</v>
      </c>
      <c r="L25" s="470">
        <v>0.26400000000000001</v>
      </c>
      <c r="M25" s="471">
        <v>0.221</v>
      </c>
      <c r="N25" s="282">
        <f t="shared" si="1"/>
        <v>63.756</v>
      </c>
      <c r="O25" s="283">
        <f t="shared" si="2"/>
        <v>391.27600000000001</v>
      </c>
      <c r="P25" s="283">
        <f t="shared" si="2"/>
        <v>224.13600000000002</v>
      </c>
      <c r="Q25" s="283">
        <f t="shared" si="3"/>
        <v>3759.8880000000004</v>
      </c>
      <c r="R25" s="283">
        <f t="shared" si="4"/>
        <v>3984.0240000000003</v>
      </c>
      <c r="S25" s="283">
        <f t="shared" si="5"/>
        <v>4275.0240000000003</v>
      </c>
    </row>
    <row r="26" spans="1:19" ht="24.95" customHeight="1" x14ac:dyDescent="0.2">
      <c r="A26" s="284" t="s">
        <v>77</v>
      </c>
      <c r="B26" s="285" t="s">
        <v>476</v>
      </c>
      <c r="C26" s="286" t="s">
        <v>286</v>
      </c>
      <c r="D26" s="279">
        <v>14884</v>
      </c>
      <c r="E26" s="279">
        <v>462</v>
      </c>
      <c r="F26" s="279">
        <v>2662</v>
      </c>
      <c r="G26" s="279">
        <v>535</v>
      </c>
      <c r="H26" s="279">
        <v>7915</v>
      </c>
      <c r="I26" s="279">
        <v>3310</v>
      </c>
      <c r="J26" s="279">
        <f t="shared" si="0"/>
        <v>11112</v>
      </c>
      <c r="K26" s="470">
        <v>7.0999999999999994E-2</v>
      </c>
      <c r="L26" s="470">
        <v>0.221</v>
      </c>
      <c r="M26" s="471">
        <v>0.18</v>
      </c>
      <c r="N26" s="282">
        <f t="shared" si="1"/>
        <v>32.802</v>
      </c>
      <c r="O26" s="283">
        <f t="shared" si="2"/>
        <v>189.00199999999998</v>
      </c>
      <c r="P26" s="283">
        <f t="shared" si="2"/>
        <v>118.235</v>
      </c>
      <c r="Q26" s="283">
        <f t="shared" si="3"/>
        <v>1749.2149999999999</v>
      </c>
      <c r="R26" s="283">
        <f t="shared" si="4"/>
        <v>1867.4499999999998</v>
      </c>
      <c r="S26" s="283">
        <f t="shared" si="5"/>
        <v>2000.1599999999999</v>
      </c>
    </row>
    <row r="27" spans="1:19" ht="24.95" customHeight="1" x14ac:dyDescent="0.2">
      <c r="A27" s="284" t="s">
        <v>130</v>
      </c>
      <c r="B27" s="285" t="s">
        <v>292</v>
      </c>
      <c r="C27" s="286" t="s">
        <v>286</v>
      </c>
      <c r="D27" s="279">
        <v>11007</v>
      </c>
      <c r="E27" s="279">
        <v>277</v>
      </c>
      <c r="F27" s="279">
        <v>1662</v>
      </c>
      <c r="G27" s="279">
        <v>335</v>
      </c>
      <c r="H27" s="279">
        <v>5646</v>
      </c>
      <c r="I27" s="279">
        <v>3087</v>
      </c>
      <c r="J27" s="279">
        <f t="shared" si="0"/>
        <v>7643</v>
      </c>
      <c r="K27" s="470">
        <v>0.10199999999999999</v>
      </c>
      <c r="L27" s="470">
        <v>0.25900000000000001</v>
      </c>
      <c r="M27" s="471">
        <v>0.21899999999999997</v>
      </c>
      <c r="N27" s="282">
        <f t="shared" si="1"/>
        <v>28.253999999999998</v>
      </c>
      <c r="O27" s="283">
        <f t="shared" si="2"/>
        <v>169.524</v>
      </c>
      <c r="P27" s="283">
        <f t="shared" si="2"/>
        <v>86.765000000000001</v>
      </c>
      <c r="Q27" s="283">
        <f t="shared" si="3"/>
        <v>1462.3140000000001</v>
      </c>
      <c r="R27" s="283">
        <f t="shared" si="4"/>
        <v>1549.0790000000002</v>
      </c>
      <c r="S27" s="283">
        <f t="shared" si="5"/>
        <v>1673.8169999999998</v>
      </c>
    </row>
    <row r="28" spans="1:19" ht="24.95" customHeight="1" x14ac:dyDescent="0.2">
      <c r="A28" s="284" t="s">
        <v>108</v>
      </c>
      <c r="B28" s="285" t="s">
        <v>20</v>
      </c>
      <c r="C28" s="286" t="s">
        <v>286</v>
      </c>
      <c r="D28" s="279">
        <v>97071</v>
      </c>
      <c r="E28" s="279">
        <v>3045</v>
      </c>
      <c r="F28" s="279">
        <v>18151</v>
      </c>
      <c r="G28" s="279">
        <v>4338</v>
      </c>
      <c r="H28" s="279">
        <v>54651</v>
      </c>
      <c r="I28" s="279">
        <v>16886</v>
      </c>
      <c r="J28" s="279">
        <f t="shared" si="0"/>
        <v>77140</v>
      </c>
      <c r="K28" s="470">
        <v>5.2999999999999999E-2</v>
      </c>
      <c r="L28" s="470">
        <v>0.20699999999999999</v>
      </c>
      <c r="M28" s="471">
        <v>0.16500000000000001</v>
      </c>
      <c r="N28" s="282">
        <f t="shared" si="1"/>
        <v>161.38499999999999</v>
      </c>
      <c r="O28" s="283">
        <f t="shared" si="2"/>
        <v>962.00299999999993</v>
      </c>
      <c r="P28" s="283">
        <f t="shared" si="2"/>
        <v>897.96600000000001</v>
      </c>
      <c r="Q28" s="283">
        <f t="shared" si="3"/>
        <v>11312.757</v>
      </c>
      <c r="R28" s="283">
        <f t="shared" si="4"/>
        <v>12210.723</v>
      </c>
      <c r="S28" s="283">
        <f t="shared" si="5"/>
        <v>12728.1</v>
      </c>
    </row>
    <row r="29" spans="1:19" ht="24.95" customHeight="1" x14ac:dyDescent="0.2">
      <c r="A29" s="284" t="s">
        <v>94</v>
      </c>
      <c r="B29" s="285" t="s">
        <v>18</v>
      </c>
      <c r="C29" s="286" t="s">
        <v>286</v>
      </c>
      <c r="D29" s="279">
        <v>57732</v>
      </c>
      <c r="E29" s="279">
        <v>1839</v>
      </c>
      <c r="F29" s="279">
        <v>10816</v>
      </c>
      <c r="G29" s="279">
        <v>2301</v>
      </c>
      <c r="H29" s="279">
        <v>32662</v>
      </c>
      <c r="I29" s="279">
        <v>10114</v>
      </c>
      <c r="J29" s="279">
        <f t="shared" si="0"/>
        <v>45779</v>
      </c>
      <c r="K29" s="470">
        <v>7.2999999999999995E-2</v>
      </c>
      <c r="L29" s="470">
        <v>0.25900000000000001</v>
      </c>
      <c r="M29" s="471">
        <v>0.20499999999999999</v>
      </c>
      <c r="N29" s="282">
        <f t="shared" si="1"/>
        <v>134.24699999999999</v>
      </c>
      <c r="O29" s="283">
        <f t="shared" si="2"/>
        <v>789.56799999999998</v>
      </c>
      <c r="P29" s="283">
        <f t="shared" si="2"/>
        <v>595.95900000000006</v>
      </c>
      <c r="Q29" s="283">
        <f t="shared" si="3"/>
        <v>8459.4580000000005</v>
      </c>
      <c r="R29" s="283">
        <f t="shared" si="4"/>
        <v>9055.4170000000013</v>
      </c>
      <c r="S29" s="283">
        <f t="shared" si="5"/>
        <v>9384.6949999999997</v>
      </c>
    </row>
    <row r="30" spans="1:19" ht="24.95" customHeight="1" x14ac:dyDescent="0.2">
      <c r="A30" s="284" t="s">
        <v>78</v>
      </c>
      <c r="B30" s="285" t="s">
        <v>476</v>
      </c>
      <c r="C30" s="286" t="s">
        <v>285</v>
      </c>
      <c r="D30" s="279">
        <v>104521</v>
      </c>
      <c r="E30" s="279">
        <v>4524</v>
      </c>
      <c r="F30" s="279">
        <v>21472</v>
      </c>
      <c r="G30" s="279">
        <v>4704</v>
      </c>
      <c r="H30" s="279">
        <v>56449</v>
      </c>
      <c r="I30" s="279">
        <v>17372</v>
      </c>
      <c r="J30" s="279">
        <f t="shared" si="0"/>
        <v>82625</v>
      </c>
      <c r="K30" s="470">
        <v>6.5000000000000002E-2</v>
      </c>
      <c r="L30" s="470">
        <v>0.21199999999999999</v>
      </c>
      <c r="M30" s="471">
        <v>0.16899999999999998</v>
      </c>
      <c r="N30" s="282">
        <f t="shared" si="1"/>
        <v>294.06</v>
      </c>
      <c r="O30" s="283">
        <f t="shared" si="2"/>
        <v>1395.68</v>
      </c>
      <c r="P30" s="283">
        <f t="shared" si="2"/>
        <v>997.24799999999993</v>
      </c>
      <c r="Q30" s="283">
        <f t="shared" si="3"/>
        <v>11967.188</v>
      </c>
      <c r="R30" s="283">
        <f t="shared" si="4"/>
        <v>12964.436</v>
      </c>
      <c r="S30" s="283">
        <f t="shared" si="5"/>
        <v>13963.624999999998</v>
      </c>
    </row>
    <row r="31" spans="1:19" ht="24.95" customHeight="1" x14ac:dyDescent="0.2">
      <c r="A31" s="284" t="s">
        <v>46</v>
      </c>
      <c r="B31" s="285" t="s">
        <v>13</v>
      </c>
      <c r="C31" s="286" t="s">
        <v>285</v>
      </c>
      <c r="D31" s="279">
        <v>336304</v>
      </c>
      <c r="E31" s="279">
        <v>16032</v>
      </c>
      <c r="F31" s="279">
        <v>73756</v>
      </c>
      <c r="G31" s="279">
        <v>15648</v>
      </c>
      <c r="H31" s="279">
        <v>193320</v>
      </c>
      <c r="I31" s="279">
        <v>37548</v>
      </c>
      <c r="J31" s="279">
        <f t="shared" si="0"/>
        <v>282724</v>
      </c>
      <c r="K31" s="470">
        <v>5.5E-2</v>
      </c>
      <c r="L31" s="470">
        <v>0.2</v>
      </c>
      <c r="M31" s="471">
        <v>0.157</v>
      </c>
      <c r="N31" s="282">
        <f t="shared" si="1"/>
        <v>881.76</v>
      </c>
      <c r="O31" s="283">
        <f t="shared" si="2"/>
        <v>4056.58</v>
      </c>
      <c r="P31" s="283">
        <f t="shared" si="2"/>
        <v>3129.6000000000004</v>
      </c>
      <c r="Q31" s="283">
        <f t="shared" si="3"/>
        <v>38664</v>
      </c>
      <c r="R31" s="283">
        <f t="shared" si="4"/>
        <v>41793.599999999999</v>
      </c>
      <c r="S31" s="283">
        <f t="shared" si="5"/>
        <v>44387.667999999998</v>
      </c>
    </row>
    <row r="32" spans="1:19" ht="24.95" customHeight="1" x14ac:dyDescent="0.2">
      <c r="A32" s="284" t="s">
        <v>79</v>
      </c>
      <c r="B32" s="285" t="s">
        <v>476</v>
      </c>
      <c r="C32" s="286" t="s">
        <v>285</v>
      </c>
      <c r="D32" s="279">
        <v>25171</v>
      </c>
      <c r="E32" s="279">
        <v>752</v>
      </c>
      <c r="F32" s="279">
        <v>4598</v>
      </c>
      <c r="G32" s="279">
        <v>944</v>
      </c>
      <c r="H32" s="279">
        <v>15093</v>
      </c>
      <c r="I32" s="279">
        <v>3784</v>
      </c>
      <c r="J32" s="279">
        <f t="shared" si="0"/>
        <v>20635</v>
      </c>
      <c r="K32" s="470">
        <v>8.8000000000000009E-2</v>
      </c>
      <c r="L32" s="470">
        <v>0.21</v>
      </c>
      <c r="M32" s="471">
        <v>0.17800000000000002</v>
      </c>
      <c r="N32" s="282">
        <f t="shared" si="1"/>
        <v>66.176000000000002</v>
      </c>
      <c r="O32" s="283">
        <f t="shared" si="2"/>
        <v>404.62400000000002</v>
      </c>
      <c r="P32" s="283">
        <f t="shared" si="2"/>
        <v>198.23999999999998</v>
      </c>
      <c r="Q32" s="283">
        <f t="shared" si="3"/>
        <v>3169.5299999999997</v>
      </c>
      <c r="R32" s="283">
        <f t="shared" si="4"/>
        <v>3367.7699999999995</v>
      </c>
      <c r="S32" s="283">
        <f t="shared" si="5"/>
        <v>3673.03</v>
      </c>
    </row>
    <row r="33" spans="1:19" ht="24.95" customHeight="1" x14ac:dyDescent="0.2">
      <c r="A33" s="284" t="s">
        <v>80</v>
      </c>
      <c r="B33" s="285" t="s">
        <v>476</v>
      </c>
      <c r="C33" s="286" t="s">
        <v>286</v>
      </c>
      <c r="D33" s="279">
        <v>36059</v>
      </c>
      <c r="E33" s="279">
        <v>1151</v>
      </c>
      <c r="F33" s="279">
        <v>5827</v>
      </c>
      <c r="G33" s="279">
        <v>899</v>
      </c>
      <c r="H33" s="279">
        <v>21363</v>
      </c>
      <c r="I33" s="279">
        <v>6819</v>
      </c>
      <c r="J33" s="279">
        <f t="shared" si="0"/>
        <v>28089</v>
      </c>
      <c r="K33" s="470">
        <v>0.1</v>
      </c>
      <c r="L33" s="470">
        <v>0.23800000000000002</v>
      </c>
      <c r="M33" s="471">
        <v>0.20399999999999999</v>
      </c>
      <c r="N33" s="282">
        <f t="shared" si="1"/>
        <v>115.10000000000001</v>
      </c>
      <c r="O33" s="283">
        <f t="shared" si="2"/>
        <v>582.70000000000005</v>
      </c>
      <c r="P33" s="283">
        <f t="shared" si="2"/>
        <v>213.96200000000002</v>
      </c>
      <c r="Q33" s="283">
        <f t="shared" si="3"/>
        <v>5084.3940000000002</v>
      </c>
      <c r="R33" s="283">
        <f t="shared" si="4"/>
        <v>5298.3560000000007</v>
      </c>
      <c r="S33" s="283">
        <f t="shared" si="5"/>
        <v>5730.1559999999999</v>
      </c>
    </row>
    <row r="34" spans="1:19" ht="24.95" customHeight="1" x14ac:dyDescent="0.2">
      <c r="A34" s="284" t="s">
        <v>54</v>
      </c>
      <c r="B34" s="285" t="s">
        <v>14</v>
      </c>
      <c r="C34" s="286" t="s">
        <v>285</v>
      </c>
      <c r="D34" s="279">
        <v>164341</v>
      </c>
      <c r="E34" s="279">
        <v>5199</v>
      </c>
      <c r="F34" s="279">
        <v>31310</v>
      </c>
      <c r="G34" s="279">
        <v>5784</v>
      </c>
      <c r="H34" s="279">
        <v>94525</v>
      </c>
      <c r="I34" s="279">
        <v>27523</v>
      </c>
      <c r="J34" s="279">
        <f t="shared" si="0"/>
        <v>131619</v>
      </c>
      <c r="K34" s="470">
        <v>6.0999999999999999E-2</v>
      </c>
      <c r="L34" s="470">
        <v>0.21899999999999997</v>
      </c>
      <c r="M34" s="471">
        <v>0.17499999999999999</v>
      </c>
      <c r="N34" s="282">
        <f t="shared" si="1"/>
        <v>317.13900000000001</v>
      </c>
      <c r="O34" s="283">
        <f t="shared" si="2"/>
        <v>1909.9099999999999</v>
      </c>
      <c r="P34" s="283">
        <f t="shared" si="2"/>
        <v>1266.6959999999999</v>
      </c>
      <c r="Q34" s="283">
        <f t="shared" si="3"/>
        <v>20700.974999999999</v>
      </c>
      <c r="R34" s="283">
        <f t="shared" si="4"/>
        <v>21967.670999999998</v>
      </c>
      <c r="S34" s="283">
        <f t="shared" si="5"/>
        <v>23033.324999999997</v>
      </c>
    </row>
    <row r="35" spans="1:19" ht="24.95" customHeight="1" x14ac:dyDescent="0.2">
      <c r="A35" s="284" t="s">
        <v>65</v>
      </c>
      <c r="B35" s="285" t="s">
        <v>15</v>
      </c>
      <c r="C35" s="286" t="s">
        <v>285</v>
      </c>
      <c r="D35" s="279">
        <v>41729</v>
      </c>
      <c r="E35" s="279">
        <v>1229</v>
      </c>
      <c r="F35" s="279">
        <v>7580</v>
      </c>
      <c r="G35" s="279">
        <v>1527</v>
      </c>
      <c r="H35" s="279">
        <v>23420</v>
      </c>
      <c r="I35" s="279">
        <v>7973</v>
      </c>
      <c r="J35" s="279">
        <f t="shared" si="0"/>
        <v>32527</v>
      </c>
      <c r="K35" s="470">
        <v>8.5999999999999993E-2</v>
      </c>
      <c r="L35" s="470">
        <v>0.22</v>
      </c>
      <c r="M35" s="471">
        <v>0.182</v>
      </c>
      <c r="N35" s="282">
        <f t="shared" si="1"/>
        <v>105.69399999999999</v>
      </c>
      <c r="O35" s="283">
        <f t="shared" si="2"/>
        <v>651.88</v>
      </c>
      <c r="P35" s="283">
        <f t="shared" si="2"/>
        <v>335.94</v>
      </c>
      <c r="Q35" s="283">
        <f t="shared" si="3"/>
        <v>5152.3999999999996</v>
      </c>
      <c r="R35" s="283">
        <f t="shared" si="4"/>
        <v>5488.3399999999992</v>
      </c>
      <c r="S35" s="283">
        <f t="shared" si="5"/>
        <v>5919.9139999999998</v>
      </c>
    </row>
    <row r="36" spans="1:19" ht="24.95" customHeight="1" x14ac:dyDescent="0.2">
      <c r="A36" s="284" t="s">
        <v>95</v>
      </c>
      <c r="B36" s="285" t="s">
        <v>18</v>
      </c>
      <c r="C36" s="286" t="s">
        <v>286</v>
      </c>
      <c r="D36" s="279">
        <v>60742</v>
      </c>
      <c r="E36" s="279">
        <v>2216</v>
      </c>
      <c r="F36" s="279">
        <v>12552</v>
      </c>
      <c r="G36" s="279">
        <v>2373</v>
      </c>
      <c r="H36" s="279">
        <v>33525</v>
      </c>
      <c r="I36" s="279">
        <v>10076</v>
      </c>
      <c r="J36" s="279">
        <f t="shared" si="0"/>
        <v>48450</v>
      </c>
      <c r="K36" s="470">
        <v>0.10199999999999999</v>
      </c>
      <c r="L36" s="470">
        <v>0.33</v>
      </c>
      <c r="M36" s="471">
        <v>0.26200000000000001</v>
      </c>
      <c r="N36" s="282">
        <f t="shared" si="1"/>
        <v>226.03199999999998</v>
      </c>
      <c r="O36" s="283">
        <f t="shared" si="2"/>
        <v>1280.3039999999999</v>
      </c>
      <c r="P36" s="283">
        <f t="shared" si="2"/>
        <v>783.09</v>
      </c>
      <c r="Q36" s="283">
        <f t="shared" si="3"/>
        <v>11063.25</v>
      </c>
      <c r="R36" s="283">
        <f t="shared" si="4"/>
        <v>11846.34</v>
      </c>
      <c r="S36" s="283">
        <f t="shared" si="5"/>
        <v>12693.9</v>
      </c>
    </row>
    <row r="37" spans="1:19" ht="24.95" customHeight="1" x14ac:dyDescent="0.2">
      <c r="A37" s="284" t="s">
        <v>47</v>
      </c>
      <c r="B37" s="285" t="s">
        <v>13</v>
      </c>
      <c r="C37" s="286" t="s">
        <v>285</v>
      </c>
      <c r="D37" s="279">
        <v>296492</v>
      </c>
      <c r="E37" s="279">
        <v>12519</v>
      </c>
      <c r="F37" s="279">
        <v>56030</v>
      </c>
      <c r="G37" s="279">
        <v>14040</v>
      </c>
      <c r="H37" s="279">
        <v>180105</v>
      </c>
      <c r="I37" s="279">
        <v>33798</v>
      </c>
      <c r="J37" s="279">
        <f t="shared" si="0"/>
        <v>250175</v>
      </c>
      <c r="K37" s="470">
        <v>6.9000000000000006E-2</v>
      </c>
      <c r="L37" s="470">
        <v>0.217</v>
      </c>
      <c r="M37" s="471">
        <v>0.17800000000000002</v>
      </c>
      <c r="N37" s="282">
        <f t="shared" si="1"/>
        <v>863.81100000000004</v>
      </c>
      <c r="O37" s="283">
        <f t="shared" si="2"/>
        <v>3866.07</v>
      </c>
      <c r="P37" s="283">
        <f t="shared" si="2"/>
        <v>3046.68</v>
      </c>
      <c r="Q37" s="283">
        <f t="shared" si="3"/>
        <v>39082.784999999996</v>
      </c>
      <c r="R37" s="283">
        <f t="shared" si="4"/>
        <v>42129.464999999997</v>
      </c>
      <c r="S37" s="283">
        <f t="shared" si="5"/>
        <v>44531.15</v>
      </c>
    </row>
    <row r="38" spans="1:19" ht="24.95" customHeight="1" x14ac:dyDescent="0.2">
      <c r="A38" s="284" t="s">
        <v>96</v>
      </c>
      <c r="B38" s="285" t="s">
        <v>18</v>
      </c>
      <c r="C38" s="286" t="s">
        <v>285</v>
      </c>
      <c r="D38" s="279">
        <v>55467</v>
      </c>
      <c r="E38" s="279">
        <v>1765</v>
      </c>
      <c r="F38" s="279">
        <v>10972</v>
      </c>
      <c r="G38" s="279">
        <v>2205</v>
      </c>
      <c r="H38" s="279">
        <v>31039</v>
      </c>
      <c r="I38" s="279">
        <v>9486</v>
      </c>
      <c r="J38" s="279">
        <f t="shared" si="0"/>
        <v>44216</v>
      </c>
      <c r="K38" s="470">
        <v>5.0999999999999997E-2</v>
      </c>
      <c r="L38" s="470">
        <v>0.21899999999999997</v>
      </c>
      <c r="M38" s="471">
        <v>0.17199999999999999</v>
      </c>
      <c r="N38" s="282">
        <f t="shared" si="1"/>
        <v>90.015000000000001</v>
      </c>
      <c r="O38" s="283">
        <f t="shared" si="2"/>
        <v>559.572</v>
      </c>
      <c r="P38" s="283">
        <f t="shared" si="2"/>
        <v>482.89499999999992</v>
      </c>
      <c r="Q38" s="283">
        <f t="shared" si="3"/>
        <v>6797.5409999999993</v>
      </c>
      <c r="R38" s="283">
        <f t="shared" si="4"/>
        <v>7280.4359999999988</v>
      </c>
      <c r="S38" s="283">
        <f t="shared" si="5"/>
        <v>7605.1519999999991</v>
      </c>
    </row>
    <row r="39" spans="1:19" ht="24.95" customHeight="1" x14ac:dyDescent="0.2">
      <c r="A39" s="284" t="s">
        <v>66</v>
      </c>
      <c r="B39" s="285" t="s">
        <v>15</v>
      </c>
      <c r="C39" s="286" t="s">
        <v>285</v>
      </c>
      <c r="D39" s="279">
        <v>365397</v>
      </c>
      <c r="E39" s="279">
        <v>13358</v>
      </c>
      <c r="F39" s="279">
        <v>72798</v>
      </c>
      <c r="G39" s="279">
        <v>15135</v>
      </c>
      <c r="H39" s="279">
        <v>210393</v>
      </c>
      <c r="I39" s="279">
        <v>53713</v>
      </c>
      <c r="J39" s="279">
        <f t="shared" si="0"/>
        <v>298326</v>
      </c>
      <c r="K39" s="470">
        <v>0.06</v>
      </c>
      <c r="L39" s="470">
        <v>0.22</v>
      </c>
      <c r="M39" s="471">
        <v>0.17399999999999999</v>
      </c>
      <c r="N39" s="282">
        <f t="shared" si="1"/>
        <v>801.48</v>
      </c>
      <c r="O39" s="283">
        <f t="shared" si="2"/>
        <v>4367.88</v>
      </c>
      <c r="P39" s="283">
        <f t="shared" si="2"/>
        <v>3329.7</v>
      </c>
      <c r="Q39" s="283">
        <f t="shared" si="3"/>
        <v>46286.46</v>
      </c>
      <c r="R39" s="283">
        <f t="shared" si="4"/>
        <v>49616.159999999996</v>
      </c>
      <c r="S39" s="283">
        <f t="shared" si="5"/>
        <v>51908.723999999995</v>
      </c>
    </row>
    <row r="40" spans="1:19" ht="24.95" customHeight="1" x14ac:dyDescent="0.2">
      <c r="A40" s="284" t="s">
        <v>55</v>
      </c>
      <c r="B40" s="285" t="s">
        <v>14</v>
      </c>
      <c r="C40" s="286" t="s">
        <v>285</v>
      </c>
      <c r="D40" s="279">
        <v>64185</v>
      </c>
      <c r="E40" s="279">
        <v>2015</v>
      </c>
      <c r="F40" s="279">
        <v>12547</v>
      </c>
      <c r="G40" s="279">
        <v>2494</v>
      </c>
      <c r="H40" s="279">
        <v>37215</v>
      </c>
      <c r="I40" s="279">
        <v>9914</v>
      </c>
      <c r="J40" s="279">
        <f t="shared" si="0"/>
        <v>52256</v>
      </c>
      <c r="K40" s="470">
        <v>8.199999999999999E-2</v>
      </c>
      <c r="L40" s="470">
        <v>0.23699999999999999</v>
      </c>
      <c r="M40" s="471">
        <v>0.193</v>
      </c>
      <c r="N40" s="282">
        <f t="shared" si="1"/>
        <v>165.23</v>
      </c>
      <c r="O40" s="283">
        <f t="shared" si="2"/>
        <v>1028.8539999999998</v>
      </c>
      <c r="P40" s="283">
        <f t="shared" si="2"/>
        <v>591.07799999999997</v>
      </c>
      <c r="Q40" s="283">
        <f t="shared" si="3"/>
        <v>8819.9549999999999</v>
      </c>
      <c r="R40" s="283">
        <f t="shared" si="4"/>
        <v>9411.0329999999994</v>
      </c>
      <c r="S40" s="283">
        <f t="shared" si="5"/>
        <v>10085.407999999999</v>
      </c>
    </row>
    <row r="41" spans="1:19" ht="24.95" customHeight="1" x14ac:dyDescent="0.2">
      <c r="A41" s="284" t="s">
        <v>109</v>
      </c>
      <c r="B41" s="285" t="s">
        <v>20</v>
      </c>
      <c r="C41" s="286" t="s">
        <v>285</v>
      </c>
      <c r="D41" s="279">
        <v>212238</v>
      </c>
      <c r="E41" s="279">
        <v>7224</v>
      </c>
      <c r="F41" s="279">
        <v>41313</v>
      </c>
      <c r="G41" s="279">
        <v>8196</v>
      </c>
      <c r="H41" s="279">
        <v>123415</v>
      </c>
      <c r="I41" s="279">
        <v>32090</v>
      </c>
      <c r="J41" s="279">
        <f t="shared" si="0"/>
        <v>172924</v>
      </c>
      <c r="K41" s="470">
        <v>7.0999999999999994E-2</v>
      </c>
      <c r="L41" s="470">
        <v>0.223</v>
      </c>
      <c r="M41" s="471">
        <v>0.18100000000000002</v>
      </c>
      <c r="N41" s="282">
        <f t="shared" si="1"/>
        <v>512.904</v>
      </c>
      <c r="O41" s="283">
        <f t="shared" si="2"/>
        <v>2933.223</v>
      </c>
      <c r="P41" s="283">
        <f t="shared" si="2"/>
        <v>1827.7080000000001</v>
      </c>
      <c r="Q41" s="283">
        <f t="shared" si="3"/>
        <v>27521.545000000002</v>
      </c>
      <c r="R41" s="283">
        <f t="shared" si="4"/>
        <v>29349.253000000001</v>
      </c>
      <c r="S41" s="283">
        <f t="shared" si="5"/>
        <v>31299.244000000002</v>
      </c>
    </row>
    <row r="42" spans="1:19" ht="24.95" customHeight="1" x14ac:dyDescent="0.2">
      <c r="A42" s="284" t="s">
        <v>81</v>
      </c>
      <c r="B42" s="285" t="s">
        <v>476</v>
      </c>
      <c r="C42" s="286" t="s">
        <v>285</v>
      </c>
      <c r="D42" s="279">
        <v>11470</v>
      </c>
      <c r="E42" s="279">
        <v>310</v>
      </c>
      <c r="F42" s="279">
        <v>1965</v>
      </c>
      <c r="G42" s="279">
        <v>470</v>
      </c>
      <c r="H42" s="279">
        <v>6659</v>
      </c>
      <c r="I42" s="279">
        <v>2066</v>
      </c>
      <c r="J42" s="279">
        <f t="shared" si="0"/>
        <v>9094</v>
      </c>
      <c r="K42" s="470">
        <v>0.08</v>
      </c>
      <c r="L42" s="470">
        <v>0.19899999999999998</v>
      </c>
      <c r="M42" s="471">
        <v>0.16699999999999998</v>
      </c>
      <c r="N42" s="282">
        <f t="shared" si="1"/>
        <v>24.8</v>
      </c>
      <c r="O42" s="283">
        <f t="shared" si="2"/>
        <v>157.20000000000002</v>
      </c>
      <c r="P42" s="283">
        <f t="shared" si="2"/>
        <v>93.529999999999987</v>
      </c>
      <c r="Q42" s="283">
        <f t="shared" si="3"/>
        <v>1325.1409999999998</v>
      </c>
      <c r="R42" s="283">
        <f t="shared" si="4"/>
        <v>1418.6709999999998</v>
      </c>
      <c r="S42" s="283">
        <f t="shared" si="5"/>
        <v>1518.6979999999999</v>
      </c>
    </row>
    <row r="43" spans="1:19" ht="24.95" customHeight="1" x14ac:dyDescent="0.2">
      <c r="A43" s="284" t="s">
        <v>131</v>
      </c>
      <c r="B43" s="285" t="s">
        <v>292</v>
      </c>
      <c r="C43" s="286" t="s">
        <v>286</v>
      </c>
      <c r="D43" s="279">
        <v>9057</v>
      </c>
      <c r="E43" s="279">
        <v>281</v>
      </c>
      <c r="F43" s="279">
        <v>1603</v>
      </c>
      <c r="G43" s="279">
        <v>330</v>
      </c>
      <c r="H43" s="279">
        <v>4782</v>
      </c>
      <c r="I43" s="279">
        <v>2061</v>
      </c>
      <c r="J43" s="279">
        <f t="shared" si="0"/>
        <v>6715</v>
      </c>
      <c r="K43" s="470">
        <v>9.0999999999999998E-2</v>
      </c>
      <c r="L43" s="470">
        <v>0.26899999999999996</v>
      </c>
      <c r="M43" s="471">
        <v>0.22</v>
      </c>
      <c r="N43" s="282">
        <f t="shared" si="1"/>
        <v>25.570999999999998</v>
      </c>
      <c r="O43" s="283">
        <f t="shared" si="2"/>
        <v>145.87299999999999</v>
      </c>
      <c r="P43" s="283">
        <f t="shared" si="2"/>
        <v>88.769999999999982</v>
      </c>
      <c r="Q43" s="283">
        <f t="shared" si="3"/>
        <v>1286.3579999999997</v>
      </c>
      <c r="R43" s="283">
        <f t="shared" si="4"/>
        <v>1375.1279999999997</v>
      </c>
      <c r="S43" s="283">
        <f t="shared" si="5"/>
        <v>1477.3</v>
      </c>
    </row>
    <row r="44" spans="1:19" ht="24.95" customHeight="1" x14ac:dyDescent="0.2">
      <c r="A44" s="284" t="s">
        <v>56</v>
      </c>
      <c r="B44" s="285" t="s">
        <v>14</v>
      </c>
      <c r="C44" s="286" t="s">
        <v>286</v>
      </c>
      <c r="D44" s="279">
        <v>58108</v>
      </c>
      <c r="E44" s="279">
        <v>1596</v>
      </c>
      <c r="F44" s="279">
        <v>10205</v>
      </c>
      <c r="G44" s="279">
        <v>2542</v>
      </c>
      <c r="H44" s="279">
        <v>34848</v>
      </c>
      <c r="I44" s="279">
        <v>8917</v>
      </c>
      <c r="J44" s="279">
        <f t="shared" si="0"/>
        <v>47595</v>
      </c>
      <c r="K44" s="470">
        <v>6.9000000000000006E-2</v>
      </c>
      <c r="L44" s="470">
        <v>0.20100000000000001</v>
      </c>
      <c r="M44" s="471">
        <v>0.16500000000000001</v>
      </c>
      <c r="N44" s="282">
        <f t="shared" si="1"/>
        <v>110.12400000000001</v>
      </c>
      <c r="O44" s="283">
        <f t="shared" si="2"/>
        <v>704.1450000000001</v>
      </c>
      <c r="P44" s="283">
        <f t="shared" si="2"/>
        <v>510.94200000000001</v>
      </c>
      <c r="Q44" s="283">
        <f t="shared" si="3"/>
        <v>7004.4480000000003</v>
      </c>
      <c r="R44" s="283">
        <f t="shared" si="4"/>
        <v>7515.39</v>
      </c>
      <c r="S44" s="283">
        <f t="shared" si="5"/>
        <v>7853.1750000000002</v>
      </c>
    </row>
    <row r="45" spans="1:19" ht="24.95" customHeight="1" x14ac:dyDescent="0.2">
      <c r="A45" s="284" t="s">
        <v>97</v>
      </c>
      <c r="B45" s="285" t="s">
        <v>18</v>
      </c>
      <c r="C45" s="286" t="s">
        <v>286</v>
      </c>
      <c r="D45" s="279">
        <v>21046</v>
      </c>
      <c r="E45" s="279">
        <v>602</v>
      </c>
      <c r="F45" s="279">
        <v>4038</v>
      </c>
      <c r="G45" s="279">
        <v>698</v>
      </c>
      <c r="H45" s="279">
        <v>12595</v>
      </c>
      <c r="I45" s="279">
        <v>3113</v>
      </c>
      <c r="J45" s="279">
        <f t="shared" si="0"/>
        <v>17331</v>
      </c>
      <c r="K45" s="470">
        <v>0.10099999999999999</v>
      </c>
      <c r="L45" s="470">
        <v>0.27399999999999997</v>
      </c>
      <c r="M45" s="471">
        <v>0.22399999999999998</v>
      </c>
      <c r="N45" s="282">
        <f t="shared" si="1"/>
        <v>60.801999999999992</v>
      </c>
      <c r="O45" s="283">
        <f t="shared" si="2"/>
        <v>407.83799999999997</v>
      </c>
      <c r="P45" s="283">
        <f t="shared" si="2"/>
        <v>191.25199999999998</v>
      </c>
      <c r="Q45" s="283">
        <f t="shared" si="3"/>
        <v>3451.0299999999997</v>
      </c>
      <c r="R45" s="283">
        <f t="shared" si="4"/>
        <v>3642.2819999999997</v>
      </c>
      <c r="S45" s="283">
        <f t="shared" si="5"/>
        <v>3882.1439999999998</v>
      </c>
    </row>
    <row r="46" spans="1:19" ht="24.95" customHeight="1" x14ac:dyDescent="0.2">
      <c r="A46" s="284" t="s">
        <v>115</v>
      </c>
      <c r="B46" s="285" t="s">
        <v>21</v>
      </c>
      <c r="C46" s="286" t="s">
        <v>285</v>
      </c>
      <c r="D46" s="279">
        <v>518113</v>
      </c>
      <c r="E46" s="279">
        <v>17497</v>
      </c>
      <c r="F46" s="279">
        <v>97370</v>
      </c>
      <c r="G46" s="279">
        <v>26994</v>
      </c>
      <c r="H46" s="279">
        <v>303133</v>
      </c>
      <c r="I46" s="279">
        <v>73119</v>
      </c>
      <c r="J46" s="279">
        <f t="shared" si="0"/>
        <v>427497</v>
      </c>
      <c r="K46" s="470">
        <v>6.4000000000000001E-2</v>
      </c>
      <c r="L46" s="470">
        <v>0.22600000000000001</v>
      </c>
      <c r="M46" s="471">
        <v>0.18100000000000002</v>
      </c>
      <c r="N46" s="282">
        <f t="shared" si="1"/>
        <v>1119.808</v>
      </c>
      <c r="O46" s="283">
        <f t="shared" si="2"/>
        <v>6231.68</v>
      </c>
      <c r="P46" s="283">
        <f t="shared" si="2"/>
        <v>6100.6440000000002</v>
      </c>
      <c r="Q46" s="283">
        <f t="shared" si="3"/>
        <v>68508.058000000005</v>
      </c>
      <c r="R46" s="283">
        <f t="shared" si="4"/>
        <v>74608.702000000005</v>
      </c>
      <c r="S46" s="283">
        <f t="shared" si="5"/>
        <v>77376.957000000009</v>
      </c>
    </row>
    <row r="47" spans="1:19" ht="24.95" customHeight="1" x14ac:dyDescent="0.2">
      <c r="A47" s="284" t="s">
        <v>57</v>
      </c>
      <c r="B47" s="285" t="s">
        <v>14</v>
      </c>
      <c r="C47" s="286" t="s">
        <v>286</v>
      </c>
      <c r="D47" s="279">
        <v>53105</v>
      </c>
      <c r="E47" s="279">
        <v>1587</v>
      </c>
      <c r="F47" s="279">
        <v>9848</v>
      </c>
      <c r="G47" s="279">
        <v>1803</v>
      </c>
      <c r="H47" s="279">
        <v>30000</v>
      </c>
      <c r="I47" s="279">
        <v>9867</v>
      </c>
      <c r="J47" s="279">
        <f t="shared" si="0"/>
        <v>41651</v>
      </c>
      <c r="K47" s="470">
        <v>5.7000000000000002E-2</v>
      </c>
      <c r="L47" s="470">
        <v>0.21199999999999999</v>
      </c>
      <c r="M47" s="471">
        <v>0.17</v>
      </c>
      <c r="N47" s="282">
        <f t="shared" si="1"/>
        <v>90.459000000000003</v>
      </c>
      <c r="O47" s="283">
        <f t="shared" si="2"/>
        <v>561.33600000000001</v>
      </c>
      <c r="P47" s="283">
        <f t="shared" si="2"/>
        <v>382.23599999999999</v>
      </c>
      <c r="Q47" s="283">
        <f t="shared" si="3"/>
        <v>6360</v>
      </c>
      <c r="R47" s="283">
        <f t="shared" si="4"/>
        <v>6742.2359999999999</v>
      </c>
      <c r="S47" s="283">
        <f t="shared" si="5"/>
        <v>7080.67</v>
      </c>
    </row>
    <row r="48" spans="1:19" ht="24.95" customHeight="1" x14ac:dyDescent="0.2">
      <c r="A48" s="284" t="s">
        <v>116</v>
      </c>
      <c r="B48" s="285" t="s">
        <v>21</v>
      </c>
      <c r="C48" s="286" t="s">
        <v>286</v>
      </c>
      <c r="D48" s="279">
        <v>127777</v>
      </c>
      <c r="E48" s="279">
        <v>5360</v>
      </c>
      <c r="F48" s="279">
        <v>29339</v>
      </c>
      <c r="G48" s="279">
        <v>5763</v>
      </c>
      <c r="H48" s="279">
        <v>72067</v>
      </c>
      <c r="I48" s="279">
        <v>15248</v>
      </c>
      <c r="J48" s="279">
        <f t="shared" si="0"/>
        <v>107169</v>
      </c>
      <c r="K48" s="470">
        <v>7.0000000000000007E-2</v>
      </c>
      <c r="L48" s="470">
        <v>0.24399999999999999</v>
      </c>
      <c r="M48" s="471">
        <v>0.188</v>
      </c>
      <c r="N48" s="282">
        <f t="shared" si="1"/>
        <v>375.20000000000005</v>
      </c>
      <c r="O48" s="283">
        <f t="shared" si="2"/>
        <v>2053.73</v>
      </c>
      <c r="P48" s="283">
        <f t="shared" si="2"/>
        <v>1406.172</v>
      </c>
      <c r="Q48" s="283">
        <f t="shared" si="3"/>
        <v>17584.347999999998</v>
      </c>
      <c r="R48" s="283">
        <f t="shared" si="4"/>
        <v>18990.519999999997</v>
      </c>
      <c r="S48" s="283">
        <f t="shared" si="5"/>
        <v>20147.772000000001</v>
      </c>
    </row>
    <row r="49" spans="1:19" ht="24.95" customHeight="1" x14ac:dyDescent="0.2">
      <c r="A49" s="284" t="s">
        <v>132</v>
      </c>
      <c r="B49" s="285" t="s">
        <v>292</v>
      </c>
      <c r="C49" s="286" t="s">
        <v>285</v>
      </c>
      <c r="D49" s="279">
        <v>60218</v>
      </c>
      <c r="E49" s="279">
        <v>1671</v>
      </c>
      <c r="F49" s="279">
        <v>9435</v>
      </c>
      <c r="G49" s="279">
        <v>1889</v>
      </c>
      <c r="H49" s="279">
        <v>32684</v>
      </c>
      <c r="I49" s="279">
        <v>14539</v>
      </c>
      <c r="J49" s="279">
        <f t="shared" si="0"/>
        <v>44008</v>
      </c>
      <c r="K49" s="470">
        <v>7.400000000000001E-2</v>
      </c>
      <c r="L49" s="470">
        <v>0.223</v>
      </c>
      <c r="M49" s="471">
        <v>0.18600000000000003</v>
      </c>
      <c r="N49" s="282">
        <f t="shared" si="1"/>
        <v>123.65400000000001</v>
      </c>
      <c r="O49" s="283">
        <f t="shared" si="2"/>
        <v>698.19</v>
      </c>
      <c r="P49" s="283">
        <f t="shared" si="2"/>
        <v>421.24700000000001</v>
      </c>
      <c r="Q49" s="283">
        <f t="shared" si="3"/>
        <v>7288.5320000000002</v>
      </c>
      <c r="R49" s="283">
        <f t="shared" si="4"/>
        <v>7709.7790000000005</v>
      </c>
      <c r="S49" s="283">
        <f t="shared" si="5"/>
        <v>8185.4880000000012</v>
      </c>
    </row>
    <row r="50" spans="1:19" ht="24.95" customHeight="1" x14ac:dyDescent="0.2">
      <c r="A50" s="284" t="s">
        <v>133</v>
      </c>
      <c r="B50" s="285" t="s">
        <v>292</v>
      </c>
      <c r="C50" s="286" t="s">
        <v>285</v>
      </c>
      <c r="D50" s="279">
        <v>111173</v>
      </c>
      <c r="E50" s="279">
        <v>3253</v>
      </c>
      <c r="F50" s="279">
        <v>18765</v>
      </c>
      <c r="G50" s="279">
        <v>3139</v>
      </c>
      <c r="H50" s="279">
        <v>58159</v>
      </c>
      <c r="I50" s="279">
        <v>27857</v>
      </c>
      <c r="J50" s="279">
        <f t="shared" si="0"/>
        <v>80063</v>
      </c>
      <c r="K50" s="470">
        <v>8.199999999999999E-2</v>
      </c>
      <c r="L50" s="470">
        <v>0.24600000000000002</v>
      </c>
      <c r="M50" s="471">
        <v>0.20199999999999999</v>
      </c>
      <c r="N50" s="282">
        <f t="shared" si="1"/>
        <v>266.74599999999998</v>
      </c>
      <c r="O50" s="283">
        <f t="shared" si="2"/>
        <v>1538.7299999999998</v>
      </c>
      <c r="P50" s="283">
        <f t="shared" si="2"/>
        <v>772.19400000000007</v>
      </c>
      <c r="Q50" s="283">
        <f t="shared" si="3"/>
        <v>14307.114000000001</v>
      </c>
      <c r="R50" s="283">
        <f t="shared" si="4"/>
        <v>15079.308000000001</v>
      </c>
      <c r="S50" s="283">
        <f t="shared" si="5"/>
        <v>16172.725999999999</v>
      </c>
    </row>
    <row r="51" spans="1:19" ht="24.95" customHeight="1" x14ac:dyDescent="0.2">
      <c r="A51" s="284" t="s">
        <v>82</v>
      </c>
      <c r="B51" s="285" t="s">
        <v>476</v>
      </c>
      <c r="C51" s="286" t="s">
        <v>286</v>
      </c>
      <c r="D51" s="279">
        <v>24560</v>
      </c>
      <c r="E51" s="279">
        <v>654</v>
      </c>
      <c r="F51" s="279">
        <v>4195</v>
      </c>
      <c r="G51" s="279">
        <v>1269</v>
      </c>
      <c r="H51" s="279">
        <v>14085</v>
      </c>
      <c r="I51" s="279">
        <v>4357</v>
      </c>
      <c r="J51" s="279">
        <f t="shared" si="0"/>
        <v>19549</v>
      </c>
      <c r="K51" s="470">
        <v>5.5999999999999994E-2</v>
      </c>
      <c r="L51" s="470">
        <v>0.215</v>
      </c>
      <c r="M51" s="471">
        <v>0.17199999999999999</v>
      </c>
      <c r="N51" s="282">
        <f t="shared" si="1"/>
        <v>36.623999999999995</v>
      </c>
      <c r="O51" s="283">
        <f t="shared" si="2"/>
        <v>234.92</v>
      </c>
      <c r="P51" s="283">
        <f t="shared" si="2"/>
        <v>272.83499999999998</v>
      </c>
      <c r="Q51" s="283">
        <f t="shared" si="3"/>
        <v>3028.2750000000001</v>
      </c>
      <c r="R51" s="283">
        <f t="shared" si="4"/>
        <v>3301.11</v>
      </c>
      <c r="S51" s="283">
        <f t="shared" si="5"/>
        <v>3362.4279999999999</v>
      </c>
    </row>
    <row r="52" spans="1:19" ht="24.95" customHeight="1" x14ac:dyDescent="0.2">
      <c r="A52" s="284" t="s">
        <v>117</v>
      </c>
      <c r="B52" s="285" t="s">
        <v>21</v>
      </c>
      <c r="C52" s="286" t="s">
        <v>285</v>
      </c>
      <c r="D52" s="279">
        <v>52259</v>
      </c>
      <c r="E52" s="279">
        <v>2691</v>
      </c>
      <c r="F52" s="279">
        <v>13445</v>
      </c>
      <c r="G52" s="279">
        <v>2032</v>
      </c>
      <c r="H52" s="279">
        <v>29529</v>
      </c>
      <c r="I52" s="279">
        <v>4562</v>
      </c>
      <c r="J52" s="279">
        <f t="shared" si="0"/>
        <v>45006</v>
      </c>
      <c r="K52" s="470">
        <v>8.1000000000000003E-2</v>
      </c>
      <c r="L52" s="470">
        <v>0.26600000000000001</v>
      </c>
      <c r="M52" s="471">
        <v>0.20600000000000002</v>
      </c>
      <c r="N52" s="282">
        <f t="shared" si="1"/>
        <v>217.971</v>
      </c>
      <c r="O52" s="283">
        <f t="shared" si="2"/>
        <v>1089.0450000000001</v>
      </c>
      <c r="P52" s="283">
        <f t="shared" si="2"/>
        <v>540.51200000000006</v>
      </c>
      <c r="Q52" s="283">
        <f t="shared" si="3"/>
        <v>7854.7140000000009</v>
      </c>
      <c r="R52" s="283">
        <f t="shared" si="4"/>
        <v>8395.2260000000006</v>
      </c>
      <c r="S52" s="283">
        <f t="shared" si="5"/>
        <v>9271.2360000000008</v>
      </c>
    </row>
    <row r="53" spans="1:19" ht="24.95" customHeight="1" x14ac:dyDescent="0.2">
      <c r="A53" s="284" t="s">
        <v>83</v>
      </c>
      <c r="B53" s="285" t="s">
        <v>476</v>
      </c>
      <c r="C53" s="286" t="s">
        <v>286</v>
      </c>
      <c r="D53" s="279">
        <v>5895</v>
      </c>
      <c r="E53" s="279">
        <v>152</v>
      </c>
      <c r="F53" s="279">
        <v>859</v>
      </c>
      <c r="G53" s="279">
        <v>185</v>
      </c>
      <c r="H53" s="279">
        <v>3659</v>
      </c>
      <c r="I53" s="279">
        <v>1040</v>
      </c>
      <c r="J53" s="279">
        <f t="shared" si="0"/>
        <v>4703</v>
      </c>
      <c r="K53" s="470">
        <v>0.125</v>
      </c>
      <c r="L53" s="470">
        <v>0.27</v>
      </c>
      <c r="M53" s="471">
        <v>0.23300000000000001</v>
      </c>
      <c r="N53" s="282">
        <f t="shared" si="1"/>
        <v>19</v>
      </c>
      <c r="O53" s="283">
        <f t="shared" si="2"/>
        <v>107.375</v>
      </c>
      <c r="P53" s="283">
        <f t="shared" si="2"/>
        <v>49.95</v>
      </c>
      <c r="Q53" s="283">
        <f t="shared" si="3"/>
        <v>987.93000000000006</v>
      </c>
      <c r="R53" s="283">
        <f t="shared" si="4"/>
        <v>1037.8800000000001</v>
      </c>
      <c r="S53" s="283">
        <f t="shared" si="5"/>
        <v>1095.799</v>
      </c>
    </row>
    <row r="54" spans="1:19" ht="24.95" customHeight="1" x14ac:dyDescent="0.2">
      <c r="A54" s="284" t="s">
        <v>110</v>
      </c>
      <c r="B54" s="285" t="s">
        <v>20</v>
      </c>
      <c r="C54" s="286" t="s">
        <v>285</v>
      </c>
      <c r="D54" s="279">
        <v>169005</v>
      </c>
      <c r="E54" s="279">
        <v>5405</v>
      </c>
      <c r="F54" s="279">
        <v>33695</v>
      </c>
      <c r="G54" s="279">
        <v>6718</v>
      </c>
      <c r="H54" s="279">
        <v>98158</v>
      </c>
      <c r="I54" s="279">
        <v>25029</v>
      </c>
      <c r="J54" s="279">
        <f t="shared" si="0"/>
        <v>138571</v>
      </c>
      <c r="K54" s="470">
        <v>7.0000000000000007E-2</v>
      </c>
      <c r="L54" s="470">
        <v>0.223</v>
      </c>
      <c r="M54" s="471">
        <v>0.17800000000000002</v>
      </c>
      <c r="N54" s="282">
        <f t="shared" si="1"/>
        <v>378.35</v>
      </c>
      <c r="O54" s="283">
        <f t="shared" si="2"/>
        <v>2358.65</v>
      </c>
      <c r="P54" s="283">
        <f t="shared" si="2"/>
        <v>1498.114</v>
      </c>
      <c r="Q54" s="283">
        <f t="shared" si="3"/>
        <v>21889.234</v>
      </c>
      <c r="R54" s="283">
        <f t="shared" si="4"/>
        <v>23387.348000000002</v>
      </c>
      <c r="S54" s="283">
        <f t="shared" si="5"/>
        <v>24665.638000000003</v>
      </c>
    </row>
    <row r="55" spans="1:19" ht="24.95" customHeight="1" x14ac:dyDescent="0.2">
      <c r="A55" s="284" t="s">
        <v>134</v>
      </c>
      <c r="B55" s="285" t="s">
        <v>292</v>
      </c>
      <c r="C55" s="286" t="s">
        <v>286</v>
      </c>
      <c r="D55" s="279">
        <v>41070</v>
      </c>
      <c r="E55" s="279">
        <v>1117</v>
      </c>
      <c r="F55" s="279">
        <v>6119</v>
      </c>
      <c r="G55" s="279">
        <v>3815</v>
      </c>
      <c r="H55" s="279">
        <v>22475</v>
      </c>
      <c r="I55" s="279">
        <v>7544</v>
      </c>
      <c r="J55" s="279">
        <f t="shared" si="0"/>
        <v>32409</v>
      </c>
      <c r="K55" s="470">
        <v>0.1</v>
      </c>
      <c r="L55" s="470">
        <v>0.28999999999999998</v>
      </c>
      <c r="M55" s="471">
        <v>0.245</v>
      </c>
      <c r="N55" s="282">
        <f t="shared" si="1"/>
        <v>111.7</v>
      </c>
      <c r="O55" s="283">
        <f t="shared" si="2"/>
        <v>611.9</v>
      </c>
      <c r="P55" s="283">
        <f t="shared" si="2"/>
        <v>1106.3499999999999</v>
      </c>
      <c r="Q55" s="283">
        <f t="shared" si="3"/>
        <v>6517.75</v>
      </c>
      <c r="R55" s="283">
        <f t="shared" si="4"/>
        <v>7624.1</v>
      </c>
      <c r="S55" s="283">
        <f t="shared" si="5"/>
        <v>7940.2049999999999</v>
      </c>
    </row>
    <row r="56" spans="1:19" ht="24.95" customHeight="1" x14ac:dyDescent="0.2">
      <c r="A56" s="284" t="s">
        <v>48</v>
      </c>
      <c r="B56" s="285" t="s">
        <v>13</v>
      </c>
      <c r="C56" s="286" t="s">
        <v>285</v>
      </c>
      <c r="D56" s="279">
        <v>182580</v>
      </c>
      <c r="E56" s="279">
        <v>6841</v>
      </c>
      <c r="F56" s="279">
        <v>40872</v>
      </c>
      <c r="G56" s="279">
        <v>7063</v>
      </c>
      <c r="H56" s="279">
        <v>105186</v>
      </c>
      <c r="I56" s="279">
        <v>22618</v>
      </c>
      <c r="J56" s="279">
        <f t="shared" si="0"/>
        <v>153121</v>
      </c>
      <c r="K56" s="470">
        <v>7.8E-2</v>
      </c>
      <c r="L56" s="470">
        <v>0.24600000000000002</v>
      </c>
      <c r="M56" s="471">
        <v>0.193</v>
      </c>
      <c r="N56" s="282">
        <f t="shared" si="1"/>
        <v>533.59799999999996</v>
      </c>
      <c r="O56" s="283">
        <f t="shared" si="2"/>
        <v>3188.0160000000001</v>
      </c>
      <c r="P56" s="283">
        <f t="shared" si="2"/>
        <v>1737.4980000000003</v>
      </c>
      <c r="Q56" s="283">
        <f t="shared" si="3"/>
        <v>25875.756000000001</v>
      </c>
      <c r="R56" s="283">
        <f t="shared" si="4"/>
        <v>27613.254000000001</v>
      </c>
      <c r="S56" s="283">
        <f t="shared" si="5"/>
        <v>29552.352999999999</v>
      </c>
    </row>
    <row r="57" spans="1:19" ht="24.95" customHeight="1" x14ac:dyDescent="0.2">
      <c r="A57" s="284" t="s">
        <v>84</v>
      </c>
      <c r="B57" s="285" t="s">
        <v>476</v>
      </c>
      <c r="C57" s="286" t="s">
        <v>285</v>
      </c>
      <c r="D57" s="279">
        <v>10601</v>
      </c>
      <c r="E57" s="279">
        <v>308</v>
      </c>
      <c r="F57" s="279">
        <v>1862</v>
      </c>
      <c r="G57" s="279">
        <v>294</v>
      </c>
      <c r="H57" s="279">
        <v>6086</v>
      </c>
      <c r="I57" s="279">
        <v>2051</v>
      </c>
      <c r="J57" s="279">
        <f t="shared" si="0"/>
        <v>8242</v>
      </c>
      <c r="K57" s="470">
        <v>9.4E-2</v>
      </c>
      <c r="L57" s="470">
        <v>0.255</v>
      </c>
      <c r="M57" s="471">
        <v>0.215</v>
      </c>
      <c r="N57" s="282">
        <f t="shared" si="1"/>
        <v>28.952000000000002</v>
      </c>
      <c r="O57" s="283">
        <f t="shared" si="2"/>
        <v>175.02799999999999</v>
      </c>
      <c r="P57" s="283">
        <f t="shared" si="2"/>
        <v>74.97</v>
      </c>
      <c r="Q57" s="283">
        <f t="shared" si="3"/>
        <v>1551.93</v>
      </c>
      <c r="R57" s="283">
        <f t="shared" si="4"/>
        <v>1626.9</v>
      </c>
      <c r="S57" s="283">
        <f t="shared" si="5"/>
        <v>1772.03</v>
      </c>
    </row>
    <row r="58" spans="1:19" ht="24.95" customHeight="1" x14ac:dyDescent="0.2">
      <c r="A58" s="284" t="s">
        <v>118</v>
      </c>
      <c r="B58" s="285" t="s">
        <v>21</v>
      </c>
      <c r="C58" s="286" t="s">
        <v>286</v>
      </c>
      <c r="D58" s="279">
        <v>60962</v>
      </c>
      <c r="E58" s="279">
        <v>2405</v>
      </c>
      <c r="F58" s="279">
        <v>12794</v>
      </c>
      <c r="G58" s="279">
        <v>2356</v>
      </c>
      <c r="H58" s="279">
        <v>33972</v>
      </c>
      <c r="I58" s="279">
        <v>9435</v>
      </c>
      <c r="J58" s="279">
        <f t="shared" si="0"/>
        <v>49122</v>
      </c>
      <c r="K58" s="470">
        <v>8.4000000000000005E-2</v>
      </c>
      <c r="L58" s="470">
        <v>0.26899999999999996</v>
      </c>
      <c r="M58" s="471">
        <v>0.21199999999999999</v>
      </c>
      <c r="N58" s="282">
        <f t="shared" si="1"/>
        <v>202.02</v>
      </c>
      <c r="O58" s="283">
        <f t="shared" si="2"/>
        <v>1074.6960000000001</v>
      </c>
      <c r="P58" s="283">
        <f t="shared" si="2"/>
        <v>633.7639999999999</v>
      </c>
      <c r="Q58" s="283">
        <f t="shared" si="3"/>
        <v>9138.4679999999989</v>
      </c>
      <c r="R58" s="283">
        <f t="shared" si="4"/>
        <v>9772.2319999999982</v>
      </c>
      <c r="S58" s="283">
        <f t="shared" si="5"/>
        <v>10413.864</v>
      </c>
    </row>
    <row r="59" spans="1:19" ht="24.95" customHeight="1" x14ac:dyDescent="0.2">
      <c r="A59" s="284" t="s">
        <v>98</v>
      </c>
      <c r="B59" s="285" t="s">
        <v>18</v>
      </c>
      <c r="C59" s="286" t="s">
        <v>286</v>
      </c>
      <c r="D59" s="279">
        <v>58950</v>
      </c>
      <c r="E59" s="279">
        <v>1895</v>
      </c>
      <c r="F59" s="279">
        <v>11377</v>
      </c>
      <c r="G59" s="279">
        <v>2192</v>
      </c>
      <c r="H59" s="279">
        <v>32853</v>
      </c>
      <c r="I59" s="279">
        <v>10633</v>
      </c>
      <c r="J59" s="279">
        <f t="shared" si="0"/>
        <v>46422</v>
      </c>
      <c r="K59" s="470">
        <v>6.3E-2</v>
      </c>
      <c r="L59" s="470">
        <v>0.245</v>
      </c>
      <c r="M59" s="471">
        <v>0.19399999999999998</v>
      </c>
      <c r="N59" s="282">
        <f t="shared" si="1"/>
        <v>119.38500000000001</v>
      </c>
      <c r="O59" s="283">
        <f t="shared" si="2"/>
        <v>716.75099999999998</v>
      </c>
      <c r="P59" s="283">
        <f t="shared" si="2"/>
        <v>537.04</v>
      </c>
      <c r="Q59" s="283">
        <f t="shared" si="3"/>
        <v>8048.9849999999997</v>
      </c>
      <c r="R59" s="283">
        <f t="shared" si="4"/>
        <v>8586.0249999999996</v>
      </c>
      <c r="S59" s="283">
        <f t="shared" si="5"/>
        <v>9005.8679999999986</v>
      </c>
    </row>
    <row r="60" spans="1:19" ht="24.95" customHeight="1" x14ac:dyDescent="0.2">
      <c r="A60" s="284" t="s">
        <v>111</v>
      </c>
      <c r="B60" s="285" t="s">
        <v>20</v>
      </c>
      <c r="C60" s="286" t="s">
        <v>285</v>
      </c>
      <c r="D60" s="279">
        <v>80813</v>
      </c>
      <c r="E60" s="279">
        <v>2339</v>
      </c>
      <c r="F60" s="279">
        <v>14899</v>
      </c>
      <c r="G60" s="279">
        <v>3049</v>
      </c>
      <c r="H60" s="279">
        <v>47422</v>
      </c>
      <c r="I60" s="279">
        <v>13104</v>
      </c>
      <c r="J60" s="279">
        <f t="shared" si="0"/>
        <v>65370</v>
      </c>
      <c r="K60" s="470">
        <v>8.199999999999999E-2</v>
      </c>
      <c r="L60" s="470">
        <v>0.22399999999999998</v>
      </c>
      <c r="M60" s="471">
        <v>0.18600000000000003</v>
      </c>
      <c r="N60" s="282">
        <f t="shared" si="1"/>
        <v>191.79799999999997</v>
      </c>
      <c r="O60" s="283">
        <f t="shared" si="2"/>
        <v>1221.7179999999998</v>
      </c>
      <c r="P60" s="283">
        <f t="shared" si="2"/>
        <v>682.97599999999989</v>
      </c>
      <c r="Q60" s="283">
        <f t="shared" si="3"/>
        <v>10622.527999999998</v>
      </c>
      <c r="R60" s="283">
        <f t="shared" si="4"/>
        <v>11305.503999999999</v>
      </c>
      <c r="S60" s="283">
        <f t="shared" si="5"/>
        <v>12158.820000000002</v>
      </c>
    </row>
    <row r="61" spans="1:19" ht="24.95" customHeight="1" x14ac:dyDescent="0.2">
      <c r="A61" s="284" t="s">
        <v>135</v>
      </c>
      <c r="B61" s="285" t="s">
        <v>292</v>
      </c>
      <c r="C61" s="286" t="s">
        <v>286</v>
      </c>
      <c r="D61" s="279">
        <v>34179</v>
      </c>
      <c r="E61" s="279">
        <v>1037</v>
      </c>
      <c r="F61" s="279">
        <v>5426</v>
      </c>
      <c r="G61" s="279">
        <v>1087</v>
      </c>
      <c r="H61" s="279">
        <v>17347</v>
      </c>
      <c r="I61" s="279">
        <v>9282</v>
      </c>
      <c r="J61" s="279">
        <f t="shared" si="0"/>
        <v>23860</v>
      </c>
      <c r="K61" s="470">
        <v>0.111</v>
      </c>
      <c r="L61" s="470">
        <v>0.30199999999999999</v>
      </c>
      <c r="M61" s="471">
        <v>0.253</v>
      </c>
      <c r="N61" s="282">
        <f t="shared" si="1"/>
        <v>115.107</v>
      </c>
      <c r="O61" s="283">
        <f t="shared" si="2"/>
        <v>602.28600000000006</v>
      </c>
      <c r="P61" s="283">
        <f t="shared" si="2"/>
        <v>328.274</v>
      </c>
      <c r="Q61" s="283">
        <f t="shared" si="3"/>
        <v>5238.7939999999999</v>
      </c>
      <c r="R61" s="283">
        <f t="shared" si="4"/>
        <v>5567.0680000000002</v>
      </c>
      <c r="S61" s="283">
        <f t="shared" si="5"/>
        <v>6036.58</v>
      </c>
    </row>
    <row r="62" spans="1:19" ht="24.95" customHeight="1" x14ac:dyDescent="0.2">
      <c r="A62" s="284" t="s">
        <v>136</v>
      </c>
      <c r="B62" s="285" t="s">
        <v>292</v>
      </c>
      <c r="C62" s="286" t="s">
        <v>285</v>
      </c>
      <c r="D62" s="279">
        <v>21508</v>
      </c>
      <c r="E62" s="279">
        <v>560</v>
      </c>
      <c r="F62" s="279">
        <v>3379</v>
      </c>
      <c r="G62" s="279">
        <v>1246</v>
      </c>
      <c r="H62" s="279">
        <v>11849</v>
      </c>
      <c r="I62" s="279">
        <v>4474</v>
      </c>
      <c r="J62" s="279">
        <f t="shared" si="0"/>
        <v>16474</v>
      </c>
      <c r="K62" s="470">
        <v>6.9000000000000006E-2</v>
      </c>
      <c r="L62" s="470">
        <v>0.214</v>
      </c>
      <c r="M62" s="471">
        <v>0.17699999999999999</v>
      </c>
      <c r="N62" s="282">
        <f t="shared" si="1"/>
        <v>38.64</v>
      </c>
      <c r="O62" s="283">
        <f t="shared" si="2"/>
        <v>233.15100000000001</v>
      </c>
      <c r="P62" s="283">
        <f t="shared" si="2"/>
        <v>266.64400000000001</v>
      </c>
      <c r="Q62" s="283">
        <f t="shared" si="3"/>
        <v>2535.6860000000001</v>
      </c>
      <c r="R62" s="283">
        <f t="shared" si="4"/>
        <v>2802.33</v>
      </c>
      <c r="S62" s="283">
        <f t="shared" si="5"/>
        <v>2915.8979999999997</v>
      </c>
    </row>
    <row r="63" spans="1:19" ht="24.95" customHeight="1" x14ac:dyDescent="0.2">
      <c r="A63" s="284" t="s">
        <v>85</v>
      </c>
      <c r="B63" s="285" t="s">
        <v>476</v>
      </c>
      <c r="C63" s="286" t="s">
        <v>286</v>
      </c>
      <c r="D63" s="279">
        <v>23448</v>
      </c>
      <c r="E63" s="279">
        <v>705</v>
      </c>
      <c r="F63" s="279">
        <v>4180</v>
      </c>
      <c r="G63" s="279">
        <v>703</v>
      </c>
      <c r="H63" s="279">
        <v>13000</v>
      </c>
      <c r="I63" s="279">
        <v>4860</v>
      </c>
      <c r="J63" s="279">
        <f t="shared" si="0"/>
        <v>17883</v>
      </c>
      <c r="K63" s="470">
        <v>6.6000000000000003E-2</v>
      </c>
      <c r="L63" s="470">
        <v>0.21</v>
      </c>
      <c r="M63" s="471">
        <v>0.17199999999999999</v>
      </c>
      <c r="N63" s="282">
        <f t="shared" si="1"/>
        <v>46.53</v>
      </c>
      <c r="O63" s="283">
        <f t="shared" si="2"/>
        <v>275.88</v>
      </c>
      <c r="P63" s="283">
        <f t="shared" si="2"/>
        <v>147.63</v>
      </c>
      <c r="Q63" s="283">
        <f t="shared" si="3"/>
        <v>2730</v>
      </c>
      <c r="R63" s="283">
        <f t="shared" si="4"/>
        <v>2877.63</v>
      </c>
      <c r="S63" s="283">
        <f t="shared" si="5"/>
        <v>3075.8759999999997</v>
      </c>
    </row>
    <row r="64" spans="1:19" ht="24.95" customHeight="1" x14ac:dyDescent="0.2">
      <c r="A64" s="284" t="s">
        <v>137</v>
      </c>
      <c r="B64" s="285" t="s">
        <v>292</v>
      </c>
      <c r="C64" s="286" t="s">
        <v>286</v>
      </c>
      <c r="D64" s="279">
        <v>45317</v>
      </c>
      <c r="E64" s="279">
        <v>1331</v>
      </c>
      <c r="F64" s="279">
        <v>7949</v>
      </c>
      <c r="G64" s="279">
        <v>1573</v>
      </c>
      <c r="H64" s="279">
        <v>25792</v>
      </c>
      <c r="I64" s="279">
        <v>8672</v>
      </c>
      <c r="J64" s="279">
        <f t="shared" si="0"/>
        <v>35314</v>
      </c>
      <c r="K64" s="470">
        <v>6.3E-2</v>
      </c>
      <c r="L64" s="470">
        <v>0.21899999999999997</v>
      </c>
      <c r="M64" s="471">
        <v>0.17800000000000002</v>
      </c>
      <c r="N64" s="282">
        <f t="shared" si="1"/>
        <v>83.852999999999994</v>
      </c>
      <c r="O64" s="283">
        <f t="shared" si="2"/>
        <v>500.78699999999998</v>
      </c>
      <c r="P64" s="283">
        <f t="shared" si="2"/>
        <v>344.48699999999997</v>
      </c>
      <c r="Q64" s="283">
        <f t="shared" si="3"/>
        <v>5648.4479999999994</v>
      </c>
      <c r="R64" s="283">
        <f t="shared" si="4"/>
        <v>5992.9349999999995</v>
      </c>
      <c r="S64" s="283">
        <f t="shared" si="5"/>
        <v>6285.8920000000007</v>
      </c>
    </row>
    <row r="65" spans="1:19" ht="24.95" customHeight="1" x14ac:dyDescent="0.2">
      <c r="A65" s="284" t="s">
        <v>105</v>
      </c>
      <c r="B65" s="285" t="s">
        <v>14</v>
      </c>
      <c r="C65" s="286" t="s">
        <v>285</v>
      </c>
      <c r="D65" s="279">
        <v>1032073</v>
      </c>
      <c r="E65" s="279">
        <v>41410</v>
      </c>
      <c r="F65" s="279">
        <v>208925</v>
      </c>
      <c r="G65" s="279">
        <v>36361</v>
      </c>
      <c r="H65" s="279">
        <v>638333</v>
      </c>
      <c r="I65" s="279">
        <v>107044</v>
      </c>
      <c r="J65" s="279">
        <f t="shared" si="0"/>
        <v>883619</v>
      </c>
      <c r="K65" s="470">
        <v>7.0999999999999994E-2</v>
      </c>
      <c r="L65" s="470">
        <v>0.23</v>
      </c>
      <c r="M65" s="471">
        <v>0.185</v>
      </c>
      <c r="N65" s="282">
        <f t="shared" si="1"/>
        <v>2940.1099999999997</v>
      </c>
      <c r="O65" s="283">
        <f t="shared" si="2"/>
        <v>14833.674999999999</v>
      </c>
      <c r="P65" s="283">
        <f t="shared" si="2"/>
        <v>8363.0300000000007</v>
      </c>
      <c r="Q65" s="283">
        <f t="shared" si="3"/>
        <v>146816.59</v>
      </c>
      <c r="R65" s="283">
        <f t="shared" si="4"/>
        <v>155179.62</v>
      </c>
      <c r="S65" s="283">
        <f t="shared" si="5"/>
        <v>163469.51499999998</v>
      </c>
    </row>
    <row r="66" spans="1:19" ht="24.95" customHeight="1" x14ac:dyDescent="0.2">
      <c r="A66" s="284" t="s">
        <v>138</v>
      </c>
      <c r="B66" s="285" t="s">
        <v>292</v>
      </c>
      <c r="C66" s="286" t="s">
        <v>286</v>
      </c>
      <c r="D66" s="279">
        <v>15337</v>
      </c>
      <c r="E66" s="279">
        <v>452</v>
      </c>
      <c r="F66" s="279">
        <v>2381</v>
      </c>
      <c r="G66" s="279">
        <v>371</v>
      </c>
      <c r="H66" s="279">
        <v>8614</v>
      </c>
      <c r="I66" s="279">
        <v>3519</v>
      </c>
      <c r="J66" s="279">
        <f t="shared" si="0"/>
        <v>11366</v>
      </c>
      <c r="K66" s="470">
        <v>7.2999999999999995E-2</v>
      </c>
      <c r="L66" s="470">
        <v>0.22399999999999998</v>
      </c>
      <c r="M66" s="471">
        <v>0.187</v>
      </c>
      <c r="N66" s="282">
        <f t="shared" si="1"/>
        <v>32.995999999999995</v>
      </c>
      <c r="O66" s="283">
        <f t="shared" si="2"/>
        <v>173.81299999999999</v>
      </c>
      <c r="P66" s="283">
        <f t="shared" si="2"/>
        <v>83.103999999999985</v>
      </c>
      <c r="Q66" s="283">
        <f t="shared" si="3"/>
        <v>1929.5359999999998</v>
      </c>
      <c r="R66" s="283">
        <f t="shared" si="4"/>
        <v>2012.6399999999999</v>
      </c>
      <c r="S66" s="283">
        <f t="shared" si="5"/>
        <v>2125.442</v>
      </c>
    </row>
    <row r="67" spans="1:19" ht="24.95" customHeight="1" x14ac:dyDescent="0.2">
      <c r="A67" s="284" t="s">
        <v>119</v>
      </c>
      <c r="B67" s="285" t="s">
        <v>21</v>
      </c>
      <c r="C67" s="286" t="s">
        <v>286</v>
      </c>
      <c r="D67" s="279">
        <v>27716</v>
      </c>
      <c r="E67" s="279">
        <v>904</v>
      </c>
      <c r="F67" s="279">
        <v>5369</v>
      </c>
      <c r="G67" s="279">
        <v>1133</v>
      </c>
      <c r="H67" s="279">
        <v>15033</v>
      </c>
      <c r="I67" s="279">
        <v>5277</v>
      </c>
      <c r="J67" s="279">
        <f t="shared" si="0"/>
        <v>21535</v>
      </c>
      <c r="K67" s="470">
        <v>0.09</v>
      </c>
      <c r="L67" s="470">
        <v>0.29100000000000004</v>
      </c>
      <c r="M67" s="471">
        <v>0.23199999999999998</v>
      </c>
      <c r="N67" s="282">
        <f t="shared" si="1"/>
        <v>81.36</v>
      </c>
      <c r="O67" s="283">
        <f t="shared" si="2"/>
        <v>483.21</v>
      </c>
      <c r="P67" s="283">
        <f t="shared" si="2"/>
        <v>329.70300000000003</v>
      </c>
      <c r="Q67" s="283">
        <f t="shared" si="3"/>
        <v>4374.603000000001</v>
      </c>
      <c r="R67" s="283">
        <f t="shared" si="4"/>
        <v>4704.3060000000014</v>
      </c>
      <c r="S67" s="283">
        <f t="shared" si="5"/>
        <v>4996.12</v>
      </c>
    </row>
    <row r="68" spans="1:19" ht="24.95" customHeight="1" x14ac:dyDescent="0.2">
      <c r="A68" s="284" t="s">
        <v>120</v>
      </c>
      <c r="B68" s="285" t="s">
        <v>21</v>
      </c>
      <c r="C68" s="286" t="s">
        <v>286</v>
      </c>
      <c r="D68" s="279">
        <v>94254</v>
      </c>
      <c r="E68" s="279">
        <v>2954</v>
      </c>
      <c r="F68" s="279">
        <v>16739</v>
      </c>
      <c r="G68" s="279">
        <v>3017</v>
      </c>
      <c r="H68" s="279">
        <v>47869</v>
      </c>
      <c r="I68" s="279">
        <v>23675</v>
      </c>
      <c r="J68" s="279">
        <f t="shared" si="0"/>
        <v>67625</v>
      </c>
      <c r="K68" s="470">
        <v>7.4999999999999997E-2</v>
      </c>
      <c r="L68" s="470">
        <v>0.21</v>
      </c>
      <c r="M68" s="471">
        <v>0.17100000000000001</v>
      </c>
      <c r="N68" s="282">
        <f t="shared" si="1"/>
        <v>221.54999999999998</v>
      </c>
      <c r="O68" s="283">
        <f t="shared" si="2"/>
        <v>1255.425</v>
      </c>
      <c r="P68" s="283">
        <f t="shared" si="2"/>
        <v>633.56999999999994</v>
      </c>
      <c r="Q68" s="283">
        <f t="shared" si="3"/>
        <v>10052.49</v>
      </c>
      <c r="R68" s="283">
        <f t="shared" si="4"/>
        <v>10686.06</v>
      </c>
      <c r="S68" s="283">
        <f t="shared" si="5"/>
        <v>11563.875</v>
      </c>
    </row>
    <row r="69" spans="1:19" ht="24.95" customHeight="1" x14ac:dyDescent="0.2">
      <c r="A69" s="284" t="s">
        <v>99</v>
      </c>
      <c r="B69" s="285" t="s">
        <v>18</v>
      </c>
      <c r="C69" s="286" t="s">
        <v>285</v>
      </c>
      <c r="D69" s="279">
        <v>94056</v>
      </c>
      <c r="E69" s="279">
        <v>3074</v>
      </c>
      <c r="F69" s="279">
        <v>17752</v>
      </c>
      <c r="G69" s="279">
        <v>3505</v>
      </c>
      <c r="H69" s="279">
        <v>53974</v>
      </c>
      <c r="I69" s="279">
        <v>15751</v>
      </c>
      <c r="J69" s="279">
        <f t="shared" si="0"/>
        <v>75231</v>
      </c>
      <c r="K69" s="470">
        <v>6.7000000000000004E-2</v>
      </c>
      <c r="L69" s="470">
        <v>0.22</v>
      </c>
      <c r="M69" s="471">
        <v>0.17699999999999999</v>
      </c>
      <c r="N69" s="282">
        <f t="shared" si="1"/>
        <v>205.958</v>
      </c>
      <c r="O69" s="283">
        <f t="shared" si="2"/>
        <v>1189.384</v>
      </c>
      <c r="P69" s="283">
        <f t="shared" si="2"/>
        <v>771.1</v>
      </c>
      <c r="Q69" s="283">
        <f t="shared" si="3"/>
        <v>11874.28</v>
      </c>
      <c r="R69" s="283">
        <f t="shared" si="4"/>
        <v>12645.380000000001</v>
      </c>
      <c r="S69" s="283">
        <f t="shared" si="5"/>
        <v>13315.886999999999</v>
      </c>
    </row>
    <row r="70" spans="1:19" ht="24.95" customHeight="1" x14ac:dyDescent="0.2">
      <c r="A70" s="284" t="s">
        <v>71</v>
      </c>
      <c r="B70" s="285" t="s">
        <v>476</v>
      </c>
      <c r="C70" s="286" t="s">
        <v>285</v>
      </c>
      <c r="D70" s="279">
        <v>221590</v>
      </c>
      <c r="E70" s="279">
        <v>6543</v>
      </c>
      <c r="F70" s="279">
        <v>35322</v>
      </c>
      <c r="G70" s="279">
        <v>11820</v>
      </c>
      <c r="H70" s="279">
        <v>132369</v>
      </c>
      <c r="I70" s="279">
        <v>35536</v>
      </c>
      <c r="J70" s="279">
        <f t="shared" ref="J70:J105" si="6">SUM(F70:H70)</f>
        <v>179511</v>
      </c>
      <c r="K70" s="470">
        <v>6.5000000000000002E-2</v>
      </c>
      <c r="L70" s="470">
        <v>0.22600000000000001</v>
      </c>
      <c r="M70" s="471">
        <v>0.18600000000000003</v>
      </c>
      <c r="N70" s="282">
        <f t="shared" si="1"/>
        <v>425.29500000000002</v>
      </c>
      <c r="O70" s="283">
        <f t="shared" si="2"/>
        <v>2295.9300000000003</v>
      </c>
      <c r="P70" s="283">
        <f t="shared" si="2"/>
        <v>2671.32</v>
      </c>
      <c r="Q70" s="283">
        <f t="shared" si="3"/>
        <v>29915.394</v>
      </c>
      <c r="R70" s="283">
        <f t="shared" si="4"/>
        <v>32586.714</v>
      </c>
      <c r="S70" s="283">
        <f t="shared" si="5"/>
        <v>33389.046000000002</v>
      </c>
    </row>
    <row r="71" spans="1:19" ht="24.95" customHeight="1" x14ac:dyDescent="0.2">
      <c r="A71" s="284" t="s">
        <v>86</v>
      </c>
      <c r="B71" s="285" t="s">
        <v>476</v>
      </c>
      <c r="C71" s="286" t="s">
        <v>286</v>
      </c>
      <c r="D71" s="279">
        <v>20720</v>
      </c>
      <c r="E71" s="279">
        <v>543</v>
      </c>
      <c r="F71" s="279">
        <v>3425</v>
      </c>
      <c r="G71" s="279">
        <v>535</v>
      </c>
      <c r="H71" s="279">
        <v>11640</v>
      </c>
      <c r="I71" s="279">
        <v>4577</v>
      </c>
      <c r="J71" s="279">
        <f t="shared" si="6"/>
        <v>15600</v>
      </c>
      <c r="K71" s="470">
        <v>5.5999999999999994E-2</v>
      </c>
      <c r="L71" s="470">
        <v>0.19899999999999998</v>
      </c>
      <c r="M71" s="471">
        <v>0.16200000000000001</v>
      </c>
      <c r="N71" s="282">
        <f t="shared" ref="N71:N105" si="7">E71*K71</f>
        <v>30.407999999999998</v>
      </c>
      <c r="O71" s="283">
        <f t="shared" ref="O71:P105" si="8">F71*K71</f>
        <v>191.79999999999998</v>
      </c>
      <c r="P71" s="283">
        <f t="shared" si="8"/>
        <v>106.46499999999999</v>
      </c>
      <c r="Q71" s="283">
        <f t="shared" ref="Q71:Q105" si="9">H71*L71</f>
        <v>2316.3599999999997</v>
      </c>
      <c r="R71" s="283">
        <f t="shared" ref="R71:R105" si="10">SUM(P71:Q71)</f>
        <v>2422.8249999999998</v>
      </c>
      <c r="S71" s="283">
        <f t="shared" ref="S71:S105" si="11">J71*M71</f>
        <v>2527.2000000000003</v>
      </c>
    </row>
    <row r="72" spans="1:19" ht="24.95" customHeight="1" x14ac:dyDescent="0.2">
      <c r="A72" s="284" t="s">
        <v>72</v>
      </c>
      <c r="B72" s="285" t="s">
        <v>476</v>
      </c>
      <c r="C72" s="286" t="s">
        <v>285</v>
      </c>
      <c r="D72" s="279">
        <v>200922</v>
      </c>
      <c r="E72" s="279">
        <v>12797</v>
      </c>
      <c r="F72" s="279">
        <v>44088</v>
      </c>
      <c r="G72" s="279">
        <v>14823</v>
      </c>
      <c r="H72" s="279">
        <v>112046</v>
      </c>
      <c r="I72" s="279">
        <v>17168</v>
      </c>
      <c r="J72" s="279">
        <f t="shared" si="6"/>
        <v>170957</v>
      </c>
      <c r="K72" s="470">
        <v>6.4000000000000001E-2</v>
      </c>
      <c r="L72" s="470">
        <v>0.20199999999999999</v>
      </c>
      <c r="M72" s="471">
        <v>0.159</v>
      </c>
      <c r="N72" s="282">
        <f t="shared" si="7"/>
        <v>819.00800000000004</v>
      </c>
      <c r="O72" s="283">
        <f t="shared" si="8"/>
        <v>2821.6320000000001</v>
      </c>
      <c r="P72" s="283">
        <f t="shared" si="8"/>
        <v>2994.2459999999996</v>
      </c>
      <c r="Q72" s="283">
        <f t="shared" si="9"/>
        <v>22633.291999999998</v>
      </c>
      <c r="R72" s="283">
        <f t="shared" si="10"/>
        <v>25627.537999999997</v>
      </c>
      <c r="S72" s="283">
        <f t="shared" si="11"/>
        <v>27182.163</v>
      </c>
    </row>
    <row r="73" spans="1:19" ht="24.95" customHeight="1" x14ac:dyDescent="0.2">
      <c r="A73" s="284" t="s">
        <v>58</v>
      </c>
      <c r="B73" s="285" t="s">
        <v>14</v>
      </c>
      <c r="C73" s="286" t="s">
        <v>285</v>
      </c>
      <c r="D73" s="279">
        <v>143063</v>
      </c>
      <c r="E73" s="279">
        <v>3688</v>
      </c>
      <c r="F73" s="279">
        <v>24245</v>
      </c>
      <c r="G73" s="279">
        <v>12235</v>
      </c>
      <c r="H73" s="279">
        <v>85617</v>
      </c>
      <c r="I73" s="279">
        <v>17278</v>
      </c>
      <c r="J73" s="279">
        <f t="shared" si="6"/>
        <v>122097</v>
      </c>
      <c r="K73" s="470">
        <v>7.2999999999999995E-2</v>
      </c>
      <c r="L73" s="470">
        <v>0.18</v>
      </c>
      <c r="M73" s="471">
        <v>0.153</v>
      </c>
      <c r="N73" s="282">
        <f t="shared" si="7"/>
        <v>269.22399999999999</v>
      </c>
      <c r="O73" s="283">
        <f t="shared" si="8"/>
        <v>1769.885</v>
      </c>
      <c r="P73" s="283">
        <f t="shared" si="8"/>
        <v>2202.2999999999997</v>
      </c>
      <c r="Q73" s="283">
        <f t="shared" si="9"/>
        <v>15411.06</v>
      </c>
      <c r="R73" s="283">
        <f t="shared" si="10"/>
        <v>17613.36</v>
      </c>
      <c r="S73" s="283">
        <f t="shared" si="11"/>
        <v>18680.841</v>
      </c>
    </row>
    <row r="74" spans="1:19" ht="24.95" customHeight="1" x14ac:dyDescent="0.2">
      <c r="A74" s="284" t="s">
        <v>87</v>
      </c>
      <c r="B74" s="285" t="s">
        <v>476</v>
      </c>
      <c r="C74" s="286" t="s">
        <v>285</v>
      </c>
      <c r="D74" s="279">
        <v>13067</v>
      </c>
      <c r="E74" s="279">
        <v>291</v>
      </c>
      <c r="F74" s="279">
        <v>1843</v>
      </c>
      <c r="G74" s="279">
        <v>327</v>
      </c>
      <c r="H74" s="279">
        <v>7128</v>
      </c>
      <c r="I74" s="279">
        <v>3478</v>
      </c>
      <c r="J74" s="279">
        <f t="shared" si="6"/>
        <v>9298</v>
      </c>
      <c r="K74" s="470">
        <v>0.10800000000000001</v>
      </c>
      <c r="L74" s="470">
        <v>0.22899999999999998</v>
      </c>
      <c r="M74" s="471">
        <v>0.19899999999999998</v>
      </c>
      <c r="N74" s="282">
        <f t="shared" si="7"/>
        <v>31.428000000000004</v>
      </c>
      <c r="O74" s="283">
        <f t="shared" si="8"/>
        <v>199.04400000000001</v>
      </c>
      <c r="P74" s="283">
        <f t="shared" si="8"/>
        <v>74.882999999999996</v>
      </c>
      <c r="Q74" s="283">
        <f t="shared" si="9"/>
        <v>1632.3119999999999</v>
      </c>
      <c r="R74" s="283">
        <f t="shared" si="10"/>
        <v>1707.1949999999999</v>
      </c>
      <c r="S74" s="283">
        <f t="shared" si="11"/>
        <v>1850.3019999999999</v>
      </c>
    </row>
    <row r="75" spans="1:19" ht="24.95" customHeight="1" x14ac:dyDescent="0.2">
      <c r="A75" s="284" t="s">
        <v>88</v>
      </c>
      <c r="B75" s="285" t="s">
        <v>476</v>
      </c>
      <c r="C75" s="286" t="s">
        <v>286</v>
      </c>
      <c r="D75" s="279">
        <v>38919</v>
      </c>
      <c r="E75" s="279">
        <v>1330</v>
      </c>
      <c r="F75" s="279">
        <v>7579</v>
      </c>
      <c r="G75" s="279">
        <v>2172</v>
      </c>
      <c r="H75" s="279">
        <v>22001</v>
      </c>
      <c r="I75" s="279">
        <v>5837</v>
      </c>
      <c r="J75" s="279">
        <f t="shared" si="6"/>
        <v>31752</v>
      </c>
      <c r="K75" s="470">
        <v>0.06</v>
      </c>
      <c r="L75" s="470">
        <v>0.214</v>
      </c>
      <c r="M75" s="471">
        <v>0.17100000000000001</v>
      </c>
      <c r="N75" s="282">
        <f t="shared" si="7"/>
        <v>79.8</v>
      </c>
      <c r="O75" s="283">
        <f t="shared" si="8"/>
        <v>454.74</v>
      </c>
      <c r="P75" s="283">
        <f t="shared" si="8"/>
        <v>464.80799999999999</v>
      </c>
      <c r="Q75" s="283">
        <f t="shared" si="9"/>
        <v>4708.2139999999999</v>
      </c>
      <c r="R75" s="283">
        <f t="shared" si="10"/>
        <v>5173.0219999999999</v>
      </c>
      <c r="S75" s="283">
        <f t="shared" si="11"/>
        <v>5429.5920000000006</v>
      </c>
    </row>
    <row r="76" spans="1:19" ht="24.95" customHeight="1" x14ac:dyDescent="0.2">
      <c r="A76" s="284" t="s">
        <v>73</v>
      </c>
      <c r="B76" s="285" t="s">
        <v>476</v>
      </c>
      <c r="C76" s="286" t="s">
        <v>285</v>
      </c>
      <c r="D76" s="279">
        <v>57689</v>
      </c>
      <c r="E76" s="279">
        <v>1778</v>
      </c>
      <c r="F76" s="279">
        <v>10359</v>
      </c>
      <c r="G76" s="279">
        <v>2138</v>
      </c>
      <c r="H76" s="279">
        <v>33440</v>
      </c>
      <c r="I76" s="279">
        <v>9974</v>
      </c>
      <c r="J76" s="279">
        <f t="shared" si="6"/>
        <v>45937</v>
      </c>
      <c r="K76" s="470">
        <v>8.199999999999999E-2</v>
      </c>
      <c r="L76" s="470">
        <v>0.247</v>
      </c>
      <c r="M76" s="471">
        <v>0.20199999999999999</v>
      </c>
      <c r="N76" s="282">
        <f t="shared" si="7"/>
        <v>145.79599999999999</v>
      </c>
      <c r="O76" s="283">
        <f t="shared" si="8"/>
        <v>849.43799999999987</v>
      </c>
      <c r="P76" s="283">
        <f t="shared" si="8"/>
        <v>528.08600000000001</v>
      </c>
      <c r="Q76" s="283">
        <f t="shared" si="9"/>
        <v>8259.68</v>
      </c>
      <c r="R76" s="283">
        <f t="shared" si="10"/>
        <v>8787.7659999999996</v>
      </c>
      <c r="S76" s="283">
        <f t="shared" si="11"/>
        <v>9279.2739999999994</v>
      </c>
    </row>
    <row r="77" spans="1:19" ht="24.95" customHeight="1" x14ac:dyDescent="0.2">
      <c r="A77" s="284" t="s">
        <v>89</v>
      </c>
      <c r="B77" s="285" t="s">
        <v>476</v>
      </c>
      <c r="C77" s="286" t="s">
        <v>286</v>
      </c>
      <c r="D77" s="279">
        <v>14013</v>
      </c>
      <c r="E77" s="279">
        <v>401</v>
      </c>
      <c r="F77" s="279">
        <v>2288</v>
      </c>
      <c r="G77" s="279">
        <v>373</v>
      </c>
      <c r="H77" s="279">
        <v>7365</v>
      </c>
      <c r="I77" s="279">
        <v>3586</v>
      </c>
      <c r="J77" s="279">
        <f t="shared" si="6"/>
        <v>10026</v>
      </c>
      <c r="K77" s="470">
        <v>7.2999999999999995E-2</v>
      </c>
      <c r="L77" s="470">
        <v>0.20699999999999999</v>
      </c>
      <c r="M77" s="471">
        <v>0.17100000000000001</v>
      </c>
      <c r="N77" s="282">
        <f t="shared" si="7"/>
        <v>29.273</v>
      </c>
      <c r="O77" s="283">
        <f t="shared" si="8"/>
        <v>167.024</v>
      </c>
      <c r="P77" s="283">
        <f t="shared" si="8"/>
        <v>77.210999999999999</v>
      </c>
      <c r="Q77" s="283">
        <f t="shared" si="9"/>
        <v>1524.5549999999998</v>
      </c>
      <c r="R77" s="283">
        <f t="shared" si="10"/>
        <v>1601.7659999999998</v>
      </c>
      <c r="S77" s="283">
        <f t="shared" si="11"/>
        <v>1714.4460000000001</v>
      </c>
    </row>
    <row r="78" spans="1:19" ht="24.95" customHeight="1" x14ac:dyDescent="0.2">
      <c r="A78" s="284" t="s">
        <v>59</v>
      </c>
      <c r="B78" s="285" t="s">
        <v>14</v>
      </c>
      <c r="C78" s="286" t="s">
        <v>285</v>
      </c>
      <c r="D78" s="279">
        <v>39254</v>
      </c>
      <c r="E78" s="279">
        <v>1240</v>
      </c>
      <c r="F78" s="279">
        <v>7155</v>
      </c>
      <c r="G78" s="279">
        <v>1247</v>
      </c>
      <c r="H78" s="279">
        <v>22663</v>
      </c>
      <c r="I78" s="279">
        <v>6949</v>
      </c>
      <c r="J78" s="279">
        <f t="shared" si="6"/>
        <v>31065</v>
      </c>
      <c r="K78" s="470">
        <v>6.5000000000000002E-2</v>
      </c>
      <c r="L78" s="470">
        <v>0.20399999999999999</v>
      </c>
      <c r="M78" s="471">
        <v>0.16600000000000001</v>
      </c>
      <c r="N78" s="282">
        <f t="shared" si="7"/>
        <v>80.600000000000009</v>
      </c>
      <c r="O78" s="283">
        <f t="shared" si="8"/>
        <v>465.07499999999999</v>
      </c>
      <c r="P78" s="283">
        <f t="shared" si="8"/>
        <v>254.38799999999998</v>
      </c>
      <c r="Q78" s="283">
        <f t="shared" si="9"/>
        <v>4623.2519999999995</v>
      </c>
      <c r="R78" s="283">
        <f t="shared" si="10"/>
        <v>4877.6399999999994</v>
      </c>
      <c r="S78" s="283">
        <f t="shared" si="11"/>
        <v>5156.79</v>
      </c>
    </row>
    <row r="79" spans="1:19" ht="24.95" customHeight="1" x14ac:dyDescent="0.2">
      <c r="A79" s="284" t="s">
        <v>90</v>
      </c>
      <c r="B79" s="285" t="s">
        <v>476</v>
      </c>
      <c r="C79" s="286" t="s">
        <v>285</v>
      </c>
      <c r="D79" s="279">
        <v>176749</v>
      </c>
      <c r="E79" s="279">
        <v>5885</v>
      </c>
      <c r="F79" s="279">
        <v>32684</v>
      </c>
      <c r="G79" s="279">
        <v>14969</v>
      </c>
      <c r="H79" s="279">
        <v>102399</v>
      </c>
      <c r="I79" s="279">
        <v>20812</v>
      </c>
      <c r="J79" s="279">
        <f t="shared" si="6"/>
        <v>150052</v>
      </c>
      <c r="K79" s="470">
        <v>0.06</v>
      </c>
      <c r="L79" s="470">
        <v>0.218</v>
      </c>
      <c r="M79" s="471">
        <v>0.17699999999999999</v>
      </c>
      <c r="N79" s="282">
        <f t="shared" si="7"/>
        <v>353.09999999999997</v>
      </c>
      <c r="O79" s="283">
        <f t="shared" si="8"/>
        <v>1961.04</v>
      </c>
      <c r="P79" s="283">
        <f t="shared" si="8"/>
        <v>3263.2420000000002</v>
      </c>
      <c r="Q79" s="283">
        <f t="shared" si="9"/>
        <v>22322.982</v>
      </c>
      <c r="R79" s="283">
        <f t="shared" si="10"/>
        <v>25586.224000000002</v>
      </c>
      <c r="S79" s="283">
        <f t="shared" si="11"/>
        <v>26559.203999999998</v>
      </c>
    </row>
    <row r="80" spans="1:19" ht="24.95" customHeight="1" x14ac:dyDescent="0.2">
      <c r="A80" s="284" t="s">
        <v>139</v>
      </c>
      <c r="B80" s="285" t="s">
        <v>292</v>
      </c>
      <c r="C80" s="286" t="s">
        <v>286</v>
      </c>
      <c r="D80" s="279">
        <v>20754</v>
      </c>
      <c r="E80" s="279">
        <v>459</v>
      </c>
      <c r="F80" s="279">
        <v>3078</v>
      </c>
      <c r="G80" s="279">
        <v>617</v>
      </c>
      <c r="H80" s="279">
        <v>10893</v>
      </c>
      <c r="I80" s="279">
        <v>5707</v>
      </c>
      <c r="J80" s="279">
        <f t="shared" si="6"/>
        <v>14588</v>
      </c>
      <c r="K80" s="470">
        <v>0.11199999999999999</v>
      </c>
      <c r="L80" s="470">
        <v>0.25</v>
      </c>
      <c r="M80" s="471">
        <v>0.21600000000000003</v>
      </c>
      <c r="N80" s="282">
        <f t="shared" si="7"/>
        <v>51.407999999999994</v>
      </c>
      <c r="O80" s="283">
        <f t="shared" si="8"/>
        <v>344.73599999999999</v>
      </c>
      <c r="P80" s="283">
        <f t="shared" si="8"/>
        <v>154.25</v>
      </c>
      <c r="Q80" s="283">
        <f t="shared" si="9"/>
        <v>2723.25</v>
      </c>
      <c r="R80" s="283">
        <f t="shared" si="10"/>
        <v>2877.5</v>
      </c>
      <c r="S80" s="283">
        <f t="shared" si="11"/>
        <v>3151.0080000000003</v>
      </c>
    </row>
    <row r="81" spans="1:19" ht="24.95" customHeight="1" x14ac:dyDescent="0.2">
      <c r="A81" s="284" t="s">
        <v>121</v>
      </c>
      <c r="B81" s="285" t="s">
        <v>21</v>
      </c>
      <c r="C81" s="286" t="s">
        <v>285</v>
      </c>
      <c r="D81" s="279">
        <v>142599</v>
      </c>
      <c r="E81" s="279">
        <v>4714</v>
      </c>
      <c r="F81" s="279">
        <v>27950</v>
      </c>
      <c r="G81" s="279">
        <v>5816</v>
      </c>
      <c r="H81" s="279">
        <v>80879</v>
      </c>
      <c r="I81" s="279">
        <v>23240</v>
      </c>
      <c r="J81" s="279">
        <f t="shared" si="6"/>
        <v>114645</v>
      </c>
      <c r="K81" s="470">
        <v>8.4000000000000005E-2</v>
      </c>
      <c r="L81" s="470">
        <v>0.26100000000000001</v>
      </c>
      <c r="M81" s="471">
        <v>0.21</v>
      </c>
      <c r="N81" s="282">
        <f t="shared" si="7"/>
        <v>395.976</v>
      </c>
      <c r="O81" s="283">
        <f t="shared" si="8"/>
        <v>2347.8000000000002</v>
      </c>
      <c r="P81" s="283">
        <f t="shared" si="8"/>
        <v>1517.9760000000001</v>
      </c>
      <c r="Q81" s="283">
        <f t="shared" si="9"/>
        <v>21109.419000000002</v>
      </c>
      <c r="R81" s="283">
        <f t="shared" si="10"/>
        <v>22627.395</v>
      </c>
      <c r="S81" s="283">
        <f t="shared" si="11"/>
        <v>24075.45</v>
      </c>
    </row>
    <row r="82" spans="1:19" ht="24.95" customHeight="1" x14ac:dyDescent="0.2">
      <c r="A82" s="284" t="s">
        <v>122</v>
      </c>
      <c r="B82" s="285" t="s">
        <v>21</v>
      </c>
      <c r="C82" s="286" t="s">
        <v>286</v>
      </c>
      <c r="D82" s="279">
        <v>45988</v>
      </c>
      <c r="E82" s="279">
        <v>1523</v>
      </c>
      <c r="F82" s="279">
        <v>9165</v>
      </c>
      <c r="G82" s="279">
        <v>2179</v>
      </c>
      <c r="H82" s="279">
        <v>25619</v>
      </c>
      <c r="I82" s="279">
        <v>7502</v>
      </c>
      <c r="J82" s="279">
        <f t="shared" si="6"/>
        <v>36963</v>
      </c>
      <c r="K82" s="470">
        <v>6.8000000000000005E-2</v>
      </c>
      <c r="L82" s="470">
        <v>0.25700000000000001</v>
      </c>
      <c r="M82" s="471">
        <v>0.20199999999999999</v>
      </c>
      <c r="N82" s="282">
        <f t="shared" si="7"/>
        <v>103.56400000000001</v>
      </c>
      <c r="O82" s="283">
        <f t="shared" si="8"/>
        <v>623.22</v>
      </c>
      <c r="P82" s="283">
        <f t="shared" si="8"/>
        <v>560.00300000000004</v>
      </c>
      <c r="Q82" s="283">
        <f t="shared" si="9"/>
        <v>6584.0830000000005</v>
      </c>
      <c r="R82" s="283">
        <f t="shared" si="10"/>
        <v>7144.0860000000002</v>
      </c>
      <c r="S82" s="283">
        <f t="shared" si="11"/>
        <v>7466.5259999999998</v>
      </c>
    </row>
    <row r="83" spans="1:19" ht="24.95" customHeight="1" x14ac:dyDescent="0.2">
      <c r="A83" s="284" t="s">
        <v>100</v>
      </c>
      <c r="B83" s="285" t="s">
        <v>18</v>
      </c>
      <c r="C83" s="286" t="s">
        <v>286</v>
      </c>
      <c r="D83" s="279">
        <v>133305</v>
      </c>
      <c r="E83" s="279">
        <v>5248</v>
      </c>
      <c r="F83" s="279">
        <v>28141</v>
      </c>
      <c r="G83" s="279">
        <v>7672</v>
      </c>
      <c r="H83" s="279">
        <v>74183</v>
      </c>
      <c r="I83" s="279">
        <v>18061</v>
      </c>
      <c r="J83" s="279">
        <f t="shared" si="6"/>
        <v>109996</v>
      </c>
      <c r="K83" s="470">
        <v>7.4999999999999997E-2</v>
      </c>
      <c r="L83" s="470">
        <v>0.32299999999999995</v>
      </c>
      <c r="M83" s="471">
        <v>0.247</v>
      </c>
      <c r="N83" s="282">
        <f t="shared" si="7"/>
        <v>393.59999999999997</v>
      </c>
      <c r="O83" s="283">
        <f t="shared" si="8"/>
        <v>2110.5749999999998</v>
      </c>
      <c r="P83" s="283">
        <f t="shared" si="8"/>
        <v>2478.0559999999996</v>
      </c>
      <c r="Q83" s="283">
        <f t="shared" si="9"/>
        <v>23961.108999999997</v>
      </c>
      <c r="R83" s="283">
        <f t="shared" si="10"/>
        <v>26439.164999999997</v>
      </c>
      <c r="S83" s="283">
        <f t="shared" si="11"/>
        <v>27169.011999999999</v>
      </c>
    </row>
    <row r="84" spans="1:19" ht="24.95" customHeight="1" x14ac:dyDescent="0.2">
      <c r="A84" s="284" t="s">
        <v>67</v>
      </c>
      <c r="B84" s="285" t="s">
        <v>15</v>
      </c>
      <c r="C84" s="286" t="s">
        <v>285</v>
      </c>
      <c r="D84" s="279">
        <v>91316</v>
      </c>
      <c r="E84" s="279">
        <v>2781</v>
      </c>
      <c r="F84" s="279">
        <v>16178</v>
      </c>
      <c r="G84" s="279">
        <v>3163</v>
      </c>
      <c r="H84" s="279">
        <v>52241</v>
      </c>
      <c r="I84" s="279">
        <v>16953</v>
      </c>
      <c r="J84" s="279">
        <f t="shared" si="6"/>
        <v>71582</v>
      </c>
      <c r="K84" s="470">
        <v>6.6000000000000003E-2</v>
      </c>
      <c r="L84" s="470">
        <v>0.223</v>
      </c>
      <c r="M84" s="471">
        <v>0.182</v>
      </c>
      <c r="N84" s="282">
        <f t="shared" si="7"/>
        <v>183.54600000000002</v>
      </c>
      <c r="O84" s="283">
        <f t="shared" si="8"/>
        <v>1067.748</v>
      </c>
      <c r="P84" s="283">
        <f t="shared" si="8"/>
        <v>705.34900000000005</v>
      </c>
      <c r="Q84" s="283">
        <f t="shared" si="9"/>
        <v>11649.743</v>
      </c>
      <c r="R84" s="283">
        <f t="shared" si="10"/>
        <v>12355.092000000001</v>
      </c>
      <c r="S84" s="283">
        <f t="shared" si="11"/>
        <v>13027.923999999999</v>
      </c>
    </row>
    <row r="85" spans="1:19" ht="24.95" customHeight="1" x14ac:dyDescent="0.2">
      <c r="A85" s="284" t="s">
        <v>60</v>
      </c>
      <c r="B85" s="285" t="s">
        <v>14</v>
      </c>
      <c r="C85" s="286" t="s">
        <v>285</v>
      </c>
      <c r="D85" s="279">
        <v>139457</v>
      </c>
      <c r="E85" s="279">
        <v>4473</v>
      </c>
      <c r="F85" s="279">
        <v>26893</v>
      </c>
      <c r="G85" s="279">
        <v>5684</v>
      </c>
      <c r="H85" s="279">
        <v>79758</v>
      </c>
      <c r="I85" s="279">
        <v>22649</v>
      </c>
      <c r="J85" s="279">
        <f t="shared" si="6"/>
        <v>112335</v>
      </c>
      <c r="K85" s="470">
        <v>6.3E-2</v>
      </c>
      <c r="L85" s="470">
        <v>0.24</v>
      </c>
      <c r="M85" s="471">
        <v>0.19</v>
      </c>
      <c r="N85" s="282">
        <f t="shared" si="7"/>
        <v>281.79899999999998</v>
      </c>
      <c r="O85" s="283">
        <f t="shared" si="8"/>
        <v>1694.259</v>
      </c>
      <c r="P85" s="283">
        <f t="shared" si="8"/>
        <v>1364.1599999999999</v>
      </c>
      <c r="Q85" s="283">
        <f t="shared" si="9"/>
        <v>19141.919999999998</v>
      </c>
      <c r="R85" s="283">
        <f t="shared" si="10"/>
        <v>20506.079999999998</v>
      </c>
      <c r="S85" s="283">
        <f t="shared" si="11"/>
        <v>21343.65</v>
      </c>
    </row>
    <row r="86" spans="1:19" ht="24.95" customHeight="1" x14ac:dyDescent="0.2">
      <c r="A86" s="284" t="s">
        <v>140</v>
      </c>
      <c r="B86" s="285" t="s">
        <v>292</v>
      </c>
      <c r="C86" s="286" t="s">
        <v>286</v>
      </c>
      <c r="D86" s="279">
        <v>67359</v>
      </c>
      <c r="E86" s="279">
        <v>2092</v>
      </c>
      <c r="F86" s="279">
        <v>12116</v>
      </c>
      <c r="G86" s="279">
        <v>2422</v>
      </c>
      <c r="H86" s="279">
        <v>37394</v>
      </c>
      <c r="I86" s="279">
        <v>13335</v>
      </c>
      <c r="J86" s="279">
        <f t="shared" si="6"/>
        <v>51932</v>
      </c>
      <c r="K86" s="470">
        <v>6.2E-2</v>
      </c>
      <c r="L86" s="470">
        <v>0.23</v>
      </c>
      <c r="M86" s="471">
        <v>0.185</v>
      </c>
      <c r="N86" s="282">
        <f t="shared" si="7"/>
        <v>129.70400000000001</v>
      </c>
      <c r="O86" s="283">
        <f t="shared" si="8"/>
        <v>751.19200000000001</v>
      </c>
      <c r="P86" s="283">
        <f t="shared" si="8"/>
        <v>557.06000000000006</v>
      </c>
      <c r="Q86" s="283">
        <f t="shared" si="9"/>
        <v>8600.6200000000008</v>
      </c>
      <c r="R86" s="283">
        <f t="shared" si="10"/>
        <v>9157.68</v>
      </c>
      <c r="S86" s="283">
        <f t="shared" si="11"/>
        <v>9607.42</v>
      </c>
    </row>
    <row r="87" spans="1:19" ht="24.95" customHeight="1" x14ac:dyDescent="0.2">
      <c r="A87" s="284" t="s">
        <v>101</v>
      </c>
      <c r="B87" s="285" t="s">
        <v>18</v>
      </c>
      <c r="C87" s="286" t="s">
        <v>286</v>
      </c>
      <c r="D87" s="279">
        <v>64717</v>
      </c>
      <c r="E87" s="279">
        <v>2438</v>
      </c>
      <c r="F87" s="279">
        <v>13517</v>
      </c>
      <c r="G87" s="279">
        <v>2651</v>
      </c>
      <c r="H87" s="279">
        <v>35662</v>
      </c>
      <c r="I87" s="279">
        <v>10449</v>
      </c>
      <c r="J87" s="279">
        <f t="shared" si="6"/>
        <v>51830</v>
      </c>
      <c r="K87" s="470">
        <v>0.1</v>
      </c>
      <c r="L87" s="470">
        <v>0.29899999999999999</v>
      </c>
      <c r="M87" s="471">
        <v>0.24</v>
      </c>
      <c r="N87" s="282">
        <f t="shared" si="7"/>
        <v>243.8</v>
      </c>
      <c r="O87" s="283">
        <f t="shared" si="8"/>
        <v>1351.7</v>
      </c>
      <c r="P87" s="283">
        <f t="shared" si="8"/>
        <v>792.649</v>
      </c>
      <c r="Q87" s="283">
        <f t="shared" si="9"/>
        <v>10662.938</v>
      </c>
      <c r="R87" s="283">
        <f t="shared" si="10"/>
        <v>11455.587</v>
      </c>
      <c r="S87" s="283">
        <f t="shared" si="11"/>
        <v>12439.199999999999</v>
      </c>
    </row>
    <row r="88" spans="1:19" ht="24.95" customHeight="1" x14ac:dyDescent="0.2">
      <c r="A88" s="284" t="s">
        <v>102</v>
      </c>
      <c r="B88" s="285" t="s">
        <v>18</v>
      </c>
      <c r="C88" s="286" t="s">
        <v>286</v>
      </c>
      <c r="D88" s="279">
        <v>35952</v>
      </c>
      <c r="E88" s="279">
        <v>1279</v>
      </c>
      <c r="F88" s="279">
        <v>7256</v>
      </c>
      <c r="G88" s="279">
        <v>1432</v>
      </c>
      <c r="H88" s="279">
        <v>20207</v>
      </c>
      <c r="I88" s="279">
        <v>5778</v>
      </c>
      <c r="J88" s="279">
        <f t="shared" si="6"/>
        <v>28895</v>
      </c>
      <c r="K88" s="470">
        <v>6.2E-2</v>
      </c>
      <c r="L88" s="470">
        <v>0.23499999999999999</v>
      </c>
      <c r="M88" s="471">
        <v>0.183</v>
      </c>
      <c r="N88" s="282">
        <f t="shared" si="7"/>
        <v>79.298000000000002</v>
      </c>
      <c r="O88" s="283">
        <f t="shared" si="8"/>
        <v>449.87200000000001</v>
      </c>
      <c r="P88" s="283">
        <f t="shared" si="8"/>
        <v>336.52</v>
      </c>
      <c r="Q88" s="283">
        <f t="shared" si="9"/>
        <v>4748.6449999999995</v>
      </c>
      <c r="R88" s="283">
        <f t="shared" si="10"/>
        <v>5085.1649999999991</v>
      </c>
      <c r="S88" s="283">
        <f t="shared" si="11"/>
        <v>5287.7849999999999</v>
      </c>
    </row>
    <row r="89" spans="1:19" ht="24.95" customHeight="1" x14ac:dyDescent="0.2">
      <c r="A89" s="284" t="s">
        <v>61</v>
      </c>
      <c r="B89" s="285" t="s">
        <v>14</v>
      </c>
      <c r="C89" s="286" t="s">
        <v>286</v>
      </c>
      <c r="D89" s="279">
        <v>60820</v>
      </c>
      <c r="E89" s="279">
        <v>1860</v>
      </c>
      <c r="F89" s="279">
        <v>11089</v>
      </c>
      <c r="G89" s="279">
        <v>2331</v>
      </c>
      <c r="H89" s="279">
        <v>34759</v>
      </c>
      <c r="I89" s="279">
        <v>10781</v>
      </c>
      <c r="J89" s="279">
        <f t="shared" si="6"/>
        <v>48179</v>
      </c>
      <c r="K89" s="470">
        <v>6.9000000000000006E-2</v>
      </c>
      <c r="L89" s="470">
        <v>0.222</v>
      </c>
      <c r="M89" s="471">
        <v>0.18100000000000002</v>
      </c>
      <c r="N89" s="282">
        <f t="shared" si="7"/>
        <v>128.34</v>
      </c>
      <c r="O89" s="283">
        <f t="shared" si="8"/>
        <v>765.14100000000008</v>
      </c>
      <c r="P89" s="283">
        <f t="shared" si="8"/>
        <v>517.48199999999997</v>
      </c>
      <c r="Q89" s="283">
        <f t="shared" si="9"/>
        <v>7716.4980000000005</v>
      </c>
      <c r="R89" s="283">
        <f t="shared" si="10"/>
        <v>8233.98</v>
      </c>
      <c r="S89" s="283">
        <f t="shared" si="11"/>
        <v>8720.3990000000013</v>
      </c>
    </row>
    <row r="90" spans="1:19" ht="24.95" customHeight="1" x14ac:dyDescent="0.2">
      <c r="A90" s="284" t="s">
        <v>68</v>
      </c>
      <c r="B90" s="285" t="s">
        <v>15</v>
      </c>
      <c r="C90" s="286" t="s">
        <v>285</v>
      </c>
      <c r="D90" s="279">
        <v>46059</v>
      </c>
      <c r="E90" s="279">
        <v>1227</v>
      </c>
      <c r="F90" s="279">
        <v>7774</v>
      </c>
      <c r="G90" s="279">
        <v>1480</v>
      </c>
      <c r="H90" s="279">
        <v>27057</v>
      </c>
      <c r="I90" s="279">
        <v>8521</v>
      </c>
      <c r="J90" s="279">
        <f t="shared" si="6"/>
        <v>36311</v>
      </c>
      <c r="K90" s="470">
        <v>6.4000000000000001E-2</v>
      </c>
      <c r="L90" s="470">
        <v>0.2</v>
      </c>
      <c r="M90" s="471">
        <v>0.16500000000000001</v>
      </c>
      <c r="N90" s="282">
        <f t="shared" si="7"/>
        <v>78.528000000000006</v>
      </c>
      <c r="O90" s="283">
        <f t="shared" si="8"/>
        <v>497.536</v>
      </c>
      <c r="P90" s="283">
        <f t="shared" si="8"/>
        <v>296</v>
      </c>
      <c r="Q90" s="283">
        <f t="shared" si="9"/>
        <v>5411.4000000000005</v>
      </c>
      <c r="R90" s="283">
        <f t="shared" si="10"/>
        <v>5707.4000000000005</v>
      </c>
      <c r="S90" s="283">
        <f t="shared" si="11"/>
        <v>5991.3150000000005</v>
      </c>
    </row>
    <row r="91" spans="1:19" ht="24.95" customHeight="1" x14ac:dyDescent="0.2">
      <c r="A91" s="284" t="s">
        <v>112</v>
      </c>
      <c r="B91" s="285" t="s">
        <v>20</v>
      </c>
      <c r="C91" s="286" t="s">
        <v>286</v>
      </c>
      <c r="D91" s="279">
        <v>73341</v>
      </c>
      <c r="E91" s="279">
        <v>2235</v>
      </c>
      <c r="F91" s="279">
        <v>13628</v>
      </c>
      <c r="G91" s="279">
        <v>3076</v>
      </c>
      <c r="H91" s="279">
        <v>40776</v>
      </c>
      <c r="I91" s="279">
        <v>13626</v>
      </c>
      <c r="J91" s="279">
        <f t="shared" si="6"/>
        <v>57480</v>
      </c>
      <c r="K91" s="470">
        <v>7.4999999999999997E-2</v>
      </c>
      <c r="L91" s="470">
        <v>0.251</v>
      </c>
      <c r="M91" s="471">
        <v>0.20199999999999999</v>
      </c>
      <c r="N91" s="282">
        <f t="shared" si="7"/>
        <v>167.625</v>
      </c>
      <c r="O91" s="283">
        <f t="shared" si="8"/>
        <v>1022.0999999999999</v>
      </c>
      <c r="P91" s="283">
        <f t="shared" si="8"/>
        <v>772.07600000000002</v>
      </c>
      <c r="Q91" s="283">
        <f t="shared" si="9"/>
        <v>10234.776</v>
      </c>
      <c r="R91" s="283">
        <f t="shared" si="10"/>
        <v>11006.851999999999</v>
      </c>
      <c r="S91" s="283">
        <f t="shared" si="11"/>
        <v>11610.96</v>
      </c>
    </row>
    <row r="92" spans="1:19" ht="24.95" customHeight="1" x14ac:dyDescent="0.2">
      <c r="A92" s="284" t="s">
        <v>141</v>
      </c>
      <c r="B92" s="285" t="s">
        <v>292</v>
      </c>
      <c r="C92" s="286" t="s">
        <v>286</v>
      </c>
      <c r="D92" s="279">
        <v>14901</v>
      </c>
      <c r="E92" s="279">
        <v>624</v>
      </c>
      <c r="F92" s="279">
        <v>2882</v>
      </c>
      <c r="G92" s="279">
        <v>509</v>
      </c>
      <c r="H92" s="279">
        <v>8174</v>
      </c>
      <c r="I92" s="279">
        <v>2712</v>
      </c>
      <c r="J92" s="279">
        <f t="shared" si="6"/>
        <v>11565</v>
      </c>
      <c r="K92" s="470">
        <v>0.1</v>
      </c>
      <c r="L92" s="470">
        <v>0.27399999999999997</v>
      </c>
      <c r="M92" s="471">
        <v>0.22500000000000001</v>
      </c>
      <c r="N92" s="282">
        <f t="shared" si="7"/>
        <v>62.400000000000006</v>
      </c>
      <c r="O92" s="283">
        <f t="shared" si="8"/>
        <v>288.2</v>
      </c>
      <c r="P92" s="283">
        <f t="shared" si="8"/>
        <v>139.46599999999998</v>
      </c>
      <c r="Q92" s="283">
        <f t="shared" si="9"/>
        <v>2239.6759999999999</v>
      </c>
      <c r="R92" s="283">
        <f t="shared" si="10"/>
        <v>2379.1419999999998</v>
      </c>
      <c r="S92" s="283">
        <f t="shared" si="11"/>
        <v>2602.125</v>
      </c>
    </row>
    <row r="93" spans="1:19" ht="24.95" customHeight="1" x14ac:dyDescent="0.2">
      <c r="A93" s="284" t="s">
        <v>142</v>
      </c>
      <c r="B93" s="285" t="s">
        <v>292</v>
      </c>
      <c r="C93" s="286" t="s">
        <v>286</v>
      </c>
      <c r="D93" s="279">
        <v>33333</v>
      </c>
      <c r="E93" s="279">
        <v>867</v>
      </c>
      <c r="F93" s="279">
        <v>4759</v>
      </c>
      <c r="G93" s="279">
        <v>1310</v>
      </c>
      <c r="H93" s="279">
        <v>16621</v>
      </c>
      <c r="I93" s="279">
        <v>9776</v>
      </c>
      <c r="J93" s="279">
        <f t="shared" si="6"/>
        <v>22690</v>
      </c>
      <c r="K93" s="470">
        <v>0.08</v>
      </c>
      <c r="L93" s="470">
        <v>0.24100000000000002</v>
      </c>
      <c r="M93" s="471">
        <v>0.20199999999999999</v>
      </c>
      <c r="N93" s="282">
        <f t="shared" si="7"/>
        <v>69.36</v>
      </c>
      <c r="O93" s="283">
        <f t="shared" si="8"/>
        <v>380.72</v>
      </c>
      <c r="P93" s="283">
        <f t="shared" si="8"/>
        <v>315.71000000000004</v>
      </c>
      <c r="Q93" s="283">
        <f t="shared" si="9"/>
        <v>4005.6610000000005</v>
      </c>
      <c r="R93" s="283">
        <f t="shared" si="10"/>
        <v>4321.371000000001</v>
      </c>
      <c r="S93" s="283">
        <f t="shared" si="11"/>
        <v>4583.38</v>
      </c>
    </row>
    <row r="94" spans="1:19" ht="24.95" customHeight="1" x14ac:dyDescent="0.2">
      <c r="A94" s="284" t="s">
        <v>91</v>
      </c>
      <c r="B94" s="285" t="s">
        <v>476</v>
      </c>
      <c r="C94" s="286" t="s">
        <v>286</v>
      </c>
      <c r="D94" s="279">
        <v>4084</v>
      </c>
      <c r="E94" s="279">
        <v>119</v>
      </c>
      <c r="F94" s="279">
        <v>621</v>
      </c>
      <c r="G94" s="279">
        <v>94</v>
      </c>
      <c r="H94" s="279">
        <v>2472</v>
      </c>
      <c r="I94" s="279">
        <v>778</v>
      </c>
      <c r="J94" s="279">
        <f t="shared" si="6"/>
        <v>3187</v>
      </c>
      <c r="K94" s="470">
        <v>0.105</v>
      </c>
      <c r="L94" s="470">
        <v>0.29499999999999998</v>
      </c>
      <c r="M94" s="471">
        <v>0.245</v>
      </c>
      <c r="N94" s="282">
        <f t="shared" si="7"/>
        <v>12.494999999999999</v>
      </c>
      <c r="O94" s="283">
        <f t="shared" si="8"/>
        <v>65.204999999999998</v>
      </c>
      <c r="P94" s="283">
        <f t="shared" si="8"/>
        <v>27.729999999999997</v>
      </c>
      <c r="Q94" s="283">
        <f t="shared" si="9"/>
        <v>729.24</v>
      </c>
      <c r="R94" s="283">
        <f t="shared" si="10"/>
        <v>756.97</v>
      </c>
      <c r="S94" s="283">
        <f t="shared" si="11"/>
        <v>780.81499999999994</v>
      </c>
    </row>
    <row r="95" spans="1:19" ht="24.95" customHeight="1" x14ac:dyDescent="0.2">
      <c r="A95" s="284" t="s">
        <v>62</v>
      </c>
      <c r="B95" s="285" t="s">
        <v>14</v>
      </c>
      <c r="C95" s="286" t="s">
        <v>285</v>
      </c>
      <c r="D95" s="279">
        <v>219212</v>
      </c>
      <c r="E95" s="279">
        <v>7767</v>
      </c>
      <c r="F95" s="279">
        <v>51403</v>
      </c>
      <c r="G95" s="279">
        <v>9675</v>
      </c>
      <c r="H95" s="279">
        <v>124697</v>
      </c>
      <c r="I95" s="279">
        <v>25670</v>
      </c>
      <c r="J95" s="279">
        <f t="shared" si="6"/>
        <v>185775</v>
      </c>
      <c r="K95" s="470">
        <v>7.5999999999999998E-2</v>
      </c>
      <c r="L95" s="470">
        <v>0.20399999999999999</v>
      </c>
      <c r="M95" s="471">
        <v>0.161</v>
      </c>
      <c r="N95" s="282">
        <f t="shared" si="7"/>
        <v>590.29200000000003</v>
      </c>
      <c r="O95" s="283">
        <f t="shared" si="8"/>
        <v>3906.6279999999997</v>
      </c>
      <c r="P95" s="283">
        <f t="shared" si="8"/>
        <v>1973.6999999999998</v>
      </c>
      <c r="Q95" s="283">
        <f t="shared" si="9"/>
        <v>25438.187999999998</v>
      </c>
      <c r="R95" s="283">
        <f t="shared" si="10"/>
        <v>27411.887999999999</v>
      </c>
      <c r="S95" s="283">
        <f t="shared" si="11"/>
        <v>29909.775000000001</v>
      </c>
    </row>
    <row r="96" spans="1:19" ht="24.95" customHeight="1" x14ac:dyDescent="0.2">
      <c r="A96" s="284" t="s">
        <v>63</v>
      </c>
      <c r="B96" s="285" t="s">
        <v>14</v>
      </c>
      <c r="C96" s="286" t="s">
        <v>286</v>
      </c>
      <c r="D96" s="279">
        <v>44849</v>
      </c>
      <c r="E96" s="279">
        <v>1579</v>
      </c>
      <c r="F96" s="279">
        <v>9142</v>
      </c>
      <c r="G96" s="279">
        <v>1738</v>
      </c>
      <c r="H96" s="279">
        <v>24971</v>
      </c>
      <c r="I96" s="279">
        <v>7419</v>
      </c>
      <c r="J96" s="279">
        <f t="shared" si="6"/>
        <v>35851</v>
      </c>
      <c r="K96" s="470">
        <v>5.9000000000000004E-2</v>
      </c>
      <c r="L96" s="470">
        <v>0.22899999999999998</v>
      </c>
      <c r="M96" s="471">
        <v>0.18</v>
      </c>
      <c r="N96" s="282">
        <f t="shared" si="7"/>
        <v>93.161000000000001</v>
      </c>
      <c r="O96" s="283">
        <f t="shared" si="8"/>
        <v>539.37800000000004</v>
      </c>
      <c r="P96" s="283">
        <f t="shared" si="8"/>
        <v>398.00199999999995</v>
      </c>
      <c r="Q96" s="283">
        <f t="shared" si="9"/>
        <v>5718.3589999999995</v>
      </c>
      <c r="R96" s="283">
        <f t="shared" si="10"/>
        <v>6116.360999999999</v>
      </c>
      <c r="S96" s="283">
        <f t="shared" si="11"/>
        <v>6453.1799999999994</v>
      </c>
    </row>
    <row r="97" spans="1:19" ht="24.95" customHeight="1" x14ac:dyDescent="0.2">
      <c r="A97" s="284" t="s">
        <v>49</v>
      </c>
      <c r="B97" s="285" t="s">
        <v>13</v>
      </c>
      <c r="C97" s="286" t="s">
        <v>285</v>
      </c>
      <c r="D97" s="279">
        <v>1004455</v>
      </c>
      <c r="E97" s="279">
        <v>37161</v>
      </c>
      <c r="F97" s="279">
        <v>210151</v>
      </c>
      <c r="G97" s="279">
        <v>40157</v>
      </c>
      <c r="H97" s="279">
        <v>612147</v>
      </c>
      <c r="I97" s="279">
        <v>104839</v>
      </c>
      <c r="J97" s="279">
        <f t="shared" si="6"/>
        <v>862455</v>
      </c>
      <c r="K97" s="470">
        <v>5.7999999999999996E-2</v>
      </c>
      <c r="L97" s="470">
        <v>0.18</v>
      </c>
      <c r="M97" s="471">
        <v>0.14400000000000002</v>
      </c>
      <c r="N97" s="282">
        <f t="shared" si="7"/>
        <v>2155.3379999999997</v>
      </c>
      <c r="O97" s="283">
        <f t="shared" si="8"/>
        <v>12188.758</v>
      </c>
      <c r="P97" s="283">
        <f t="shared" si="8"/>
        <v>7228.2599999999993</v>
      </c>
      <c r="Q97" s="283">
        <f t="shared" si="9"/>
        <v>110186.45999999999</v>
      </c>
      <c r="R97" s="283">
        <f t="shared" si="10"/>
        <v>117414.71999999999</v>
      </c>
      <c r="S97" s="283">
        <f t="shared" si="11"/>
        <v>124193.52000000002</v>
      </c>
    </row>
    <row r="98" spans="1:19" ht="24.95" customHeight="1" x14ac:dyDescent="0.2">
      <c r="A98" s="276" t="s">
        <v>64</v>
      </c>
      <c r="B98" s="277" t="s">
        <v>14</v>
      </c>
      <c r="C98" s="278" t="s">
        <v>286</v>
      </c>
      <c r="D98" s="279">
        <v>20282</v>
      </c>
      <c r="E98" s="279">
        <v>511</v>
      </c>
      <c r="F98" s="279">
        <v>3288</v>
      </c>
      <c r="G98" s="279">
        <v>548</v>
      </c>
      <c r="H98" s="279">
        <v>11422</v>
      </c>
      <c r="I98" s="279">
        <v>4513</v>
      </c>
      <c r="J98" s="279">
        <f t="shared" si="6"/>
        <v>15258</v>
      </c>
      <c r="K98" s="470">
        <v>8.1000000000000003E-2</v>
      </c>
      <c r="L98" s="470">
        <v>0.245</v>
      </c>
      <c r="M98" s="471">
        <v>0.20199999999999999</v>
      </c>
      <c r="N98" s="282">
        <f t="shared" si="7"/>
        <v>41.390999999999998</v>
      </c>
      <c r="O98" s="283">
        <f t="shared" si="8"/>
        <v>266.32800000000003</v>
      </c>
      <c r="P98" s="283">
        <f t="shared" si="8"/>
        <v>134.26</v>
      </c>
      <c r="Q98" s="283">
        <f t="shared" si="9"/>
        <v>2798.39</v>
      </c>
      <c r="R98" s="283">
        <f t="shared" si="10"/>
        <v>2932.6499999999996</v>
      </c>
      <c r="S98" s="283">
        <f t="shared" si="11"/>
        <v>3082.116</v>
      </c>
    </row>
    <row r="99" spans="1:19" ht="24.95" customHeight="1" x14ac:dyDescent="0.2">
      <c r="A99" s="276" t="s">
        <v>92</v>
      </c>
      <c r="B99" s="277" t="s">
        <v>476</v>
      </c>
      <c r="C99" s="278" t="s">
        <v>286</v>
      </c>
      <c r="D99" s="279">
        <v>12691</v>
      </c>
      <c r="E99" s="279">
        <v>403</v>
      </c>
      <c r="F99" s="279">
        <v>2366</v>
      </c>
      <c r="G99" s="279">
        <v>360</v>
      </c>
      <c r="H99" s="279">
        <v>6856</v>
      </c>
      <c r="I99" s="279">
        <v>2706</v>
      </c>
      <c r="J99" s="279">
        <f t="shared" si="6"/>
        <v>9582</v>
      </c>
      <c r="K99" s="470">
        <v>6.9000000000000006E-2</v>
      </c>
      <c r="L99" s="470">
        <v>0.21</v>
      </c>
      <c r="M99" s="471">
        <v>0.17100000000000001</v>
      </c>
      <c r="N99" s="282">
        <f t="shared" si="7"/>
        <v>27.807000000000002</v>
      </c>
      <c r="O99" s="283">
        <f t="shared" si="8"/>
        <v>163.25400000000002</v>
      </c>
      <c r="P99" s="283">
        <f t="shared" si="8"/>
        <v>75.599999999999994</v>
      </c>
      <c r="Q99" s="283">
        <f t="shared" si="9"/>
        <v>1439.76</v>
      </c>
      <c r="R99" s="283">
        <f t="shared" si="10"/>
        <v>1515.36</v>
      </c>
      <c r="S99" s="283">
        <f t="shared" si="11"/>
        <v>1638.5220000000002</v>
      </c>
    </row>
    <row r="100" spans="1:19" ht="24.95" customHeight="1" x14ac:dyDescent="0.2">
      <c r="A100" s="276" t="s">
        <v>143</v>
      </c>
      <c r="B100" s="277" t="s">
        <v>292</v>
      </c>
      <c r="C100" s="278" t="s">
        <v>286</v>
      </c>
      <c r="D100" s="279">
        <v>53219</v>
      </c>
      <c r="E100" s="279">
        <v>992</v>
      </c>
      <c r="F100" s="279">
        <v>5875</v>
      </c>
      <c r="G100" s="279">
        <v>8541</v>
      </c>
      <c r="H100" s="279">
        <v>29862</v>
      </c>
      <c r="I100" s="279">
        <v>7949</v>
      </c>
      <c r="J100" s="279">
        <f t="shared" si="6"/>
        <v>44278</v>
      </c>
      <c r="K100" s="470">
        <v>7.8E-2</v>
      </c>
      <c r="L100" s="470">
        <v>0.21</v>
      </c>
      <c r="M100" s="471">
        <v>0.18600000000000003</v>
      </c>
      <c r="N100" s="282">
        <f t="shared" si="7"/>
        <v>77.376000000000005</v>
      </c>
      <c r="O100" s="283">
        <f t="shared" si="8"/>
        <v>458.25</v>
      </c>
      <c r="P100" s="283">
        <f t="shared" si="8"/>
        <v>1793.61</v>
      </c>
      <c r="Q100" s="283">
        <f t="shared" si="9"/>
        <v>6271.0199999999995</v>
      </c>
      <c r="R100" s="283">
        <f t="shared" si="10"/>
        <v>8064.6299999999992</v>
      </c>
      <c r="S100" s="283">
        <f t="shared" si="11"/>
        <v>8235.7080000000005</v>
      </c>
    </row>
    <row r="101" spans="1:19" ht="24.95" customHeight="1" x14ac:dyDescent="0.2">
      <c r="A101" s="276" t="s">
        <v>103</v>
      </c>
      <c r="B101" s="277" t="s">
        <v>18</v>
      </c>
      <c r="C101" s="278" t="s">
        <v>285</v>
      </c>
      <c r="D101" s="279">
        <v>125936</v>
      </c>
      <c r="E101" s="279">
        <v>4870</v>
      </c>
      <c r="F101" s="279">
        <v>25736</v>
      </c>
      <c r="G101" s="279">
        <v>5091</v>
      </c>
      <c r="H101" s="279">
        <v>71651</v>
      </c>
      <c r="I101" s="279">
        <v>18588</v>
      </c>
      <c r="J101" s="279">
        <f t="shared" si="6"/>
        <v>102478</v>
      </c>
      <c r="K101" s="470">
        <v>6.9000000000000006E-2</v>
      </c>
      <c r="L101" s="470">
        <v>0.22899999999999998</v>
      </c>
      <c r="M101" s="471">
        <v>0.182</v>
      </c>
      <c r="N101" s="282">
        <f t="shared" si="7"/>
        <v>336.03000000000003</v>
      </c>
      <c r="O101" s="283">
        <f t="shared" si="8"/>
        <v>1775.7840000000001</v>
      </c>
      <c r="P101" s="283">
        <f t="shared" si="8"/>
        <v>1165.8389999999999</v>
      </c>
      <c r="Q101" s="283">
        <f t="shared" si="9"/>
        <v>16408.078999999998</v>
      </c>
      <c r="R101" s="283">
        <f t="shared" si="10"/>
        <v>17573.917999999998</v>
      </c>
      <c r="S101" s="283">
        <f t="shared" si="11"/>
        <v>18650.995999999999</v>
      </c>
    </row>
    <row r="102" spans="1:19" ht="24.95" customHeight="1" x14ac:dyDescent="0.2">
      <c r="A102" s="276" t="s">
        <v>144</v>
      </c>
      <c r="B102" s="277" t="s">
        <v>292</v>
      </c>
      <c r="C102" s="278" t="s">
        <v>286</v>
      </c>
      <c r="D102" s="279">
        <v>69784</v>
      </c>
      <c r="E102" s="279">
        <v>2032</v>
      </c>
      <c r="F102" s="279">
        <v>12480</v>
      </c>
      <c r="G102" s="279">
        <v>2461</v>
      </c>
      <c r="H102" s="279">
        <v>39038</v>
      </c>
      <c r="I102" s="279">
        <v>13773</v>
      </c>
      <c r="J102" s="279">
        <f t="shared" si="6"/>
        <v>53979</v>
      </c>
      <c r="K102" s="470">
        <v>7.400000000000001E-2</v>
      </c>
      <c r="L102" s="470">
        <v>0.253</v>
      </c>
      <c r="M102" s="471">
        <v>0.20499999999999999</v>
      </c>
      <c r="N102" s="282">
        <f t="shared" si="7"/>
        <v>150.36800000000002</v>
      </c>
      <c r="O102" s="283">
        <f t="shared" si="8"/>
        <v>923.5200000000001</v>
      </c>
      <c r="P102" s="283">
        <f t="shared" si="8"/>
        <v>622.63300000000004</v>
      </c>
      <c r="Q102" s="283">
        <f t="shared" si="9"/>
        <v>9876.6139999999996</v>
      </c>
      <c r="R102" s="283">
        <f t="shared" si="10"/>
        <v>10499.246999999999</v>
      </c>
      <c r="S102" s="283">
        <f t="shared" si="11"/>
        <v>11065.695</v>
      </c>
    </row>
    <row r="103" spans="1:19" ht="24.95" customHeight="1" x14ac:dyDescent="0.2">
      <c r="A103" s="276" t="s">
        <v>104</v>
      </c>
      <c r="B103" s="277" t="s">
        <v>18</v>
      </c>
      <c r="C103" s="278" t="s">
        <v>286</v>
      </c>
      <c r="D103" s="279">
        <v>83044</v>
      </c>
      <c r="E103" s="279">
        <v>2740</v>
      </c>
      <c r="F103" s="279">
        <v>16635</v>
      </c>
      <c r="G103" s="279">
        <v>3027</v>
      </c>
      <c r="H103" s="279">
        <v>47030</v>
      </c>
      <c r="I103" s="279">
        <v>13612</v>
      </c>
      <c r="J103" s="279">
        <f t="shared" si="6"/>
        <v>66692</v>
      </c>
      <c r="K103" s="470">
        <v>7.6999999999999999E-2</v>
      </c>
      <c r="L103" s="470">
        <v>0.251</v>
      </c>
      <c r="M103" s="471">
        <v>0.20100000000000001</v>
      </c>
      <c r="N103" s="282">
        <f t="shared" si="7"/>
        <v>210.98</v>
      </c>
      <c r="O103" s="283">
        <f t="shared" si="8"/>
        <v>1280.895</v>
      </c>
      <c r="P103" s="283">
        <f t="shared" si="8"/>
        <v>759.77700000000004</v>
      </c>
      <c r="Q103" s="283">
        <f t="shared" si="9"/>
        <v>11804.53</v>
      </c>
      <c r="R103" s="283">
        <f t="shared" si="10"/>
        <v>12564.307000000001</v>
      </c>
      <c r="S103" s="283">
        <f t="shared" si="11"/>
        <v>13405.092000000001</v>
      </c>
    </row>
    <row r="104" spans="1:19" ht="24.95" customHeight="1" x14ac:dyDescent="0.2">
      <c r="A104" s="276" t="s">
        <v>113</v>
      </c>
      <c r="B104" s="277" t="s">
        <v>20</v>
      </c>
      <c r="C104" s="278" t="s">
        <v>285</v>
      </c>
      <c r="D104" s="279">
        <v>37885</v>
      </c>
      <c r="E104" s="279">
        <v>1227</v>
      </c>
      <c r="F104" s="279">
        <v>6958</v>
      </c>
      <c r="G104" s="279">
        <v>1413</v>
      </c>
      <c r="H104" s="279">
        <v>21319</v>
      </c>
      <c r="I104" s="279">
        <v>6968</v>
      </c>
      <c r="J104" s="279">
        <f t="shared" si="6"/>
        <v>29690</v>
      </c>
      <c r="K104" s="470">
        <v>8.8000000000000009E-2</v>
      </c>
      <c r="L104" s="470">
        <v>0.245</v>
      </c>
      <c r="M104" s="471">
        <v>0.20199999999999999</v>
      </c>
      <c r="N104" s="282">
        <f t="shared" si="7"/>
        <v>107.97600000000001</v>
      </c>
      <c r="O104" s="283">
        <f t="shared" si="8"/>
        <v>612.30400000000009</v>
      </c>
      <c r="P104" s="283">
        <f t="shared" si="8"/>
        <v>346.185</v>
      </c>
      <c r="Q104" s="283">
        <f t="shared" si="9"/>
        <v>5223.1549999999997</v>
      </c>
      <c r="R104" s="283">
        <f t="shared" si="10"/>
        <v>5569.34</v>
      </c>
      <c r="S104" s="283">
        <f t="shared" si="11"/>
        <v>5997.3799999999992</v>
      </c>
    </row>
    <row r="105" spans="1:19" ht="24.95" customHeight="1" x14ac:dyDescent="0.2">
      <c r="A105" s="276" t="s">
        <v>145</v>
      </c>
      <c r="B105" s="277" t="s">
        <v>292</v>
      </c>
      <c r="C105" s="278" t="s">
        <v>286</v>
      </c>
      <c r="D105" s="279">
        <v>17962</v>
      </c>
      <c r="E105" s="279">
        <v>514</v>
      </c>
      <c r="F105" s="279">
        <v>2853</v>
      </c>
      <c r="G105" s="279">
        <v>535</v>
      </c>
      <c r="H105" s="279">
        <v>9844</v>
      </c>
      <c r="I105" s="279">
        <v>4216</v>
      </c>
      <c r="J105" s="279">
        <f t="shared" si="6"/>
        <v>13232</v>
      </c>
      <c r="K105" s="470">
        <v>0.09</v>
      </c>
      <c r="L105" s="470">
        <v>0.24299999999999999</v>
      </c>
      <c r="M105" s="472">
        <v>0.20399999999999999</v>
      </c>
      <c r="N105" s="282">
        <f t="shared" si="7"/>
        <v>46.26</v>
      </c>
      <c r="O105" s="283">
        <f t="shared" si="8"/>
        <v>256.77</v>
      </c>
      <c r="P105" s="283">
        <f t="shared" si="8"/>
        <v>130.005</v>
      </c>
      <c r="Q105" s="283">
        <f t="shared" si="9"/>
        <v>2392.0920000000001</v>
      </c>
      <c r="R105" s="283">
        <f t="shared" si="10"/>
        <v>2522.0970000000002</v>
      </c>
      <c r="S105" s="283">
        <f t="shared" si="11"/>
        <v>2699.328</v>
      </c>
    </row>
    <row r="106" spans="1:19" ht="20.100000000000001" customHeight="1" x14ac:dyDescent="0.2">
      <c r="D106" s="290"/>
      <c r="E106" s="290"/>
      <c r="F106" s="290"/>
      <c r="G106" s="290"/>
      <c r="H106" s="290"/>
      <c r="I106" s="291"/>
      <c r="J106" s="291"/>
      <c r="K106" s="473"/>
      <c r="L106" s="473"/>
      <c r="M106" s="474"/>
      <c r="N106" s="295"/>
      <c r="O106" s="295"/>
      <c r="P106" s="295"/>
      <c r="Q106" s="295"/>
      <c r="R106" s="295"/>
      <c r="S106" s="290"/>
    </row>
    <row r="107" spans="1:19" ht="24.95" customHeight="1" x14ac:dyDescent="0.2">
      <c r="A107" s="296" t="s">
        <v>288</v>
      </c>
      <c r="B107" s="269"/>
      <c r="C107" s="270"/>
      <c r="D107" s="297">
        <f t="shared" ref="D107:J107" si="12">SUM(D6:D105)</f>
        <v>10054192</v>
      </c>
      <c r="E107" s="297">
        <f t="shared" si="12"/>
        <v>353258</v>
      </c>
      <c r="F107" s="297">
        <f t="shared" si="12"/>
        <v>1943114</v>
      </c>
      <c r="G107" s="297">
        <f t="shared" si="12"/>
        <v>432455</v>
      </c>
      <c r="H107" s="297">
        <f t="shared" si="12"/>
        <v>5820202</v>
      </c>
      <c r="I107" s="297">
        <f t="shared" si="12"/>
        <v>1505163</v>
      </c>
      <c r="J107" s="297">
        <f t="shared" si="12"/>
        <v>8195771</v>
      </c>
      <c r="K107" s="468">
        <v>6.9000000000000006E-2</v>
      </c>
      <c r="L107" s="468">
        <v>0.22500000000000001</v>
      </c>
      <c r="M107" s="468">
        <v>0.18100000000000002</v>
      </c>
      <c r="N107" s="275">
        <f t="shared" ref="N107:S107" si="13">SUM(N6:N105)</f>
        <v>24382.456999999984</v>
      </c>
      <c r="O107" s="275">
        <f t="shared" si="13"/>
        <v>134601.011</v>
      </c>
      <c r="P107" s="275">
        <f t="shared" ref="P107" si="14">SUM(P6:P105)</f>
        <v>96870.887000000017</v>
      </c>
      <c r="Q107" s="275">
        <f t="shared" si="13"/>
        <v>1307069.3260000004</v>
      </c>
      <c r="R107" s="275">
        <f t="shared" si="13"/>
        <v>1403940.2129999998</v>
      </c>
      <c r="S107" s="297">
        <f t="shared" si="13"/>
        <v>1482472.2769999991</v>
      </c>
    </row>
    <row r="108" spans="1:19" x14ac:dyDescent="0.2">
      <c r="N108" s="301">
        <f>N107/E107</f>
        <v>6.9021669714486256E-2</v>
      </c>
      <c r="O108" s="301">
        <f>O107/F107</f>
        <v>6.9270774128538007E-2</v>
      </c>
      <c r="P108" s="301">
        <f>P107/G107</f>
        <v>0.22400223607080511</v>
      </c>
      <c r="Q108" s="301">
        <f>Q107/H107</f>
        <v>0.22457456390688851</v>
      </c>
      <c r="R108" s="301">
        <f>R107/SUM(G107:H107)</f>
        <v>0.2245349797694004</v>
      </c>
      <c r="S108" s="301">
        <f>S107/J107</f>
        <v>0.18088258895959869</v>
      </c>
    </row>
    <row r="109" spans="1:19" ht="20.100000000000001" customHeight="1" x14ac:dyDescent="0.2">
      <c r="A109" s="482" t="s">
        <v>499</v>
      </c>
    </row>
    <row r="110" spans="1:19" ht="39.950000000000003" customHeight="1" x14ac:dyDescent="0.2">
      <c r="A110" s="562" t="s">
        <v>498</v>
      </c>
      <c r="B110" s="562"/>
      <c r="C110" s="562"/>
      <c r="D110" s="562"/>
      <c r="E110" s="562"/>
      <c r="F110" s="562"/>
      <c r="G110" s="562"/>
      <c r="H110" s="562"/>
      <c r="I110" s="562"/>
      <c r="J110" s="562"/>
      <c r="K110" s="562"/>
      <c r="L110" s="562"/>
      <c r="M110" s="562"/>
      <c r="N110" s="562"/>
      <c r="O110" s="562"/>
      <c r="P110" s="562"/>
      <c r="Q110" s="562"/>
      <c r="R110" s="562"/>
      <c r="S110" s="562"/>
    </row>
    <row r="111" spans="1:19" ht="90" customHeight="1" x14ac:dyDescent="0.2">
      <c r="A111" s="562" t="s">
        <v>497</v>
      </c>
      <c r="B111" s="562"/>
      <c r="C111" s="562"/>
      <c r="D111" s="562"/>
      <c r="E111" s="562"/>
      <c r="F111" s="562"/>
      <c r="G111" s="562"/>
      <c r="H111" s="562"/>
      <c r="I111" s="562"/>
      <c r="J111" s="562"/>
      <c r="K111" s="562"/>
      <c r="L111" s="562"/>
      <c r="M111" s="562"/>
      <c r="N111" s="562"/>
      <c r="O111" s="562"/>
      <c r="P111" s="562"/>
      <c r="Q111" s="562"/>
      <c r="R111" s="562"/>
      <c r="S111" s="562"/>
    </row>
  </sheetData>
  <sheetProtection sheet="1" objects="1" scenarios="1"/>
  <autoFilter ref="A5:S107"/>
  <mergeCells count="2">
    <mergeCell ref="A110:S110"/>
    <mergeCell ref="A111:S111"/>
  </mergeCells>
  <printOptions horizontalCentered="1"/>
  <pageMargins left="0.3" right="0.3" top="0.5" bottom="0.5" header="0.3" footer="0.3"/>
  <pageSetup paperSize="5" scale="52" fitToWidth="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K16"/>
  <sheetViews>
    <sheetView showGridLines="0" workbookViewId="0">
      <selection activeCell="A13" sqref="A13"/>
    </sheetView>
  </sheetViews>
  <sheetFormatPr defaultRowHeight="12.75" x14ac:dyDescent="0.2"/>
  <cols>
    <col min="1" max="1" width="22.42578125" style="22" customWidth="1"/>
    <col min="2" max="16384" width="9.140625" style="22"/>
  </cols>
  <sheetData>
    <row r="1" spans="1:11" ht="15" customHeight="1" x14ac:dyDescent="0.2">
      <c r="A1" s="36" t="s">
        <v>28</v>
      </c>
    </row>
    <row r="2" spans="1:11" ht="15" customHeight="1" x14ac:dyDescent="0.2">
      <c r="A2" s="36" t="s">
        <v>196</v>
      </c>
    </row>
    <row r="3" spans="1:11" ht="15" customHeight="1" x14ac:dyDescent="0.2">
      <c r="A3" s="30" t="s">
        <v>194</v>
      </c>
      <c r="C3" s="147">
        <f>IF('Set-Up Worksheet'!F3="","Data Not Entered On Set-Up Worksheet",'Set-Up Worksheet'!F3)</f>
        <v>2018</v>
      </c>
    </row>
    <row r="4" spans="1:11" ht="15" customHeight="1" x14ac:dyDescent="0.2">
      <c r="A4" s="30" t="s">
        <v>195</v>
      </c>
      <c r="C4" s="147" t="str">
        <f>IF('Set-Up Worksheet'!F4="","Data Not Entered On Set-Up Worksheet",'Set-Up Worksheet'!F4)</f>
        <v>1st Quarter</v>
      </c>
    </row>
    <row r="5" spans="1:11" ht="15" customHeight="1" x14ac:dyDescent="0.2">
      <c r="C5" s="32"/>
    </row>
    <row r="6" spans="1:11" ht="15" customHeight="1" x14ac:dyDescent="0.2">
      <c r="A6" s="30" t="s">
        <v>193</v>
      </c>
      <c r="C6" s="32"/>
    </row>
    <row r="7" spans="1:11" ht="15" customHeight="1" x14ac:dyDescent="0.2">
      <c r="A7" s="30" t="s">
        <v>569</v>
      </c>
      <c r="C7" s="32"/>
    </row>
    <row r="8" spans="1:11" ht="15" customHeight="1" x14ac:dyDescent="0.2">
      <c r="A8" s="30"/>
      <c r="C8" s="32"/>
    </row>
    <row r="9" spans="1:11" ht="15" customHeight="1" x14ac:dyDescent="0.2">
      <c r="A9" s="30" t="s">
        <v>29</v>
      </c>
      <c r="C9" s="39" t="str">
        <f>IF('Set-Up Worksheet'!E7="","Data Not Entered On Set-Up Worksheet",'Set-Up Worksheet'!E7)</f>
        <v>Data Not Entered On Set-Up Worksheet</v>
      </c>
    </row>
    <row r="10" spans="1:11" ht="15" customHeight="1" x14ac:dyDescent="0.2">
      <c r="A10" s="30" t="s">
        <v>9</v>
      </c>
      <c r="C10" s="32" t="s">
        <v>10</v>
      </c>
    </row>
    <row r="11" spans="1:11" ht="15" customHeight="1" x14ac:dyDescent="0.2">
      <c r="A11" s="30" t="s">
        <v>197</v>
      </c>
      <c r="C11" s="40" t="str">
        <f>IF(C4="Data Not Entered On Set-Up Worksheet","Data Not Entered On Set-Up Worksheet",IF(C4="1st Quarter",'Report Schedule'!D13,IF(C4="2nd Quarter",'Report Schedule'!E13,IF(C4="3rd Quarter",'Report Schedule'!F13,IF(C4="4th Quarter",'Report Schedule'!G13,"")))))</f>
        <v>Jul - Sep 2017</v>
      </c>
    </row>
    <row r="14" spans="1:11" ht="60.75" customHeight="1" x14ac:dyDescent="0.2">
      <c r="A14" s="560" t="s">
        <v>572</v>
      </c>
      <c r="B14" s="560"/>
      <c r="C14" s="560"/>
      <c r="D14" s="560"/>
      <c r="E14" s="560"/>
      <c r="F14" s="560"/>
      <c r="G14" s="560"/>
      <c r="H14" s="560"/>
      <c r="I14" s="560"/>
      <c r="J14" s="560"/>
      <c r="K14" s="47"/>
    </row>
    <row r="15" spans="1:11" x14ac:dyDescent="0.2">
      <c r="A15" s="47"/>
      <c r="B15" s="47"/>
      <c r="C15" s="47"/>
      <c r="D15" s="47"/>
      <c r="E15" s="47"/>
      <c r="F15" s="47"/>
      <c r="G15" s="47"/>
      <c r="H15" s="47"/>
      <c r="I15" s="47"/>
      <c r="J15" s="47"/>
      <c r="K15" s="47"/>
    </row>
    <row r="16" spans="1:11" x14ac:dyDescent="0.2">
      <c r="A16" s="47"/>
      <c r="B16" s="47"/>
      <c r="C16" s="47"/>
      <c r="D16" s="47"/>
      <c r="E16" s="47"/>
      <c r="F16" s="47"/>
      <c r="G16" s="47"/>
      <c r="H16" s="47"/>
      <c r="I16" s="47"/>
      <c r="J16" s="47"/>
      <c r="K16" s="47"/>
    </row>
  </sheetData>
  <sheetProtection sheet="1" objects="1" scenarios="1"/>
  <mergeCells count="1">
    <mergeCell ref="A14:J14"/>
  </mergeCells>
  <conditionalFormatting sqref="C3:C4">
    <cfRule type="expression" dxfId="934" priority="3">
      <formula>C3="Data Not Entered On Set-Up Worksheet"</formula>
    </cfRule>
  </conditionalFormatting>
  <conditionalFormatting sqref="C9">
    <cfRule type="expression" dxfId="933" priority="2">
      <formula>C9="Data Not Entered On Set-Up Worksheet"</formula>
    </cfRule>
  </conditionalFormatting>
  <conditionalFormatting sqref="C11">
    <cfRule type="expression" dxfId="932"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R125"/>
  <sheetViews>
    <sheetView workbookViewId="0">
      <pane ySplit="4" topLeftCell="A5" activePane="bottomLeft" state="frozen"/>
      <selection activeCell="B88" sqref="B88"/>
      <selection pane="bottomLeft" activeCell="G22" sqref="G22"/>
    </sheetView>
  </sheetViews>
  <sheetFormatPr defaultRowHeight="12.75" x14ac:dyDescent="0.2"/>
  <cols>
    <col min="1" max="1" width="46.5703125" style="477" bestFit="1" customWidth="1"/>
    <col min="2" max="2" width="18.7109375" style="480" customWidth="1"/>
    <col min="3" max="4" width="18.7109375" style="477" customWidth="1"/>
    <col min="5" max="5" width="21.42578125" style="477" bestFit="1" customWidth="1"/>
    <col min="6" max="16384" width="9.140625" style="477"/>
  </cols>
  <sheetData>
    <row r="1" spans="1:5" ht="18" x14ac:dyDescent="0.2">
      <c r="A1" s="475" t="s">
        <v>538</v>
      </c>
      <c r="B1" s="476"/>
      <c r="C1" s="476"/>
      <c r="D1" s="476"/>
      <c r="E1" s="476"/>
    </row>
    <row r="2" spans="1:5" ht="25.5" x14ac:dyDescent="0.2">
      <c r="A2" s="478" t="s">
        <v>494</v>
      </c>
      <c r="B2" s="479"/>
      <c r="C2" s="479"/>
      <c r="D2" s="479"/>
      <c r="E2" s="479"/>
    </row>
    <row r="4" spans="1:5" ht="38.25" x14ac:dyDescent="0.2">
      <c r="A4" s="458" t="s">
        <v>303</v>
      </c>
      <c r="B4" s="481" t="s">
        <v>481</v>
      </c>
      <c r="C4" s="483" t="s">
        <v>482</v>
      </c>
      <c r="D4" s="481" t="s">
        <v>483</v>
      </c>
      <c r="E4" s="481" t="s">
        <v>484</v>
      </c>
    </row>
    <row r="5" spans="1:5" x14ac:dyDescent="0.2">
      <c r="A5" s="309" t="s">
        <v>13</v>
      </c>
      <c r="B5" s="310">
        <v>23299.423999999999</v>
      </c>
      <c r="C5" s="310">
        <v>15142.038</v>
      </c>
      <c r="D5" s="310">
        <v>213809.00099999999</v>
      </c>
      <c r="E5" s="310">
        <v>242664.69100000002</v>
      </c>
    </row>
    <row r="6" spans="1:5" x14ac:dyDescent="0.2">
      <c r="A6" s="459" t="s">
        <v>46</v>
      </c>
      <c r="B6" s="460">
        <v>4056.58</v>
      </c>
      <c r="C6" s="460">
        <v>3129.6000000000004</v>
      </c>
      <c r="D6" s="460">
        <v>38664</v>
      </c>
      <c r="E6" s="460">
        <v>44387.667999999998</v>
      </c>
    </row>
    <row r="7" spans="1:5" x14ac:dyDescent="0.2">
      <c r="A7" s="461" t="s">
        <v>47</v>
      </c>
      <c r="B7" s="462">
        <v>3866.07</v>
      </c>
      <c r="C7" s="462">
        <v>3046.68</v>
      </c>
      <c r="D7" s="462">
        <v>39082.784999999996</v>
      </c>
      <c r="E7" s="462">
        <v>44531.15</v>
      </c>
    </row>
    <row r="8" spans="1:5" x14ac:dyDescent="0.2">
      <c r="A8" s="461" t="s">
        <v>48</v>
      </c>
      <c r="B8" s="462">
        <v>3188.0160000000001</v>
      </c>
      <c r="C8" s="462">
        <v>1737.4980000000003</v>
      </c>
      <c r="D8" s="462">
        <v>25875.756000000001</v>
      </c>
      <c r="E8" s="462">
        <v>29552.352999999999</v>
      </c>
    </row>
    <row r="9" spans="1:5" x14ac:dyDescent="0.2">
      <c r="A9" s="461" t="s">
        <v>49</v>
      </c>
      <c r="B9" s="462">
        <v>12188.758</v>
      </c>
      <c r="C9" s="462">
        <v>7228.2599999999993</v>
      </c>
      <c r="D9" s="462">
        <v>110186.45999999999</v>
      </c>
      <c r="E9" s="462">
        <v>124193.52000000002</v>
      </c>
    </row>
    <row r="10" spans="1:5" x14ac:dyDescent="0.2">
      <c r="A10" s="307"/>
      <c r="B10" s="308"/>
      <c r="C10" s="308"/>
      <c r="D10" s="308"/>
      <c r="E10" s="308"/>
    </row>
    <row r="11" spans="1:5" x14ac:dyDescent="0.2">
      <c r="A11" s="309" t="s">
        <v>14</v>
      </c>
      <c r="B11" s="310">
        <v>34938.134999999995</v>
      </c>
      <c r="C11" s="310">
        <v>22012.832999999999</v>
      </c>
      <c r="D11" s="310">
        <v>326263.44500000001</v>
      </c>
      <c r="E11" s="310">
        <v>368758.59799999994</v>
      </c>
    </row>
    <row r="12" spans="1:5" x14ac:dyDescent="0.2">
      <c r="A12" s="459" t="s">
        <v>50</v>
      </c>
      <c r="B12" s="460">
        <v>2134.0800000000004</v>
      </c>
      <c r="C12" s="460">
        <v>1874.9880000000001</v>
      </c>
      <c r="D12" s="460">
        <v>21199.077000000001</v>
      </c>
      <c r="E12" s="460">
        <v>24296.025000000001</v>
      </c>
    </row>
    <row r="13" spans="1:5" x14ac:dyDescent="0.2">
      <c r="A13" s="461" t="s">
        <v>51</v>
      </c>
      <c r="B13" s="462">
        <v>3022.8480000000004</v>
      </c>
      <c r="C13" s="462">
        <v>1544.8799999999999</v>
      </c>
      <c r="D13" s="462">
        <v>22811.989999999998</v>
      </c>
      <c r="E13" s="462">
        <v>26370.871999999996</v>
      </c>
    </row>
    <row r="14" spans="1:5" x14ac:dyDescent="0.2">
      <c r="A14" s="461" t="s">
        <v>52</v>
      </c>
      <c r="B14" s="462">
        <v>265.3</v>
      </c>
      <c r="C14" s="462">
        <v>157.23499999999999</v>
      </c>
      <c r="D14" s="462">
        <v>2906.6949999999997</v>
      </c>
      <c r="E14" s="462">
        <v>3185.1200000000003</v>
      </c>
    </row>
    <row r="15" spans="1:5" x14ac:dyDescent="0.2">
      <c r="A15" s="461" t="s">
        <v>53</v>
      </c>
      <c r="B15" s="462">
        <v>1071.2930000000001</v>
      </c>
      <c r="C15" s="462">
        <v>477.45599999999996</v>
      </c>
      <c r="D15" s="462">
        <v>8796.0479999999989</v>
      </c>
      <c r="E15" s="462">
        <v>10037.737000000001</v>
      </c>
    </row>
    <row r="16" spans="1:5" x14ac:dyDescent="0.2">
      <c r="A16" s="461" t="s">
        <v>54</v>
      </c>
      <c r="B16" s="462">
        <v>1909.9099999999999</v>
      </c>
      <c r="C16" s="462">
        <v>1266.6959999999999</v>
      </c>
      <c r="D16" s="462">
        <v>20700.974999999999</v>
      </c>
      <c r="E16" s="462">
        <v>23033.324999999997</v>
      </c>
    </row>
    <row r="17" spans="1:5" x14ac:dyDescent="0.2">
      <c r="A17" s="461" t="s">
        <v>55</v>
      </c>
      <c r="B17" s="462">
        <v>1028.8539999999998</v>
      </c>
      <c r="C17" s="462">
        <v>591.07799999999997</v>
      </c>
      <c r="D17" s="462">
        <v>8819.9549999999999</v>
      </c>
      <c r="E17" s="462">
        <v>10085.407999999999</v>
      </c>
    </row>
    <row r="18" spans="1:5" x14ac:dyDescent="0.2">
      <c r="A18" s="461" t="s">
        <v>56</v>
      </c>
      <c r="B18" s="462">
        <v>704.1450000000001</v>
      </c>
      <c r="C18" s="462">
        <v>510.94200000000001</v>
      </c>
      <c r="D18" s="462">
        <v>7004.4480000000003</v>
      </c>
      <c r="E18" s="462">
        <v>7853.1750000000002</v>
      </c>
    </row>
    <row r="19" spans="1:5" x14ac:dyDescent="0.2">
      <c r="A19" s="461" t="s">
        <v>57</v>
      </c>
      <c r="B19" s="462">
        <v>561.33600000000001</v>
      </c>
      <c r="C19" s="462">
        <v>382.23599999999999</v>
      </c>
      <c r="D19" s="462">
        <v>6360</v>
      </c>
      <c r="E19" s="462">
        <v>7080.67</v>
      </c>
    </row>
    <row r="20" spans="1:5" x14ac:dyDescent="0.2">
      <c r="A20" s="461" t="s">
        <v>105</v>
      </c>
      <c r="B20" s="462">
        <v>14833.674999999999</v>
      </c>
      <c r="C20" s="462">
        <v>8363.0300000000007</v>
      </c>
      <c r="D20" s="462">
        <v>146816.59</v>
      </c>
      <c r="E20" s="462">
        <v>163469.51499999998</v>
      </c>
    </row>
    <row r="21" spans="1:5" x14ac:dyDescent="0.2">
      <c r="A21" s="461" t="s">
        <v>58</v>
      </c>
      <c r="B21" s="462">
        <v>1769.885</v>
      </c>
      <c r="C21" s="462">
        <v>2202.2999999999997</v>
      </c>
      <c r="D21" s="462">
        <v>15411.06</v>
      </c>
      <c r="E21" s="462">
        <v>18680.841</v>
      </c>
    </row>
    <row r="22" spans="1:5" x14ac:dyDescent="0.2">
      <c r="A22" s="461" t="s">
        <v>59</v>
      </c>
      <c r="B22" s="462">
        <v>465.07499999999999</v>
      </c>
      <c r="C22" s="462">
        <v>254.38799999999998</v>
      </c>
      <c r="D22" s="462">
        <v>4623.2519999999995</v>
      </c>
      <c r="E22" s="462">
        <v>5156.79</v>
      </c>
    </row>
    <row r="23" spans="1:5" x14ac:dyDescent="0.2">
      <c r="A23" s="461" t="s">
        <v>60</v>
      </c>
      <c r="B23" s="462">
        <v>1694.259</v>
      </c>
      <c r="C23" s="462">
        <v>1364.1599999999999</v>
      </c>
      <c r="D23" s="462">
        <v>19141.919999999998</v>
      </c>
      <c r="E23" s="462">
        <v>21343.65</v>
      </c>
    </row>
    <row r="24" spans="1:5" x14ac:dyDescent="0.2">
      <c r="A24" s="461" t="s">
        <v>61</v>
      </c>
      <c r="B24" s="462">
        <v>765.14100000000008</v>
      </c>
      <c r="C24" s="462">
        <v>517.48199999999997</v>
      </c>
      <c r="D24" s="462">
        <v>7716.4980000000005</v>
      </c>
      <c r="E24" s="462">
        <v>8720.3990000000013</v>
      </c>
    </row>
    <row r="25" spans="1:5" x14ac:dyDescent="0.2">
      <c r="A25" s="461" t="s">
        <v>62</v>
      </c>
      <c r="B25" s="462">
        <v>3906.6279999999997</v>
      </c>
      <c r="C25" s="462">
        <v>1973.6999999999998</v>
      </c>
      <c r="D25" s="462">
        <v>25438.187999999998</v>
      </c>
      <c r="E25" s="462">
        <v>29909.775000000001</v>
      </c>
    </row>
    <row r="26" spans="1:5" x14ac:dyDescent="0.2">
      <c r="A26" s="461" t="s">
        <v>63</v>
      </c>
      <c r="B26" s="462">
        <v>539.37800000000004</v>
      </c>
      <c r="C26" s="462">
        <v>398.00199999999995</v>
      </c>
      <c r="D26" s="462">
        <v>5718.3589999999995</v>
      </c>
      <c r="E26" s="462">
        <v>6453.1799999999994</v>
      </c>
    </row>
    <row r="27" spans="1:5" x14ac:dyDescent="0.2">
      <c r="A27" s="461" t="s">
        <v>64</v>
      </c>
      <c r="B27" s="462">
        <v>266.32800000000003</v>
      </c>
      <c r="C27" s="462">
        <v>134.26</v>
      </c>
      <c r="D27" s="462">
        <v>2798.39</v>
      </c>
      <c r="E27" s="462">
        <v>3082.116</v>
      </c>
    </row>
    <row r="28" spans="1:5" x14ac:dyDescent="0.2">
      <c r="A28" s="307"/>
      <c r="B28" s="308"/>
      <c r="C28" s="308"/>
      <c r="D28" s="308"/>
      <c r="E28" s="308"/>
    </row>
    <row r="29" spans="1:5" x14ac:dyDescent="0.2">
      <c r="A29" s="309" t="s">
        <v>15</v>
      </c>
      <c r="B29" s="310">
        <v>6585.0439999999999</v>
      </c>
      <c r="C29" s="310">
        <v>4666.9889999999996</v>
      </c>
      <c r="D29" s="310">
        <v>68500.002999999997</v>
      </c>
      <c r="E29" s="310">
        <v>76847.876999999993</v>
      </c>
    </row>
    <row r="30" spans="1:5" x14ac:dyDescent="0.2">
      <c r="A30" s="459" t="s">
        <v>65</v>
      </c>
      <c r="B30" s="460">
        <v>651.88</v>
      </c>
      <c r="C30" s="460">
        <v>335.94</v>
      </c>
      <c r="D30" s="460">
        <v>5152.3999999999996</v>
      </c>
      <c r="E30" s="460">
        <v>5919.9139999999998</v>
      </c>
    </row>
    <row r="31" spans="1:5" x14ac:dyDescent="0.2">
      <c r="A31" s="461" t="s">
        <v>66</v>
      </c>
      <c r="B31" s="462">
        <v>4367.88</v>
      </c>
      <c r="C31" s="462">
        <v>3329.7</v>
      </c>
      <c r="D31" s="462">
        <v>46286.46</v>
      </c>
      <c r="E31" s="462">
        <v>51908.723999999995</v>
      </c>
    </row>
    <row r="32" spans="1:5" x14ac:dyDescent="0.2">
      <c r="A32" s="461" t="s">
        <v>67</v>
      </c>
      <c r="B32" s="462">
        <v>1067.748</v>
      </c>
      <c r="C32" s="462">
        <v>705.34900000000005</v>
      </c>
      <c r="D32" s="462">
        <v>11649.743</v>
      </c>
      <c r="E32" s="462">
        <v>13027.923999999999</v>
      </c>
    </row>
    <row r="33" spans="1:5" x14ac:dyDescent="0.2">
      <c r="A33" s="461" t="s">
        <v>68</v>
      </c>
      <c r="B33" s="462">
        <v>497.536</v>
      </c>
      <c r="C33" s="462">
        <v>296</v>
      </c>
      <c r="D33" s="462">
        <v>5411.4000000000005</v>
      </c>
      <c r="E33" s="462">
        <v>5991.3150000000005</v>
      </c>
    </row>
    <row r="34" spans="1:5" x14ac:dyDescent="0.2">
      <c r="A34" s="307"/>
      <c r="B34" s="308"/>
      <c r="C34" s="308"/>
      <c r="D34" s="308"/>
      <c r="E34" s="308"/>
    </row>
    <row r="35" spans="1:5" x14ac:dyDescent="0.2">
      <c r="A35" s="309" t="s">
        <v>18</v>
      </c>
      <c r="B35" s="310">
        <v>12447.427</v>
      </c>
      <c r="C35" s="310">
        <v>9221.2889999999989</v>
      </c>
      <c r="D35" s="310">
        <v>122203.63699999999</v>
      </c>
      <c r="E35" s="310">
        <v>138446.79399999999</v>
      </c>
    </row>
    <row r="36" spans="1:5" x14ac:dyDescent="0.2">
      <c r="A36" s="459" t="s">
        <v>93</v>
      </c>
      <c r="B36" s="460">
        <v>535.18400000000008</v>
      </c>
      <c r="C36" s="460">
        <v>327.11200000000002</v>
      </c>
      <c r="D36" s="460">
        <v>4923.7920000000004</v>
      </c>
      <c r="E36" s="460">
        <v>5607.0630000000001</v>
      </c>
    </row>
    <row r="37" spans="1:5" x14ac:dyDescent="0.2">
      <c r="A37" s="461" t="s">
        <v>94</v>
      </c>
      <c r="B37" s="462">
        <v>789.56799999999998</v>
      </c>
      <c r="C37" s="462">
        <v>595.95900000000006</v>
      </c>
      <c r="D37" s="462">
        <v>8459.4580000000005</v>
      </c>
      <c r="E37" s="462">
        <v>9384.6949999999997</v>
      </c>
    </row>
    <row r="38" spans="1:5" x14ac:dyDescent="0.2">
      <c r="A38" s="461" t="s">
        <v>95</v>
      </c>
      <c r="B38" s="462">
        <v>1280.3039999999999</v>
      </c>
      <c r="C38" s="462">
        <v>783.09</v>
      </c>
      <c r="D38" s="462">
        <v>11063.25</v>
      </c>
      <c r="E38" s="462">
        <v>12693.9</v>
      </c>
    </row>
    <row r="39" spans="1:5" x14ac:dyDescent="0.2">
      <c r="A39" s="461" t="s">
        <v>96</v>
      </c>
      <c r="B39" s="462">
        <v>559.572</v>
      </c>
      <c r="C39" s="462">
        <v>482.89499999999992</v>
      </c>
      <c r="D39" s="462">
        <v>6797.5409999999993</v>
      </c>
      <c r="E39" s="462">
        <v>7605.1519999999991</v>
      </c>
    </row>
    <row r="40" spans="1:5" x14ac:dyDescent="0.2">
      <c r="A40" s="461" t="s">
        <v>97</v>
      </c>
      <c r="B40" s="462">
        <v>407.83799999999997</v>
      </c>
      <c r="C40" s="462">
        <v>191.25199999999998</v>
      </c>
      <c r="D40" s="462">
        <v>3451.0299999999997</v>
      </c>
      <c r="E40" s="462">
        <v>3882.1439999999998</v>
      </c>
    </row>
    <row r="41" spans="1:5" x14ac:dyDescent="0.2">
      <c r="A41" s="461" t="s">
        <v>98</v>
      </c>
      <c r="B41" s="462">
        <v>716.75099999999998</v>
      </c>
      <c r="C41" s="462">
        <v>537.04</v>
      </c>
      <c r="D41" s="462">
        <v>8048.9849999999997</v>
      </c>
      <c r="E41" s="462">
        <v>9005.8679999999986</v>
      </c>
    </row>
    <row r="42" spans="1:5" x14ac:dyDescent="0.2">
      <c r="A42" s="461" t="s">
        <v>99</v>
      </c>
      <c r="B42" s="462">
        <v>1189.384</v>
      </c>
      <c r="C42" s="462">
        <v>771.1</v>
      </c>
      <c r="D42" s="462">
        <v>11874.28</v>
      </c>
      <c r="E42" s="462">
        <v>13315.886999999999</v>
      </c>
    </row>
    <row r="43" spans="1:5" x14ac:dyDescent="0.2">
      <c r="A43" s="461" t="s">
        <v>100</v>
      </c>
      <c r="B43" s="462">
        <v>2110.5749999999998</v>
      </c>
      <c r="C43" s="462">
        <v>2478.0559999999996</v>
      </c>
      <c r="D43" s="462">
        <v>23961.108999999997</v>
      </c>
      <c r="E43" s="462">
        <v>27169.011999999999</v>
      </c>
    </row>
    <row r="44" spans="1:5" x14ac:dyDescent="0.2">
      <c r="A44" s="461" t="s">
        <v>101</v>
      </c>
      <c r="B44" s="462">
        <v>1351.7</v>
      </c>
      <c r="C44" s="462">
        <v>792.649</v>
      </c>
      <c r="D44" s="462">
        <v>10662.938</v>
      </c>
      <c r="E44" s="462">
        <v>12439.199999999999</v>
      </c>
    </row>
    <row r="45" spans="1:5" x14ac:dyDescent="0.2">
      <c r="A45" s="461" t="s">
        <v>102</v>
      </c>
      <c r="B45" s="462">
        <v>449.87200000000001</v>
      </c>
      <c r="C45" s="462">
        <v>336.52</v>
      </c>
      <c r="D45" s="462">
        <v>4748.6449999999995</v>
      </c>
      <c r="E45" s="462">
        <v>5287.7849999999999</v>
      </c>
    </row>
    <row r="46" spans="1:5" x14ac:dyDescent="0.2">
      <c r="A46" s="461" t="s">
        <v>103</v>
      </c>
      <c r="B46" s="462">
        <v>1775.7840000000001</v>
      </c>
      <c r="C46" s="462">
        <v>1165.8389999999999</v>
      </c>
      <c r="D46" s="462">
        <v>16408.078999999998</v>
      </c>
      <c r="E46" s="462">
        <v>18650.995999999999</v>
      </c>
    </row>
    <row r="47" spans="1:5" x14ac:dyDescent="0.2">
      <c r="A47" s="461" t="s">
        <v>104</v>
      </c>
      <c r="B47" s="462">
        <v>1280.895</v>
      </c>
      <c r="C47" s="462">
        <v>759.77700000000004</v>
      </c>
      <c r="D47" s="462">
        <v>11804.53</v>
      </c>
      <c r="E47" s="462">
        <v>13405.092000000001</v>
      </c>
    </row>
    <row r="48" spans="1:5" x14ac:dyDescent="0.2">
      <c r="A48" s="307"/>
      <c r="B48" s="308"/>
      <c r="C48" s="308"/>
      <c r="D48" s="308"/>
      <c r="E48" s="308"/>
    </row>
    <row r="49" spans="1:5" x14ac:dyDescent="0.2">
      <c r="A49" s="309" t="s">
        <v>20</v>
      </c>
      <c r="B49" s="310">
        <v>12297.064</v>
      </c>
      <c r="C49" s="310">
        <v>8516.2019999999993</v>
      </c>
      <c r="D49" s="310">
        <v>118963.79299999999</v>
      </c>
      <c r="E49" s="310">
        <v>135124.52600000001</v>
      </c>
    </row>
    <row r="50" spans="1:5" x14ac:dyDescent="0.2">
      <c r="A50" s="459" t="s">
        <v>106</v>
      </c>
      <c r="B50" s="460">
        <v>1089.096</v>
      </c>
      <c r="C50" s="460">
        <v>1070.0029999999999</v>
      </c>
      <c r="D50" s="460">
        <v>11842.689</v>
      </c>
      <c r="E50" s="460">
        <v>13683.152</v>
      </c>
    </row>
    <row r="51" spans="1:5" x14ac:dyDescent="0.2">
      <c r="A51" s="461" t="s">
        <v>107</v>
      </c>
      <c r="B51" s="462">
        <v>2097.9700000000003</v>
      </c>
      <c r="C51" s="462">
        <v>1421.174</v>
      </c>
      <c r="D51" s="462">
        <v>20317.108999999997</v>
      </c>
      <c r="E51" s="462">
        <v>22981.232</v>
      </c>
    </row>
    <row r="52" spans="1:5" x14ac:dyDescent="0.2">
      <c r="A52" s="461" t="s">
        <v>108</v>
      </c>
      <c r="B52" s="462">
        <v>962.00299999999993</v>
      </c>
      <c r="C52" s="462">
        <v>897.96600000000001</v>
      </c>
      <c r="D52" s="462">
        <v>11312.757</v>
      </c>
      <c r="E52" s="462">
        <v>12728.1</v>
      </c>
    </row>
    <row r="53" spans="1:5" x14ac:dyDescent="0.2">
      <c r="A53" s="461" t="s">
        <v>109</v>
      </c>
      <c r="B53" s="462">
        <v>2933.223</v>
      </c>
      <c r="C53" s="462">
        <v>1827.7080000000001</v>
      </c>
      <c r="D53" s="462">
        <v>27521.545000000002</v>
      </c>
      <c r="E53" s="462">
        <v>31299.244000000002</v>
      </c>
    </row>
    <row r="54" spans="1:5" x14ac:dyDescent="0.2">
      <c r="A54" s="461" t="s">
        <v>110</v>
      </c>
      <c r="B54" s="462">
        <v>2358.65</v>
      </c>
      <c r="C54" s="462">
        <v>1498.114</v>
      </c>
      <c r="D54" s="462">
        <v>21889.234</v>
      </c>
      <c r="E54" s="462">
        <v>24665.638000000003</v>
      </c>
    </row>
    <row r="55" spans="1:5" x14ac:dyDescent="0.2">
      <c r="A55" s="461" t="s">
        <v>111</v>
      </c>
      <c r="B55" s="462">
        <v>1221.7179999999998</v>
      </c>
      <c r="C55" s="462">
        <v>682.97599999999989</v>
      </c>
      <c r="D55" s="462">
        <v>10622.527999999998</v>
      </c>
      <c r="E55" s="462">
        <v>12158.820000000002</v>
      </c>
    </row>
    <row r="56" spans="1:5" x14ac:dyDescent="0.2">
      <c r="A56" s="461" t="s">
        <v>112</v>
      </c>
      <c r="B56" s="462">
        <v>1022.0999999999999</v>
      </c>
      <c r="C56" s="462">
        <v>772.07600000000002</v>
      </c>
      <c r="D56" s="462">
        <v>10234.776</v>
      </c>
      <c r="E56" s="462">
        <v>11610.96</v>
      </c>
    </row>
    <row r="57" spans="1:5" x14ac:dyDescent="0.2">
      <c r="A57" s="461" t="s">
        <v>113</v>
      </c>
      <c r="B57" s="462">
        <v>612.30400000000009</v>
      </c>
      <c r="C57" s="462">
        <v>346.185</v>
      </c>
      <c r="D57" s="462">
        <v>5223.1549999999997</v>
      </c>
      <c r="E57" s="462">
        <v>5997.3799999999992</v>
      </c>
    </row>
    <row r="58" spans="1:5" x14ac:dyDescent="0.2">
      <c r="A58" s="307"/>
      <c r="B58" s="308"/>
      <c r="C58" s="308"/>
      <c r="D58" s="308"/>
      <c r="E58" s="308"/>
    </row>
    <row r="59" spans="1:5" x14ac:dyDescent="0.2">
      <c r="A59" s="309" t="s">
        <v>21</v>
      </c>
      <c r="B59" s="310">
        <v>15450.081999999997</v>
      </c>
      <c r="C59" s="310">
        <v>11947.960000000001</v>
      </c>
      <c r="D59" s="310">
        <v>148963.02400000003</v>
      </c>
      <c r="E59" s="310">
        <v>169370.39</v>
      </c>
    </row>
    <row r="60" spans="1:5" x14ac:dyDescent="0.2">
      <c r="A60" s="459" t="s">
        <v>114</v>
      </c>
      <c r="B60" s="460">
        <v>291.27600000000001</v>
      </c>
      <c r="C60" s="460">
        <v>225.61599999999999</v>
      </c>
      <c r="D60" s="460">
        <v>3756.8409999999999</v>
      </c>
      <c r="E60" s="460">
        <v>4058.59</v>
      </c>
    </row>
    <row r="61" spans="1:5" x14ac:dyDescent="0.2">
      <c r="A61" s="461" t="s">
        <v>115</v>
      </c>
      <c r="B61" s="462">
        <v>6231.68</v>
      </c>
      <c r="C61" s="462">
        <v>6100.6440000000002</v>
      </c>
      <c r="D61" s="462">
        <v>68508.058000000005</v>
      </c>
      <c r="E61" s="462">
        <v>77376.957000000009</v>
      </c>
    </row>
    <row r="62" spans="1:5" x14ac:dyDescent="0.2">
      <c r="A62" s="461" t="s">
        <v>116</v>
      </c>
      <c r="B62" s="462">
        <v>2053.73</v>
      </c>
      <c r="C62" s="462">
        <v>1406.172</v>
      </c>
      <c r="D62" s="462">
        <v>17584.347999999998</v>
      </c>
      <c r="E62" s="462">
        <v>20147.772000000001</v>
      </c>
    </row>
    <row r="63" spans="1:5" x14ac:dyDescent="0.2">
      <c r="A63" s="461" t="s">
        <v>117</v>
      </c>
      <c r="B63" s="462">
        <v>1089.0450000000001</v>
      </c>
      <c r="C63" s="462">
        <v>540.51200000000006</v>
      </c>
      <c r="D63" s="462">
        <v>7854.7140000000009</v>
      </c>
      <c r="E63" s="462">
        <v>9271.2360000000008</v>
      </c>
    </row>
    <row r="64" spans="1:5" x14ac:dyDescent="0.2">
      <c r="A64" s="461" t="s">
        <v>118</v>
      </c>
      <c r="B64" s="462">
        <v>1074.6960000000001</v>
      </c>
      <c r="C64" s="462">
        <v>633.7639999999999</v>
      </c>
      <c r="D64" s="462">
        <v>9138.4679999999989</v>
      </c>
      <c r="E64" s="462">
        <v>10413.864</v>
      </c>
    </row>
    <row r="65" spans="1:5" x14ac:dyDescent="0.2">
      <c r="A65" s="461" t="s">
        <v>119</v>
      </c>
      <c r="B65" s="462">
        <v>483.21</v>
      </c>
      <c r="C65" s="462">
        <v>329.70300000000003</v>
      </c>
      <c r="D65" s="462">
        <v>4374.603000000001</v>
      </c>
      <c r="E65" s="462">
        <v>4996.12</v>
      </c>
    </row>
    <row r="66" spans="1:5" x14ac:dyDescent="0.2">
      <c r="A66" s="461" t="s">
        <v>120</v>
      </c>
      <c r="B66" s="462">
        <v>1255.425</v>
      </c>
      <c r="C66" s="462">
        <v>633.56999999999994</v>
      </c>
      <c r="D66" s="462">
        <v>10052.49</v>
      </c>
      <c r="E66" s="462">
        <v>11563.875</v>
      </c>
    </row>
    <row r="67" spans="1:5" x14ac:dyDescent="0.2">
      <c r="A67" s="461" t="s">
        <v>121</v>
      </c>
      <c r="B67" s="462">
        <v>2347.8000000000002</v>
      </c>
      <c r="C67" s="462">
        <v>1517.9760000000001</v>
      </c>
      <c r="D67" s="462">
        <v>21109.419000000002</v>
      </c>
      <c r="E67" s="462">
        <v>24075.45</v>
      </c>
    </row>
    <row r="68" spans="1:5" x14ac:dyDescent="0.2">
      <c r="A68" s="461" t="s">
        <v>122</v>
      </c>
      <c r="B68" s="462">
        <v>623.22</v>
      </c>
      <c r="C68" s="462">
        <v>560.00300000000004</v>
      </c>
      <c r="D68" s="462">
        <v>6584.0830000000005</v>
      </c>
      <c r="E68" s="462">
        <v>7466.5259999999998</v>
      </c>
    </row>
    <row r="69" spans="1:5" x14ac:dyDescent="0.2">
      <c r="A69" s="307"/>
      <c r="B69" s="308"/>
      <c r="C69" s="308"/>
      <c r="D69" s="308"/>
      <c r="E69" s="308"/>
    </row>
    <row r="70" spans="1:5" x14ac:dyDescent="0.2">
      <c r="A70" s="309" t="s">
        <v>292</v>
      </c>
      <c r="B70" s="310">
        <v>13543.015000000001</v>
      </c>
      <c r="C70" s="310">
        <v>11123.619000000002</v>
      </c>
      <c r="D70" s="310">
        <v>147779.45500000002</v>
      </c>
      <c r="E70" s="310">
        <v>167108.58000000005</v>
      </c>
    </row>
    <row r="71" spans="1:5" x14ac:dyDescent="0.2">
      <c r="A71" s="459" t="s">
        <v>123</v>
      </c>
      <c r="B71" s="460">
        <v>450.29600000000005</v>
      </c>
      <c r="C71" s="460">
        <v>279.48399999999998</v>
      </c>
      <c r="D71" s="460">
        <v>4602.4979999999996</v>
      </c>
      <c r="E71" s="460">
        <v>5121.6899999999996</v>
      </c>
    </row>
    <row r="72" spans="1:5" x14ac:dyDescent="0.2">
      <c r="A72" s="461" t="s">
        <v>124</v>
      </c>
      <c r="B72" s="462">
        <v>196.959</v>
      </c>
      <c r="C72" s="462">
        <v>111.80499999999999</v>
      </c>
      <c r="D72" s="462">
        <v>1788.5849999999998</v>
      </c>
      <c r="E72" s="462">
        <v>2054.4349999999999</v>
      </c>
    </row>
    <row r="73" spans="1:5" x14ac:dyDescent="0.2">
      <c r="A73" s="461" t="s">
        <v>125</v>
      </c>
      <c r="B73" s="462">
        <v>397.76099999999997</v>
      </c>
      <c r="C73" s="462">
        <v>242.48000000000002</v>
      </c>
      <c r="D73" s="462">
        <v>4212.04</v>
      </c>
      <c r="E73" s="462">
        <v>4745.5199999999995</v>
      </c>
    </row>
    <row r="74" spans="1:5" x14ac:dyDescent="0.2">
      <c r="A74" s="461" t="s">
        <v>126</v>
      </c>
      <c r="B74" s="462">
        <v>253.55199999999999</v>
      </c>
      <c r="C74" s="462">
        <v>186.40499999999997</v>
      </c>
      <c r="D74" s="462">
        <v>3111.6629999999996</v>
      </c>
      <c r="E74" s="462">
        <v>3395.7840000000006</v>
      </c>
    </row>
    <row r="75" spans="1:5" x14ac:dyDescent="0.2">
      <c r="A75" s="461" t="s">
        <v>127</v>
      </c>
      <c r="B75" s="462">
        <v>2849.7440000000001</v>
      </c>
      <c r="C75" s="462">
        <v>2075.4639999999999</v>
      </c>
      <c r="D75" s="462">
        <v>36577.307999999997</v>
      </c>
      <c r="E75" s="462">
        <v>40064.200000000004</v>
      </c>
    </row>
    <row r="76" spans="1:5" x14ac:dyDescent="0.2">
      <c r="A76" s="461" t="s">
        <v>128</v>
      </c>
      <c r="B76" s="462">
        <v>925.78499999999997</v>
      </c>
      <c r="C76" s="462">
        <v>793.27599999999995</v>
      </c>
      <c r="D76" s="462">
        <v>11404.008</v>
      </c>
      <c r="E76" s="462">
        <v>12693.915000000001</v>
      </c>
    </row>
    <row r="77" spans="1:5" x14ac:dyDescent="0.2">
      <c r="A77" s="461" t="s">
        <v>129</v>
      </c>
      <c r="B77" s="462">
        <v>391.27600000000001</v>
      </c>
      <c r="C77" s="462">
        <v>224.13600000000002</v>
      </c>
      <c r="D77" s="462">
        <v>3759.8880000000004</v>
      </c>
      <c r="E77" s="462">
        <v>4275.0240000000003</v>
      </c>
    </row>
    <row r="78" spans="1:5" x14ac:dyDescent="0.2">
      <c r="A78" s="461" t="s">
        <v>130</v>
      </c>
      <c r="B78" s="462">
        <v>169.524</v>
      </c>
      <c r="C78" s="462">
        <v>86.765000000000001</v>
      </c>
      <c r="D78" s="462">
        <v>1462.3140000000001</v>
      </c>
      <c r="E78" s="462">
        <v>1673.8169999999998</v>
      </c>
    </row>
    <row r="79" spans="1:5" x14ac:dyDescent="0.2">
      <c r="A79" s="461" t="s">
        <v>131</v>
      </c>
      <c r="B79" s="462">
        <v>145.87299999999999</v>
      </c>
      <c r="C79" s="462">
        <v>88.769999999999982</v>
      </c>
      <c r="D79" s="462">
        <v>1286.3579999999997</v>
      </c>
      <c r="E79" s="462">
        <v>1477.3</v>
      </c>
    </row>
    <row r="80" spans="1:5" x14ac:dyDescent="0.2">
      <c r="A80" s="461" t="s">
        <v>132</v>
      </c>
      <c r="B80" s="462">
        <v>698.19</v>
      </c>
      <c r="C80" s="462">
        <v>421.24700000000001</v>
      </c>
      <c r="D80" s="462">
        <v>7288.5320000000002</v>
      </c>
      <c r="E80" s="462">
        <v>8185.4880000000012</v>
      </c>
    </row>
    <row r="81" spans="1:5" x14ac:dyDescent="0.2">
      <c r="A81" s="461" t="s">
        <v>133</v>
      </c>
      <c r="B81" s="462">
        <v>1538.7299999999998</v>
      </c>
      <c r="C81" s="462">
        <v>772.19400000000007</v>
      </c>
      <c r="D81" s="462">
        <v>14307.114000000001</v>
      </c>
      <c r="E81" s="462">
        <v>16172.725999999999</v>
      </c>
    </row>
    <row r="82" spans="1:5" x14ac:dyDescent="0.2">
      <c r="A82" s="461" t="s">
        <v>134</v>
      </c>
      <c r="B82" s="462">
        <v>611.9</v>
      </c>
      <c r="C82" s="462">
        <v>1106.3499999999999</v>
      </c>
      <c r="D82" s="462">
        <v>6517.75</v>
      </c>
      <c r="E82" s="462">
        <v>7940.2049999999999</v>
      </c>
    </row>
    <row r="83" spans="1:5" x14ac:dyDescent="0.2">
      <c r="A83" s="461" t="s">
        <v>135</v>
      </c>
      <c r="B83" s="462">
        <v>602.28600000000006</v>
      </c>
      <c r="C83" s="462">
        <v>328.274</v>
      </c>
      <c r="D83" s="462">
        <v>5238.7939999999999</v>
      </c>
      <c r="E83" s="462">
        <v>6036.58</v>
      </c>
    </row>
    <row r="84" spans="1:5" x14ac:dyDescent="0.2">
      <c r="A84" s="461" t="s">
        <v>136</v>
      </c>
      <c r="B84" s="462">
        <v>233.15100000000001</v>
      </c>
      <c r="C84" s="462">
        <v>266.64400000000001</v>
      </c>
      <c r="D84" s="462">
        <v>2535.6860000000001</v>
      </c>
      <c r="E84" s="462">
        <v>2915.8979999999997</v>
      </c>
    </row>
    <row r="85" spans="1:5" x14ac:dyDescent="0.2">
      <c r="A85" s="461" t="s">
        <v>137</v>
      </c>
      <c r="B85" s="462">
        <v>500.78699999999998</v>
      </c>
      <c r="C85" s="462">
        <v>344.48699999999997</v>
      </c>
      <c r="D85" s="462">
        <v>5648.4479999999994</v>
      </c>
      <c r="E85" s="462">
        <v>6285.8920000000007</v>
      </c>
    </row>
    <row r="86" spans="1:5" x14ac:dyDescent="0.2">
      <c r="A86" s="461" t="s">
        <v>138</v>
      </c>
      <c r="B86" s="462">
        <v>173.81299999999999</v>
      </c>
      <c r="C86" s="462">
        <v>83.103999999999985</v>
      </c>
      <c r="D86" s="462">
        <v>1929.5359999999998</v>
      </c>
      <c r="E86" s="462">
        <v>2125.442</v>
      </c>
    </row>
    <row r="87" spans="1:5" x14ac:dyDescent="0.2">
      <c r="A87" s="461" t="s">
        <v>139</v>
      </c>
      <c r="B87" s="462">
        <v>344.73599999999999</v>
      </c>
      <c r="C87" s="462">
        <v>154.25</v>
      </c>
      <c r="D87" s="462">
        <v>2723.25</v>
      </c>
      <c r="E87" s="462">
        <v>3151.0080000000003</v>
      </c>
    </row>
    <row r="88" spans="1:5" x14ac:dyDescent="0.2">
      <c r="A88" s="461" t="s">
        <v>140</v>
      </c>
      <c r="B88" s="462">
        <v>751.19200000000001</v>
      </c>
      <c r="C88" s="462">
        <v>557.06000000000006</v>
      </c>
      <c r="D88" s="462">
        <v>8600.6200000000008</v>
      </c>
      <c r="E88" s="462">
        <v>9607.42</v>
      </c>
    </row>
    <row r="89" spans="1:5" x14ac:dyDescent="0.2">
      <c r="A89" s="461" t="s">
        <v>141</v>
      </c>
      <c r="B89" s="462">
        <v>288.2</v>
      </c>
      <c r="C89" s="462">
        <v>139.46599999999998</v>
      </c>
      <c r="D89" s="462">
        <v>2239.6759999999999</v>
      </c>
      <c r="E89" s="462">
        <v>2602.125</v>
      </c>
    </row>
    <row r="90" spans="1:5" x14ac:dyDescent="0.2">
      <c r="A90" s="461" t="s">
        <v>142</v>
      </c>
      <c r="B90" s="462">
        <v>380.72</v>
      </c>
      <c r="C90" s="462">
        <v>315.71000000000004</v>
      </c>
      <c r="D90" s="462">
        <v>4005.6610000000005</v>
      </c>
      <c r="E90" s="462">
        <v>4583.38</v>
      </c>
    </row>
    <row r="91" spans="1:5" x14ac:dyDescent="0.2">
      <c r="A91" s="461" t="s">
        <v>143</v>
      </c>
      <c r="B91" s="462">
        <v>458.25</v>
      </c>
      <c r="C91" s="462">
        <v>1793.61</v>
      </c>
      <c r="D91" s="462">
        <v>6271.0199999999995</v>
      </c>
      <c r="E91" s="462">
        <v>8235.7080000000005</v>
      </c>
    </row>
    <row r="92" spans="1:5" x14ac:dyDescent="0.2">
      <c r="A92" s="461" t="s">
        <v>144</v>
      </c>
      <c r="B92" s="462">
        <v>923.5200000000001</v>
      </c>
      <c r="C92" s="462">
        <v>622.63300000000004</v>
      </c>
      <c r="D92" s="462">
        <v>9876.6139999999996</v>
      </c>
      <c r="E92" s="462">
        <v>11065.695</v>
      </c>
    </row>
    <row r="93" spans="1:5" x14ac:dyDescent="0.2">
      <c r="A93" s="461" t="s">
        <v>145</v>
      </c>
      <c r="B93" s="462">
        <v>256.77</v>
      </c>
      <c r="C93" s="462">
        <v>130.005</v>
      </c>
      <c r="D93" s="462">
        <v>2392.0920000000001</v>
      </c>
      <c r="E93" s="462">
        <v>2699.328</v>
      </c>
    </row>
    <row r="94" spans="1:5" x14ac:dyDescent="0.2">
      <c r="A94" s="307"/>
      <c r="B94" s="308"/>
      <c r="C94" s="308"/>
      <c r="D94" s="308"/>
      <c r="E94" s="308"/>
    </row>
    <row r="95" spans="1:5" x14ac:dyDescent="0.2">
      <c r="A95" s="309" t="s">
        <v>476</v>
      </c>
      <c r="B95" s="310">
        <v>16040.819999999998</v>
      </c>
      <c r="C95" s="310">
        <v>14239.956999999999</v>
      </c>
      <c r="D95" s="310">
        <v>160586.96799999999</v>
      </c>
      <c r="E95" s="310">
        <v>184150.821</v>
      </c>
    </row>
    <row r="96" spans="1:5" x14ac:dyDescent="0.2">
      <c r="A96" s="459" t="s">
        <v>74</v>
      </c>
      <c r="B96" s="460">
        <v>707.33199999999988</v>
      </c>
      <c r="C96" s="460">
        <v>358.34399999999999</v>
      </c>
      <c r="D96" s="460">
        <v>6065.7779999999993</v>
      </c>
      <c r="E96" s="460">
        <v>6967.7400000000007</v>
      </c>
    </row>
    <row r="97" spans="1:5" x14ac:dyDescent="0.2">
      <c r="A97" s="461" t="s">
        <v>75</v>
      </c>
      <c r="B97" s="462">
        <v>200.30500000000001</v>
      </c>
      <c r="C97" s="462">
        <v>163.90400000000002</v>
      </c>
      <c r="D97" s="462">
        <v>2505.9840000000004</v>
      </c>
      <c r="E97" s="462">
        <v>2759.27</v>
      </c>
    </row>
    <row r="98" spans="1:5" x14ac:dyDescent="0.2">
      <c r="A98" s="461" t="s">
        <v>69</v>
      </c>
      <c r="B98" s="462">
        <v>1445.068</v>
      </c>
      <c r="C98" s="462">
        <v>703.39499999999998</v>
      </c>
      <c r="D98" s="462">
        <v>14777.763000000001</v>
      </c>
      <c r="E98" s="462">
        <v>16550.14</v>
      </c>
    </row>
    <row r="99" spans="1:5" x14ac:dyDescent="0.2">
      <c r="A99" s="461" t="s">
        <v>76</v>
      </c>
      <c r="B99" s="462">
        <v>169.85</v>
      </c>
      <c r="C99" s="462">
        <v>71.995000000000005</v>
      </c>
      <c r="D99" s="462">
        <v>1147.6189999999999</v>
      </c>
      <c r="E99" s="462">
        <v>1334.029</v>
      </c>
    </row>
    <row r="100" spans="1:5" x14ac:dyDescent="0.2">
      <c r="A100" s="461" t="s">
        <v>70</v>
      </c>
      <c r="B100" s="462">
        <v>826.74900000000002</v>
      </c>
      <c r="C100" s="462">
        <v>492.12799999999993</v>
      </c>
      <c r="D100" s="462">
        <v>9014.4319999999989</v>
      </c>
      <c r="E100" s="462">
        <v>9997.2759999999998</v>
      </c>
    </row>
    <row r="101" spans="1:5" x14ac:dyDescent="0.2">
      <c r="A101" s="461" t="s">
        <v>77</v>
      </c>
      <c r="B101" s="462">
        <v>189.00199999999998</v>
      </c>
      <c r="C101" s="462">
        <v>118.235</v>
      </c>
      <c r="D101" s="462">
        <v>1749.2149999999999</v>
      </c>
      <c r="E101" s="462">
        <v>2000.1599999999999</v>
      </c>
    </row>
    <row r="102" spans="1:5" x14ac:dyDescent="0.2">
      <c r="A102" s="461" t="s">
        <v>78</v>
      </c>
      <c r="B102" s="462">
        <v>1395.68</v>
      </c>
      <c r="C102" s="462">
        <v>997.24799999999993</v>
      </c>
      <c r="D102" s="462">
        <v>11967.188</v>
      </c>
      <c r="E102" s="462">
        <v>13963.624999999998</v>
      </c>
    </row>
    <row r="103" spans="1:5" x14ac:dyDescent="0.2">
      <c r="A103" s="461" t="s">
        <v>79</v>
      </c>
      <c r="B103" s="462">
        <v>404.62400000000002</v>
      </c>
      <c r="C103" s="462">
        <v>198.23999999999998</v>
      </c>
      <c r="D103" s="462">
        <v>3169.5299999999997</v>
      </c>
      <c r="E103" s="462">
        <v>3673.03</v>
      </c>
    </row>
    <row r="104" spans="1:5" x14ac:dyDescent="0.2">
      <c r="A104" s="461" t="s">
        <v>80</v>
      </c>
      <c r="B104" s="462">
        <v>582.70000000000005</v>
      </c>
      <c r="C104" s="462">
        <v>213.96200000000002</v>
      </c>
      <c r="D104" s="462">
        <v>5084.3940000000002</v>
      </c>
      <c r="E104" s="462">
        <v>5730.1559999999999</v>
      </c>
    </row>
    <row r="105" spans="1:5" x14ac:dyDescent="0.2">
      <c r="A105" s="461" t="s">
        <v>81</v>
      </c>
      <c r="B105" s="462">
        <v>157.20000000000002</v>
      </c>
      <c r="C105" s="462">
        <v>93.529999999999987</v>
      </c>
      <c r="D105" s="462">
        <v>1325.1409999999998</v>
      </c>
      <c r="E105" s="462">
        <v>1518.6979999999999</v>
      </c>
    </row>
    <row r="106" spans="1:5" x14ac:dyDescent="0.2">
      <c r="A106" s="461" t="s">
        <v>82</v>
      </c>
      <c r="B106" s="462">
        <v>234.92</v>
      </c>
      <c r="C106" s="462">
        <v>272.83499999999998</v>
      </c>
      <c r="D106" s="462">
        <v>3028.2750000000001</v>
      </c>
      <c r="E106" s="462">
        <v>3362.4279999999999</v>
      </c>
    </row>
    <row r="107" spans="1:5" x14ac:dyDescent="0.2">
      <c r="A107" s="461" t="s">
        <v>83</v>
      </c>
      <c r="B107" s="462">
        <v>107.375</v>
      </c>
      <c r="C107" s="462">
        <v>49.95</v>
      </c>
      <c r="D107" s="462">
        <v>987.93000000000006</v>
      </c>
      <c r="E107" s="462">
        <v>1095.799</v>
      </c>
    </row>
    <row r="108" spans="1:5" x14ac:dyDescent="0.2">
      <c r="A108" s="461" t="s">
        <v>84</v>
      </c>
      <c r="B108" s="462">
        <v>175.02799999999999</v>
      </c>
      <c r="C108" s="462">
        <v>74.97</v>
      </c>
      <c r="D108" s="462">
        <v>1551.93</v>
      </c>
      <c r="E108" s="462">
        <v>1772.03</v>
      </c>
    </row>
    <row r="109" spans="1:5" x14ac:dyDescent="0.2">
      <c r="A109" s="461" t="s">
        <v>85</v>
      </c>
      <c r="B109" s="462">
        <v>275.88</v>
      </c>
      <c r="C109" s="462">
        <v>147.63</v>
      </c>
      <c r="D109" s="462">
        <v>2730</v>
      </c>
      <c r="E109" s="462">
        <v>3075.8759999999997</v>
      </c>
    </row>
    <row r="110" spans="1:5" ht="14.25" customHeight="1" x14ac:dyDescent="0.2">
      <c r="A110" s="461" t="s">
        <v>71</v>
      </c>
      <c r="B110" s="462">
        <v>2295.9300000000003</v>
      </c>
      <c r="C110" s="462">
        <v>2671.32</v>
      </c>
      <c r="D110" s="462">
        <v>29915.394</v>
      </c>
      <c r="E110" s="462">
        <v>33389.046000000002</v>
      </c>
    </row>
    <row r="111" spans="1:5" ht="14.25" customHeight="1" x14ac:dyDescent="0.2">
      <c r="A111" s="461" t="s">
        <v>86</v>
      </c>
      <c r="B111" s="462">
        <v>191.79999999999998</v>
      </c>
      <c r="C111" s="462">
        <v>106.46499999999999</v>
      </c>
      <c r="D111" s="462">
        <v>2316.3599999999997</v>
      </c>
      <c r="E111" s="462">
        <v>2527.2000000000003</v>
      </c>
    </row>
    <row r="112" spans="1:5" x14ac:dyDescent="0.2">
      <c r="A112" s="461" t="s">
        <v>72</v>
      </c>
      <c r="B112" s="462">
        <v>2821.6320000000001</v>
      </c>
      <c r="C112" s="462">
        <v>2994.2459999999996</v>
      </c>
      <c r="D112" s="462">
        <v>22633.291999999998</v>
      </c>
      <c r="E112" s="462">
        <v>27182.163</v>
      </c>
    </row>
    <row r="113" spans="1:18" x14ac:dyDescent="0.2">
      <c r="A113" s="461" t="s">
        <v>87</v>
      </c>
      <c r="B113" s="462">
        <v>199.04400000000001</v>
      </c>
      <c r="C113" s="462">
        <v>74.882999999999996</v>
      </c>
      <c r="D113" s="462">
        <v>1632.3119999999999</v>
      </c>
      <c r="E113" s="462">
        <v>1850.3019999999999</v>
      </c>
    </row>
    <row r="114" spans="1:18" x14ac:dyDescent="0.2">
      <c r="A114" s="461" t="s">
        <v>88</v>
      </c>
      <c r="B114" s="462">
        <v>454.74</v>
      </c>
      <c r="C114" s="462">
        <v>464.80799999999999</v>
      </c>
      <c r="D114" s="462">
        <v>4708.2139999999999</v>
      </c>
      <c r="E114" s="462">
        <v>5429.5920000000006</v>
      </c>
    </row>
    <row r="115" spans="1:18" x14ac:dyDescent="0.2">
      <c r="A115" s="461" t="s">
        <v>73</v>
      </c>
      <c r="B115" s="462">
        <v>849.43799999999987</v>
      </c>
      <c r="C115" s="462">
        <v>528.08600000000001</v>
      </c>
      <c r="D115" s="462">
        <v>8259.68</v>
      </c>
      <c r="E115" s="462">
        <v>9279.2739999999994</v>
      </c>
    </row>
    <row r="116" spans="1:18" x14ac:dyDescent="0.2">
      <c r="A116" s="461" t="s">
        <v>89</v>
      </c>
      <c r="B116" s="462">
        <v>167.024</v>
      </c>
      <c r="C116" s="462">
        <v>77.210999999999999</v>
      </c>
      <c r="D116" s="462">
        <v>1524.5549999999998</v>
      </c>
      <c r="E116" s="462">
        <v>1714.4460000000001</v>
      </c>
    </row>
    <row r="117" spans="1:18" x14ac:dyDescent="0.2">
      <c r="A117" s="461" t="s">
        <v>90</v>
      </c>
      <c r="B117" s="462">
        <v>1961.04</v>
      </c>
      <c r="C117" s="462">
        <v>3263.2420000000002</v>
      </c>
      <c r="D117" s="462">
        <v>22322.982</v>
      </c>
      <c r="E117" s="462">
        <v>26559.203999999998</v>
      </c>
    </row>
    <row r="118" spans="1:18" x14ac:dyDescent="0.2">
      <c r="A118" s="461" t="s">
        <v>91</v>
      </c>
      <c r="B118" s="462">
        <v>65.204999999999998</v>
      </c>
      <c r="C118" s="462">
        <v>27.729999999999997</v>
      </c>
      <c r="D118" s="462">
        <v>729.24</v>
      </c>
      <c r="E118" s="462">
        <v>780.81499999999994</v>
      </c>
    </row>
    <row r="119" spans="1:18" x14ac:dyDescent="0.2">
      <c r="A119" s="461" t="s">
        <v>92</v>
      </c>
      <c r="B119" s="462">
        <v>163.25400000000002</v>
      </c>
      <c r="C119" s="462">
        <v>75.599999999999994</v>
      </c>
      <c r="D119" s="462">
        <v>1439.76</v>
      </c>
      <c r="E119" s="462">
        <v>1638.5220000000002</v>
      </c>
    </row>
    <row r="120" spans="1:18" x14ac:dyDescent="0.2">
      <c r="A120" s="307"/>
      <c r="B120" s="308"/>
      <c r="C120" s="308"/>
      <c r="D120" s="308"/>
      <c r="E120" s="308"/>
    </row>
    <row r="121" spans="1:18" x14ac:dyDescent="0.2">
      <c r="A121" s="307" t="s">
        <v>298</v>
      </c>
      <c r="B121" s="308">
        <v>134601.01099999997</v>
      </c>
      <c r="C121" s="308">
        <v>96870.887000000002</v>
      </c>
      <c r="D121" s="308">
        <v>1307069.3260000004</v>
      </c>
      <c r="E121" s="308">
        <v>1482472.2770000002</v>
      </c>
    </row>
    <row r="122" spans="1:18" ht="14.25" x14ac:dyDescent="0.2">
      <c r="A122" s="457"/>
      <c r="B122" s="457"/>
      <c r="C122" s="457"/>
      <c r="D122" s="457"/>
      <c r="E122" s="457"/>
    </row>
    <row r="123" spans="1:18" ht="30" customHeight="1" x14ac:dyDescent="0.2">
      <c r="A123" s="563" t="s">
        <v>500</v>
      </c>
      <c r="B123" s="563"/>
      <c r="C123" s="563"/>
      <c r="D123" s="563"/>
      <c r="E123" s="563"/>
    </row>
    <row r="124" spans="1:18" ht="30" customHeight="1" x14ac:dyDescent="0.2">
      <c r="A124" s="564" t="s">
        <v>495</v>
      </c>
      <c r="B124" s="564"/>
      <c r="C124" s="564"/>
      <c r="D124" s="564"/>
      <c r="E124" s="564"/>
      <c r="F124" s="246"/>
      <c r="G124" s="246"/>
      <c r="H124" s="246"/>
      <c r="I124" s="246"/>
      <c r="J124" s="246"/>
      <c r="K124" s="246"/>
      <c r="L124" s="246"/>
      <c r="M124" s="246"/>
      <c r="N124" s="246"/>
      <c r="O124" s="246"/>
      <c r="P124" s="246"/>
      <c r="Q124" s="246"/>
      <c r="R124" s="246"/>
    </row>
    <row r="125" spans="1:18" ht="50.1" customHeight="1" x14ac:dyDescent="0.2">
      <c r="A125" s="564" t="s">
        <v>496</v>
      </c>
      <c r="B125" s="564"/>
      <c r="C125" s="564"/>
      <c r="D125" s="564"/>
      <c r="E125" s="564"/>
      <c r="F125" s="246"/>
      <c r="G125" s="246"/>
      <c r="H125" s="246"/>
      <c r="I125" s="246"/>
      <c r="J125" s="246"/>
      <c r="K125" s="246"/>
      <c r="L125" s="246"/>
      <c r="M125" s="246"/>
      <c r="N125" s="246"/>
      <c r="O125" s="246"/>
      <c r="P125" s="246"/>
      <c r="Q125" s="246"/>
      <c r="R125" s="246"/>
    </row>
  </sheetData>
  <sheetProtection sheet="1" objects="1" scenarios="1"/>
  <mergeCells count="3">
    <mergeCell ref="A123:E123"/>
    <mergeCell ref="A124:E124"/>
    <mergeCell ref="A125:E125"/>
  </mergeCells>
  <printOptions horizontalCentered="1"/>
  <pageMargins left="0.3" right="0.3" top="0.5" bottom="0.5" header="0.3" footer="0.3"/>
  <pageSetup scale="75" fitToHeight="2" orientation="portrait" r:id="rId2"/>
  <headerFooter>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U111"/>
  <sheetViews>
    <sheetView showGridLines="0" zoomScale="80" zoomScaleNormal="80" workbookViewId="0">
      <pane xSplit="1" ySplit="5" topLeftCell="B6" activePane="bottomRight" state="frozen"/>
      <selection activeCell="B18" sqref="B18"/>
      <selection pane="topRight" activeCell="B18" sqref="B18"/>
      <selection pane="bottomLeft" activeCell="B18" sqref="B18"/>
      <selection pane="bottomRight" activeCell="H25" sqref="H25"/>
    </sheetView>
  </sheetViews>
  <sheetFormatPr defaultRowHeight="14.25" x14ac:dyDescent="0.2"/>
  <cols>
    <col min="1" max="1" width="17.85546875" style="247" customWidth="1"/>
    <col min="2" max="2" width="43.5703125" style="246" customWidth="1"/>
    <col min="3" max="3" width="12.42578125" style="289" customWidth="1"/>
    <col min="4" max="19" width="15" style="246" customWidth="1"/>
    <col min="20" max="20" width="9.140625" style="246"/>
    <col min="21" max="21" width="11" style="246" bestFit="1" customWidth="1"/>
    <col min="22" max="16384" width="9.140625" style="246"/>
  </cols>
  <sheetData>
    <row r="1" spans="1:21" ht="24.95" customHeight="1" x14ac:dyDescent="0.2">
      <c r="A1" s="463" t="s">
        <v>524</v>
      </c>
      <c r="B1" s="464"/>
      <c r="C1" s="464"/>
      <c r="D1" s="465" t="s">
        <v>489</v>
      </c>
      <c r="E1" s="465" t="s">
        <v>489</v>
      </c>
      <c r="F1" s="465" t="s">
        <v>489</v>
      </c>
      <c r="G1" s="465"/>
      <c r="H1" s="465"/>
      <c r="I1" s="465" t="s">
        <v>489</v>
      </c>
      <c r="J1" s="496" t="s">
        <v>525</v>
      </c>
      <c r="K1" s="465" t="s">
        <v>489</v>
      </c>
      <c r="L1" s="465" t="s">
        <v>489</v>
      </c>
      <c r="M1" s="465" t="s">
        <v>489</v>
      </c>
      <c r="N1" s="496" t="s">
        <v>525</v>
      </c>
      <c r="O1" s="496" t="s">
        <v>525</v>
      </c>
      <c r="P1" s="496" t="s">
        <v>525</v>
      </c>
      <c r="Q1" s="496" t="s">
        <v>525</v>
      </c>
      <c r="R1" s="496" t="s">
        <v>525</v>
      </c>
      <c r="S1" s="496" t="s">
        <v>525</v>
      </c>
    </row>
    <row r="2" spans="1:21" ht="18" x14ac:dyDescent="0.2">
      <c r="A2" s="244" t="s">
        <v>526</v>
      </c>
      <c r="B2" s="245"/>
      <c r="C2" s="245"/>
      <c r="D2" s="245"/>
      <c r="E2" s="245"/>
      <c r="F2" s="245"/>
      <c r="G2" s="245"/>
      <c r="H2" s="245"/>
      <c r="I2" s="245"/>
      <c r="J2" s="245"/>
      <c r="K2" s="245"/>
      <c r="L2" s="245"/>
      <c r="M2" s="245"/>
      <c r="N2" s="245"/>
      <c r="O2" s="245"/>
      <c r="P2" s="244"/>
      <c r="Q2" s="244"/>
      <c r="R2" s="244"/>
      <c r="S2" s="245"/>
    </row>
    <row r="3" spans="1:21" s="455" customFormat="1" ht="24.95" customHeight="1" thickBot="1" x14ac:dyDescent="0.25">
      <c r="A3" s="454">
        <v>1</v>
      </c>
      <c r="B3" s="454">
        <v>2</v>
      </c>
      <c r="C3" s="454">
        <v>3</v>
      </c>
      <c r="D3" s="454">
        <v>4</v>
      </c>
      <c r="E3" s="454">
        <v>5</v>
      </c>
      <c r="F3" s="454">
        <v>6</v>
      </c>
      <c r="G3" s="454">
        <v>7</v>
      </c>
      <c r="H3" s="454">
        <v>8</v>
      </c>
      <c r="I3" s="454">
        <v>9</v>
      </c>
      <c r="J3" s="454">
        <v>10</v>
      </c>
      <c r="K3" s="454">
        <v>11</v>
      </c>
      <c r="L3" s="454">
        <v>12</v>
      </c>
      <c r="M3" s="454">
        <v>13</v>
      </c>
      <c r="N3" s="454">
        <v>14</v>
      </c>
      <c r="O3" s="454">
        <v>15</v>
      </c>
      <c r="P3" s="454">
        <v>16</v>
      </c>
      <c r="Q3" s="454">
        <v>17</v>
      </c>
      <c r="R3" s="497">
        <v>18</v>
      </c>
      <c r="S3" s="454">
        <v>19</v>
      </c>
    </row>
    <row r="4" spans="1:21" ht="20.100000000000001" customHeight="1" thickTop="1" x14ac:dyDescent="0.2">
      <c r="B4" s="245"/>
      <c r="C4" s="245"/>
      <c r="D4" s="248" t="s">
        <v>527</v>
      </c>
      <c r="E4" s="249"/>
      <c r="F4" s="250"/>
      <c r="G4" s="250"/>
      <c r="H4" s="250"/>
      <c r="I4" s="250"/>
      <c r="J4" s="251"/>
      <c r="K4" s="456" t="s">
        <v>528</v>
      </c>
      <c r="L4" s="250"/>
      <c r="M4" s="251"/>
      <c r="N4" s="252" t="s">
        <v>529</v>
      </c>
      <c r="O4" s="253"/>
      <c r="P4" s="253"/>
      <c r="Q4" s="253"/>
      <c r="R4" s="253"/>
      <c r="S4" s="254"/>
    </row>
    <row r="5" spans="1:21" ht="71.25" customHeight="1" thickBot="1" x14ac:dyDescent="0.25">
      <c r="A5" s="255" t="s">
        <v>268</v>
      </c>
      <c r="B5" s="255" t="s">
        <v>293</v>
      </c>
      <c r="C5" s="255" t="s">
        <v>269</v>
      </c>
      <c r="D5" s="256" t="s">
        <v>480</v>
      </c>
      <c r="E5" s="257" t="s">
        <v>271</v>
      </c>
      <c r="F5" s="257" t="s">
        <v>272</v>
      </c>
      <c r="G5" s="257" t="s">
        <v>281</v>
      </c>
      <c r="H5" s="257" t="s">
        <v>275</v>
      </c>
      <c r="I5" s="258" t="s">
        <v>276</v>
      </c>
      <c r="J5" s="259" t="s">
        <v>277</v>
      </c>
      <c r="K5" s="466" t="s">
        <v>491</v>
      </c>
      <c r="L5" s="467" t="s">
        <v>492</v>
      </c>
      <c r="M5" s="505" t="s">
        <v>493</v>
      </c>
      <c r="N5" s="506" t="s">
        <v>271</v>
      </c>
      <c r="O5" s="507" t="s">
        <v>272</v>
      </c>
      <c r="P5" s="508" t="s">
        <v>281</v>
      </c>
      <c r="Q5" s="508" t="s">
        <v>282</v>
      </c>
      <c r="R5" s="508" t="s">
        <v>283</v>
      </c>
      <c r="S5" s="267" t="s">
        <v>284</v>
      </c>
    </row>
    <row r="6" spans="1:21" ht="24.95" customHeight="1" thickTop="1" x14ac:dyDescent="0.2">
      <c r="A6" s="268" t="s">
        <v>50</v>
      </c>
      <c r="B6" s="269" t="s">
        <v>14</v>
      </c>
      <c r="C6" s="270" t="s">
        <v>285</v>
      </c>
      <c r="D6" s="271">
        <v>159522</v>
      </c>
      <c r="E6" s="271">
        <v>5298</v>
      </c>
      <c r="F6" s="271">
        <v>30153</v>
      </c>
      <c r="G6" s="271">
        <v>7992</v>
      </c>
      <c r="H6" s="271">
        <v>89836</v>
      </c>
      <c r="I6" s="271">
        <v>26243</v>
      </c>
      <c r="J6" s="271">
        <f t="shared" ref="J6:J69" si="0">SUM(F6:H6)</f>
        <v>127981</v>
      </c>
      <c r="K6" s="468">
        <v>5.5999999999999994E-2</v>
      </c>
      <c r="L6" s="468">
        <v>0.20800000000000002</v>
      </c>
      <c r="M6" s="469">
        <v>0.16500000000000001</v>
      </c>
      <c r="N6" s="274">
        <f>E6*K6</f>
        <v>296.68799999999999</v>
      </c>
      <c r="O6" s="275">
        <f>F6*K6</f>
        <v>1688.5679999999998</v>
      </c>
      <c r="P6" s="275">
        <f>G6*L6</f>
        <v>1662.3360000000002</v>
      </c>
      <c r="Q6" s="275">
        <f>H6*L6</f>
        <v>18685.888000000003</v>
      </c>
      <c r="R6" s="275">
        <f>SUM(P6:Q6)</f>
        <v>20348.224000000002</v>
      </c>
      <c r="S6" s="275">
        <f>J6*M6</f>
        <v>21116.865000000002</v>
      </c>
      <c r="U6" s="498"/>
    </row>
    <row r="7" spans="1:21" ht="24.95" customHeight="1" x14ac:dyDescent="0.2">
      <c r="A7" s="276" t="s">
        <v>123</v>
      </c>
      <c r="B7" s="277" t="s">
        <v>541</v>
      </c>
      <c r="C7" s="278" t="s">
        <v>285</v>
      </c>
      <c r="D7" s="279">
        <v>38715</v>
      </c>
      <c r="E7" s="279">
        <v>1106</v>
      </c>
      <c r="F7" s="279">
        <v>6851</v>
      </c>
      <c r="G7" s="279">
        <v>1331</v>
      </c>
      <c r="H7" s="279">
        <v>22107</v>
      </c>
      <c r="I7" s="279">
        <v>7320</v>
      </c>
      <c r="J7" s="279">
        <f t="shared" si="0"/>
        <v>30289</v>
      </c>
      <c r="K7" s="470">
        <v>5.5E-2</v>
      </c>
      <c r="L7" s="470">
        <v>0.20199999999999999</v>
      </c>
      <c r="M7" s="471">
        <v>0.16200000000000001</v>
      </c>
      <c r="N7" s="282">
        <f t="shared" ref="N7:N70" si="1">E7*K7</f>
        <v>60.83</v>
      </c>
      <c r="O7" s="283">
        <f t="shared" ref="O7:P70" si="2">F7*K7</f>
        <v>376.80500000000001</v>
      </c>
      <c r="P7" s="283">
        <f t="shared" si="2"/>
        <v>268.86199999999997</v>
      </c>
      <c r="Q7" s="283">
        <f t="shared" ref="Q7:Q70" si="3">H7*L7</f>
        <v>4465.6139999999996</v>
      </c>
      <c r="R7" s="283">
        <f t="shared" ref="R7:R70" si="4">SUM(P7:Q7)</f>
        <v>4734.4759999999997</v>
      </c>
      <c r="S7" s="283">
        <f t="shared" ref="S7:S70" si="5">J7*M7</f>
        <v>4906.8180000000002</v>
      </c>
      <c r="U7" s="498"/>
    </row>
    <row r="8" spans="1:21" ht="24.95" customHeight="1" x14ac:dyDescent="0.2">
      <c r="A8" s="276" t="s">
        <v>124</v>
      </c>
      <c r="B8" s="277" t="s">
        <v>541</v>
      </c>
      <c r="C8" s="278" t="s">
        <v>286</v>
      </c>
      <c r="D8" s="279">
        <v>11219</v>
      </c>
      <c r="E8" s="279">
        <v>285</v>
      </c>
      <c r="F8" s="279">
        <v>1717</v>
      </c>
      <c r="G8" s="279">
        <v>380</v>
      </c>
      <c r="H8" s="279">
        <v>6057</v>
      </c>
      <c r="I8" s="279">
        <v>2780</v>
      </c>
      <c r="J8" s="279">
        <f t="shared" si="0"/>
        <v>8154</v>
      </c>
      <c r="K8" s="470">
        <v>0.10199999999999999</v>
      </c>
      <c r="L8" s="470">
        <v>0.24399999999999999</v>
      </c>
      <c r="M8" s="471">
        <v>0.21</v>
      </c>
      <c r="N8" s="282">
        <f t="shared" si="1"/>
        <v>29.069999999999997</v>
      </c>
      <c r="O8" s="283">
        <f t="shared" si="2"/>
        <v>175.13399999999999</v>
      </c>
      <c r="P8" s="283">
        <f t="shared" si="2"/>
        <v>92.72</v>
      </c>
      <c r="Q8" s="283">
        <f t="shared" si="3"/>
        <v>1477.9079999999999</v>
      </c>
      <c r="R8" s="283">
        <f t="shared" si="4"/>
        <v>1570.6279999999999</v>
      </c>
      <c r="S8" s="283">
        <f t="shared" si="5"/>
        <v>1712.34</v>
      </c>
      <c r="U8" s="498"/>
    </row>
    <row r="9" spans="1:21" ht="24.95" customHeight="1" x14ac:dyDescent="0.2">
      <c r="A9" s="276" t="s">
        <v>114</v>
      </c>
      <c r="B9" s="277" t="s">
        <v>21</v>
      </c>
      <c r="C9" s="278" t="s">
        <v>286</v>
      </c>
      <c r="D9" s="279">
        <v>26466</v>
      </c>
      <c r="E9" s="279">
        <v>739</v>
      </c>
      <c r="F9" s="279">
        <v>4622</v>
      </c>
      <c r="G9" s="279">
        <v>917</v>
      </c>
      <c r="H9" s="279">
        <v>15743</v>
      </c>
      <c r="I9" s="279">
        <v>4445</v>
      </c>
      <c r="J9" s="279">
        <f t="shared" si="0"/>
        <v>21282</v>
      </c>
      <c r="K9" s="470">
        <v>5.5E-2</v>
      </c>
      <c r="L9" s="470">
        <v>0.20800000000000002</v>
      </c>
      <c r="M9" s="471">
        <v>0.16699999999999998</v>
      </c>
      <c r="N9" s="282">
        <f t="shared" si="1"/>
        <v>40.645000000000003</v>
      </c>
      <c r="O9" s="283">
        <f t="shared" si="2"/>
        <v>254.21</v>
      </c>
      <c r="P9" s="283">
        <f t="shared" si="2"/>
        <v>190.73600000000002</v>
      </c>
      <c r="Q9" s="283">
        <f t="shared" si="3"/>
        <v>3274.5440000000003</v>
      </c>
      <c r="R9" s="283">
        <f t="shared" si="4"/>
        <v>3465.28</v>
      </c>
      <c r="S9" s="283">
        <f t="shared" si="5"/>
        <v>3554.0939999999996</v>
      </c>
      <c r="U9" s="498"/>
    </row>
    <row r="10" spans="1:21" ht="24.95" customHeight="1" x14ac:dyDescent="0.2">
      <c r="A10" s="276" t="s">
        <v>125</v>
      </c>
      <c r="B10" s="277" t="s">
        <v>541</v>
      </c>
      <c r="C10" s="278" t="s">
        <v>286</v>
      </c>
      <c r="D10" s="279">
        <v>27507</v>
      </c>
      <c r="E10" s="279">
        <v>726</v>
      </c>
      <c r="F10" s="279">
        <v>4359</v>
      </c>
      <c r="G10" s="279">
        <v>884</v>
      </c>
      <c r="H10" s="279">
        <v>14985</v>
      </c>
      <c r="I10" s="279">
        <v>6553</v>
      </c>
      <c r="J10" s="279">
        <f t="shared" si="0"/>
        <v>20228</v>
      </c>
      <c r="K10" s="470">
        <v>7.8E-2</v>
      </c>
      <c r="L10" s="470">
        <v>0.23699999999999999</v>
      </c>
      <c r="M10" s="471">
        <v>0.19800000000000001</v>
      </c>
      <c r="N10" s="282">
        <f t="shared" si="1"/>
        <v>56.628</v>
      </c>
      <c r="O10" s="283">
        <f t="shared" si="2"/>
        <v>340.00200000000001</v>
      </c>
      <c r="P10" s="283">
        <f t="shared" si="2"/>
        <v>209.50799999999998</v>
      </c>
      <c r="Q10" s="283">
        <f t="shared" si="3"/>
        <v>3551.4449999999997</v>
      </c>
      <c r="R10" s="283">
        <f t="shared" si="4"/>
        <v>3760.9529999999995</v>
      </c>
      <c r="S10" s="283">
        <f t="shared" si="5"/>
        <v>4005.1440000000002</v>
      </c>
      <c r="U10" s="498"/>
    </row>
    <row r="11" spans="1:21" ht="24.95" customHeight="1" x14ac:dyDescent="0.2">
      <c r="A11" s="276" t="s">
        <v>126</v>
      </c>
      <c r="B11" s="277" t="s">
        <v>541</v>
      </c>
      <c r="C11" s="278" t="s">
        <v>286</v>
      </c>
      <c r="D11" s="279">
        <v>17903</v>
      </c>
      <c r="E11" s="279">
        <v>418</v>
      </c>
      <c r="F11" s="279">
        <v>2375</v>
      </c>
      <c r="G11" s="279">
        <v>629</v>
      </c>
      <c r="H11" s="279">
        <v>10754</v>
      </c>
      <c r="I11" s="279">
        <v>3727</v>
      </c>
      <c r="J11" s="279">
        <f t="shared" si="0"/>
        <v>13758</v>
      </c>
      <c r="K11" s="470">
        <v>8.3000000000000004E-2</v>
      </c>
      <c r="L11" s="470">
        <v>0.245</v>
      </c>
      <c r="M11" s="471">
        <v>0.20699999999999999</v>
      </c>
      <c r="N11" s="282">
        <f t="shared" si="1"/>
        <v>34.694000000000003</v>
      </c>
      <c r="O11" s="283">
        <f t="shared" si="2"/>
        <v>197.125</v>
      </c>
      <c r="P11" s="283">
        <f t="shared" si="2"/>
        <v>154.10499999999999</v>
      </c>
      <c r="Q11" s="283">
        <f t="shared" si="3"/>
        <v>2634.73</v>
      </c>
      <c r="R11" s="283">
        <f t="shared" si="4"/>
        <v>2788.835</v>
      </c>
      <c r="S11" s="283">
        <f t="shared" si="5"/>
        <v>2847.9059999999999</v>
      </c>
      <c r="U11" s="498"/>
    </row>
    <row r="12" spans="1:21" ht="24.95" customHeight="1" x14ac:dyDescent="0.2">
      <c r="A12" s="276" t="s">
        <v>74</v>
      </c>
      <c r="B12" s="277" t="s">
        <v>476</v>
      </c>
      <c r="C12" s="278" t="s">
        <v>286</v>
      </c>
      <c r="D12" s="279">
        <v>47717</v>
      </c>
      <c r="E12" s="279">
        <v>1394</v>
      </c>
      <c r="F12" s="279">
        <v>8509</v>
      </c>
      <c r="G12" s="279">
        <v>1530</v>
      </c>
      <c r="H12" s="279">
        <v>25311</v>
      </c>
      <c r="I12" s="279">
        <v>10973</v>
      </c>
      <c r="J12" s="279">
        <f t="shared" si="0"/>
        <v>35350</v>
      </c>
      <c r="K12" s="470">
        <v>6.7000000000000004E-2</v>
      </c>
      <c r="L12" s="470">
        <v>0.18899999999999997</v>
      </c>
      <c r="M12" s="471">
        <v>0.156</v>
      </c>
      <c r="N12" s="282">
        <f t="shared" si="1"/>
        <v>93.39800000000001</v>
      </c>
      <c r="O12" s="283">
        <f t="shared" si="2"/>
        <v>570.10300000000007</v>
      </c>
      <c r="P12" s="283">
        <f t="shared" si="2"/>
        <v>289.16999999999996</v>
      </c>
      <c r="Q12" s="283">
        <f t="shared" si="3"/>
        <v>4783.7789999999995</v>
      </c>
      <c r="R12" s="283">
        <f t="shared" si="4"/>
        <v>5072.9489999999996</v>
      </c>
      <c r="S12" s="283">
        <f t="shared" si="5"/>
        <v>5514.6</v>
      </c>
      <c r="U12" s="498"/>
    </row>
    <row r="13" spans="1:21" ht="24.95" customHeight="1" x14ac:dyDescent="0.2">
      <c r="A13" s="284" t="s">
        <v>75</v>
      </c>
      <c r="B13" s="285" t="s">
        <v>476</v>
      </c>
      <c r="C13" s="286" t="s">
        <v>286</v>
      </c>
      <c r="D13" s="279">
        <v>20100</v>
      </c>
      <c r="E13" s="279">
        <v>555</v>
      </c>
      <c r="F13" s="279">
        <v>3320</v>
      </c>
      <c r="G13" s="279">
        <v>748</v>
      </c>
      <c r="H13" s="279">
        <v>11618</v>
      </c>
      <c r="I13" s="279">
        <v>3859</v>
      </c>
      <c r="J13" s="279">
        <f t="shared" si="0"/>
        <v>15686</v>
      </c>
      <c r="K13" s="470">
        <v>4.7E-2</v>
      </c>
      <c r="L13" s="470">
        <v>0.17600000000000002</v>
      </c>
      <c r="M13" s="471">
        <v>0.14400000000000002</v>
      </c>
      <c r="N13" s="282">
        <f t="shared" si="1"/>
        <v>26.085000000000001</v>
      </c>
      <c r="O13" s="283">
        <f t="shared" si="2"/>
        <v>156.04</v>
      </c>
      <c r="P13" s="283">
        <f t="shared" si="2"/>
        <v>131.64800000000002</v>
      </c>
      <c r="Q13" s="283">
        <f t="shared" si="3"/>
        <v>2044.7680000000003</v>
      </c>
      <c r="R13" s="283">
        <f t="shared" si="4"/>
        <v>2176.4160000000002</v>
      </c>
      <c r="S13" s="283">
        <f t="shared" si="5"/>
        <v>2258.7840000000001</v>
      </c>
      <c r="U13" s="498"/>
    </row>
    <row r="14" spans="1:21" ht="24.95" customHeight="1" x14ac:dyDescent="0.2">
      <c r="A14" s="284" t="s">
        <v>93</v>
      </c>
      <c r="B14" s="285" t="s">
        <v>18</v>
      </c>
      <c r="C14" s="286" t="s">
        <v>286</v>
      </c>
      <c r="D14" s="279">
        <v>35194</v>
      </c>
      <c r="E14" s="279">
        <v>1079</v>
      </c>
      <c r="F14" s="279">
        <v>6357</v>
      </c>
      <c r="G14" s="279">
        <v>1307</v>
      </c>
      <c r="H14" s="279">
        <v>19687</v>
      </c>
      <c r="I14" s="279">
        <v>6764</v>
      </c>
      <c r="J14" s="279">
        <f t="shared" si="0"/>
        <v>27351</v>
      </c>
      <c r="K14" s="470">
        <v>6.7000000000000004E-2</v>
      </c>
      <c r="L14" s="470">
        <v>0.23</v>
      </c>
      <c r="M14" s="471">
        <v>0.18600000000000003</v>
      </c>
      <c r="N14" s="282">
        <f t="shared" si="1"/>
        <v>72.293000000000006</v>
      </c>
      <c r="O14" s="283">
        <f t="shared" si="2"/>
        <v>425.91900000000004</v>
      </c>
      <c r="P14" s="283">
        <f t="shared" si="2"/>
        <v>300.61</v>
      </c>
      <c r="Q14" s="283">
        <f t="shared" si="3"/>
        <v>4528.01</v>
      </c>
      <c r="R14" s="283">
        <f t="shared" si="4"/>
        <v>4828.62</v>
      </c>
      <c r="S14" s="283">
        <f t="shared" si="5"/>
        <v>5087.286000000001</v>
      </c>
      <c r="U14" s="498"/>
    </row>
    <row r="15" spans="1:21" ht="24.95" customHeight="1" x14ac:dyDescent="0.2">
      <c r="A15" s="284" t="s">
        <v>69</v>
      </c>
      <c r="B15" s="285" t="s">
        <v>476</v>
      </c>
      <c r="C15" s="286" t="s">
        <v>285</v>
      </c>
      <c r="D15" s="279">
        <v>124668</v>
      </c>
      <c r="E15" s="279">
        <v>3246</v>
      </c>
      <c r="F15" s="279">
        <v>18450</v>
      </c>
      <c r="G15" s="279">
        <v>3137</v>
      </c>
      <c r="H15" s="279">
        <v>64748</v>
      </c>
      <c r="I15" s="279">
        <v>35087</v>
      </c>
      <c r="J15" s="279">
        <f t="shared" si="0"/>
        <v>86335</v>
      </c>
      <c r="K15" s="470">
        <v>6.3E-2</v>
      </c>
      <c r="L15" s="470">
        <v>0.20800000000000002</v>
      </c>
      <c r="M15" s="471">
        <v>0.17399999999999999</v>
      </c>
      <c r="N15" s="282">
        <f t="shared" si="1"/>
        <v>204.49799999999999</v>
      </c>
      <c r="O15" s="283">
        <f t="shared" si="2"/>
        <v>1162.3499999999999</v>
      </c>
      <c r="P15" s="283">
        <f t="shared" si="2"/>
        <v>652.49600000000009</v>
      </c>
      <c r="Q15" s="283">
        <f t="shared" si="3"/>
        <v>13467.584000000001</v>
      </c>
      <c r="R15" s="283">
        <f t="shared" si="4"/>
        <v>14120.080000000002</v>
      </c>
      <c r="S15" s="283">
        <f t="shared" si="5"/>
        <v>15022.289999999999</v>
      </c>
      <c r="U15" s="498"/>
    </row>
    <row r="16" spans="1:21" ht="24.95" customHeight="1" x14ac:dyDescent="0.2">
      <c r="A16" s="284" t="s">
        <v>127</v>
      </c>
      <c r="B16" s="285" t="s">
        <v>541</v>
      </c>
      <c r="C16" s="286" t="s">
        <v>285</v>
      </c>
      <c r="D16" s="279">
        <v>257413</v>
      </c>
      <c r="E16" s="279">
        <v>7813</v>
      </c>
      <c r="F16" s="279">
        <v>42095</v>
      </c>
      <c r="G16" s="279">
        <v>8433</v>
      </c>
      <c r="H16" s="279">
        <v>150584</v>
      </c>
      <c r="I16" s="279">
        <v>48488</v>
      </c>
      <c r="J16" s="279">
        <f t="shared" si="0"/>
        <v>201112</v>
      </c>
      <c r="K16" s="470">
        <v>5.4000000000000006E-2</v>
      </c>
      <c r="L16" s="470">
        <v>0.18100000000000002</v>
      </c>
      <c r="M16" s="471">
        <v>0.15</v>
      </c>
      <c r="N16" s="282">
        <f t="shared" si="1"/>
        <v>421.90200000000004</v>
      </c>
      <c r="O16" s="283">
        <f t="shared" si="2"/>
        <v>2273.13</v>
      </c>
      <c r="P16" s="283">
        <f t="shared" si="2"/>
        <v>1526.3730000000003</v>
      </c>
      <c r="Q16" s="283">
        <f t="shared" si="3"/>
        <v>27255.704000000002</v>
      </c>
      <c r="R16" s="283">
        <f t="shared" si="4"/>
        <v>28782.077000000001</v>
      </c>
      <c r="S16" s="283">
        <f t="shared" si="5"/>
        <v>30166.799999999999</v>
      </c>
      <c r="U16" s="498"/>
    </row>
    <row r="17" spans="1:21" ht="24.95" customHeight="1" x14ac:dyDescent="0.2">
      <c r="A17" s="284" t="s">
        <v>106</v>
      </c>
      <c r="B17" s="285" t="s">
        <v>20</v>
      </c>
      <c r="C17" s="286" t="s">
        <v>285</v>
      </c>
      <c r="D17" s="279">
        <v>89198</v>
      </c>
      <c r="E17" s="279">
        <v>2546</v>
      </c>
      <c r="F17" s="279">
        <v>15622</v>
      </c>
      <c r="G17" s="279">
        <v>4362</v>
      </c>
      <c r="H17" s="279">
        <v>49671</v>
      </c>
      <c r="I17" s="279">
        <v>16997</v>
      </c>
      <c r="J17" s="279">
        <f t="shared" si="0"/>
        <v>69655</v>
      </c>
      <c r="K17" s="470">
        <v>5.5999999999999994E-2</v>
      </c>
      <c r="L17" s="470">
        <v>0.21</v>
      </c>
      <c r="M17" s="471">
        <v>0.17199999999999999</v>
      </c>
      <c r="N17" s="282">
        <f t="shared" si="1"/>
        <v>142.57599999999999</v>
      </c>
      <c r="O17" s="283">
        <f t="shared" si="2"/>
        <v>874.83199999999988</v>
      </c>
      <c r="P17" s="283">
        <f t="shared" si="2"/>
        <v>916.02</v>
      </c>
      <c r="Q17" s="283">
        <f t="shared" si="3"/>
        <v>10430.91</v>
      </c>
      <c r="R17" s="283">
        <f t="shared" si="4"/>
        <v>11346.93</v>
      </c>
      <c r="S17" s="283">
        <f t="shared" si="5"/>
        <v>11980.66</v>
      </c>
      <c r="U17" s="498"/>
    </row>
    <row r="18" spans="1:21" ht="24.95" customHeight="1" x14ac:dyDescent="0.2">
      <c r="A18" s="284" t="s">
        <v>51</v>
      </c>
      <c r="B18" s="285" t="s">
        <v>14</v>
      </c>
      <c r="C18" s="286" t="s">
        <v>285</v>
      </c>
      <c r="D18" s="279">
        <v>200827</v>
      </c>
      <c r="E18" s="279">
        <v>7258</v>
      </c>
      <c r="F18" s="279">
        <v>43534</v>
      </c>
      <c r="G18" s="279">
        <v>7828</v>
      </c>
      <c r="H18" s="279">
        <v>116422</v>
      </c>
      <c r="I18" s="279">
        <v>25785</v>
      </c>
      <c r="J18" s="279">
        <f t="shared" si="0"/>
        <v>167784</v>
      </c>
      <c r="K18" s="470">
        <v>5.2000000000000005E-2</v>
      </c>
      <c r="L18" s="470">
        <v>0.17</v>
      </c>
      <c r="M18" s="471">
        <v>0.13400000000000001</v>
      </c>
      <c r="N18" s="282">
        <f t="shared" si="1"/>
        <v>377.41600000000005</v>
      </c>
      <c r="O18" s="283">
        <f t="shared" si="2"/>
        <v>2263.768</v>
      </c>
      <c r="P18" s="283">
        <f t="shared" si="2"/>
        <v>1330.76</v>
      </c>
      <c r="Q18" s="283">
        <f t="shared" si="3"/>
        <v>19791.740000000002</v>
      </c>
      <c r="R18" s="283">
        <f t="shared" si="4"/>
        <v>21122.5</v>
      </c>
      <c r="S18" s="283">
        <f t="shared" si="5"/>
        <v>22483.056</v>
      </c>
      <c r="U18" s="498"/>
    </row>
    <row r="19" spans="1:21" ht="24.95" customHeight="1" x14ac:dyDescent="0.2">
      <c r="A19" s="284" t="s">
        <v>128</v>
      </c>
      <c r="B19" s="285" t="s">
        <v>541</v>
      </c>
      <c r="C19" s="286" t="s">
        <v>285</v>
      </c>
      <c r="D19" s="279">
        <v>82350</v>
      </c>
      <c r="E19" s="279">
        <v>2388</v>
      </c>
      <c r="F19" s="279">
        <v>14439</v>
      </c>
      <c r="G19" s="279">
        <v>3308</v>
      </c>
      <c r="H19" s="279">
        <v>47100</v>
      </c>
      <c r="I19" s="279">
        <v>15115</v>
      </c>
      <c r="J19" s="279">
        <f t="shared" si="0"/>
        <v>64847</v>
      </c>
      <c r="K19" s="470">
        <v>4.7E-2</v>
      </c>
      <c r="L19" s="470">
        <v>0.21199999999999999</v>
      </c>
      <c r="M19" s="471">
        <v>0.17</v>
      </c>
      <c r="N19" s="282">
        <f t="shared" si="1"/>
        <v>112.236</v>
      </c>
      <c r="O19" s="283">
        <f t="shared" si="2"/>
        <v>678.63300000000004</v>
      </c>
      <c r="P19" s="283">
        <f t="shared" si="2"/>
        <v>701.29599999999994</v>
      </c>
      <c r="Q19" s="283">
        <f t="shared" si="3"/>
        <v>9985.1999999999989</v>
      </c>
      <c r="R19" s="283">
        <f t="shared" si="4"/>
        <v>10686.495999999999</v>
      </c>
      <c r="S19" s="283">
        <f t="shared" si="5"/>
        <v>11023.990000000002</v>
      </c>
      <c r="U19" s="498"/>
    </row>
    <row r="20" spans="1:21" ht="24.95" customHeight="1" x14ac:dyDescent="0.2">
      <c r="A20" s="284" t="s">
        <v>76</v>
      </c>
      <c r="B20" s="285" t="s">
        <v>476</v>
      </c>
      <c r="C20" s="286" t="s">
        <v>286</v>
      </c>
      <c r="D20" s="279">
        <v>10431</v>
      </c>
      <c r="E20" s="279">
        <v>306</v>
      </c>
      <c r="F20" s="279">
        <v>1928</v>
      </c>
      <c r="G20" s="279">
        <v>377</v>
      </c>
      <c r="H20" s="279">
        <v>6184</v>
      </c>
      <c r="I20" s="279">
        <v>1636</v>
      </c>
      <c r="J20" s="279">
        <f t="shared" si="0"/>
        <v>8489</v>
      </c>
      <c r="K20" s="470">
        <v>6.7000000000000004E-2</v>
      </c>
      <c r="L20" s="470">
        <v>0.16</v>
      </c>
      <c r="M20" s="471">
        <v>0.13300000000000001</v>
      </c>
      <c r="N20" s="282">
        <f t="shared" si="1"/>
        <v>20.502000000000002</v>
      </c>
      <c r="O20" s="283">
        <f t="shared" si="2"/>
        <v>129.17600000000002</v>
      </c>
      <c r="P20" s="283">
        <f t="shared" si="2"/>
        <v>60.32</v>
      </c>
      <c r="Q20" s="283">
        <f t="shared" si="3"/>
        <v>989.44</v>
      </c>
      <c r="R20" s="283">
        <f t="shared" si="4"/>
        <v>1049.76</v>
      </c>
      <c r="S20" s="283">
        <f t="shared" si="5"/>
        <v>1129.037</v>
      </c>
      <c r="U20" s="498"/>
    </row>
    <row r="21" spans="1:21" ht="24.95" customHeight="1" x14ac:dyDescent="0.2">
      <c r="A21" s="284" t="s">
        <v>70</v>
      </c>
      <c r="B21" s="285" t="s">
        <v>476</v>
      </c>
      <c r="C21" s="286" t="s">
        <v>286</v>
      </c>
      <c r="D21" s="279">
        <v>69706</v>
      </c>
      <c r="E21" s="279">
        <v>1829</v>
      </c>
      <c r="F21" s="279">
        <v>10480</v>
      </c>
      <c r="G21" s="279">
        <v>2151</v>
      </c>
      <c r="H21" s="279">
        <v>39046</v>
      </c>
      <c r="I21" s="279">
        <v>16200</v>
      </c>
      <c r="J21" s="279">
        <f t="shared" si="0"/>
        <v>51677</v>
      </c>
      <c r="K21" s="470">
        <v>0.06</v>
      </c>
      <c r="L21" s="470">
        <v>0.19500000000000001</v>
      </c>
      <c r="M21" s="471">
        <v>0.16300000000000001</v>
      </c>
      <c r="N21" s="282">
        <f t="shared" si="1"/>
        <v>109.74</v>
      </c>
      <c r="O21" s="283">
        <f t="shared" si="2"/>
        <v>628.79999999999995</v>
      </c>
      <c r="P21" s="283">
        <f t="shared" si="2"/>
        <v>419.44499999999999</v>
      </c>
      <c r="Q21" s="283">
        <f t="shared" si="3"/>
        <v>7613.97</v>
      </c>
      <c r="R21" s="283">
        <f t="shared" si="4"/>
        <v>8033.415</v>
      </c>
      <c r="S21" s="283">
        <f t="shared" si="5"/>
        <v>8423.3510000000006</v>
      </c>
      <c r="U21" s="498"/>
    </row>
    <row r="22" spans="1:21" ht="24.95" customHeight="1" x14ac:dyDescent="0.2">
      <c r="A22" s="284" t="s">
        <v>52</v>
      </c>
      <c r="B22" s="285" t="s">
        <v>14</v>
      </c>
      <c r="C22" s="286" t="s">
        <v>286</v>
      </c>
      <c r="D22" s="279">
        <v>23627</v>
      </c>
      <c r="E22" s="279">
        <v>634</v>
      </c>
      <c r="F22" s="279">
        <v>3717</v>
      </c>
      <c r="G22" s="279">
        <v>732</v>
      </c>
      <c r="H22" s="279">
        <v>13993</v>
      </c>
      <c r="I22" s="279">
        <v>4551</v>
      </c>
      <c r="J22" s="279">
        <f t="shared" si="0"/>
        <v>18442</v>
      </c>
      <c r="K22" s="470">
        <v>5.5999999999999994E-2</v>
      </c>
      <c r="L22" s="470">
        <v>0.193</v>
      </c>
      <c r="M22" s="471">
        <v>0.158</v>
      </c>
      <c r="N22" s="282">
        <f t="shared" si="1"/>
        <v>35.503999999999998</v>
      </c>
      <c r="O22" s="283">
        <f t="shared" si="2"/>
        <v>208.15199999999999</v>
      </c>
      <c r="P22" s="283">
        <f t="shared" si="2"/>
        <v>141.27600000000001</v>
      </c>
      <c r="Q22" s="283">
        <f t="shared" si="3"/>
        <v>2700.6489999999999</v>
      </c>
      <c r="R22" s="283">
        <f t="shared" si="4"/>
        <v>2841.9249999999997</v>
      </c>
      <c r="S22" s="283">
        <f t="shared" si="5"/>
        <v>2913.8360000000002</v>
      </c>
      <c r="U22" s="498"/>
    </row>
    <row r="23" spans="1:21" ht="24.95" customHeight="1" x14ac:dyDescent="0.2">
      <c r="A23" s="284" t="s">
        <v>107</v>
      </c>
      <c r="B23" s="285" t="s">
        <v>20</v>
      </c>
      <c r="C23" s="286" t="s">
        <v>285</v>
      </c>
      <c r="D23" s="279">
        <v>156532</v>
      </c>
      <c r="E23" s="279">
        <v>5196</v>
      </c>
      <c r="F23" s="279">
        <v>29869</v>
      </c>
      <c r="G23" s="279">
        <v>6155</v>
      </c>
      <c r="H23" s="279">
        <v>89102</v>
      </c>
      <c r="I23" s="279">
        <v>26210</v>
      </c>
      <c r="J23" s="279">
        <f t="shared" si="0"/>
        <v>125126</v>
      </c>
      <c r="K23" s="470">
        <v>5.5999999999999994E-2</v>
      </c>
      <c r="L23" s="470">
        <v>0.192</v>
      </c>
      <c r="M23" s="471">
        <v>0.154</v>
      </c>
      <c r="N23" s="282">
        <f t="shared" si="1"/>
        <v>290.97599999999994</v>
      </c>
      <c r="O23" s="283">
        <f t="shared" si="2"/>
        <v>1672.6639999999998</v>
      </c>
      <c r="P23" s="283">
        <f t="shared" si="2"/>
        <v>1181.76</v>
      </c>
      <c r="Q23" s="283">
        <f t="shared" si="3"/>
        <v>17107.583999999999</v>
      </c>
      <c r="R23" s="283">
        <f t="shared" si="4"/>
        <v>18289.343999999997</v>
      </c>
      <c r="S23" s="283">
        <f t="shared" si="5"/>
        <v>19269.403999999999</v>
      </c>
      <c r="U23" s="498"/>
    </row>
    <row r="24" spans="1:21" ht="24.95" customHeight="1" x14ac:dyDescent="0.2">
      <c r="A24" s="284" t="s">
        <v>53</v>
      </c>
      <c r="B24" s="285" t="s">
        <v>14</v>
      </c>
      <c r="C24" s="286" t="s">
        <v>285</v>
      </c>
      <c r="D24" s="279">
        <v>70981</v>
      </c>
      <c r="E24" s="279">
        <v>1914</v>
      </c>
      <c r="F24" s="279">
        <v>11983</v>
      </c>
      <c r="G24" s="279">
        <v>2087</v>
      </c>
      <c r="H24" s="279">
        <v>38235</v>
      </c>
      <c r="I24" s="279">
        <v>16762</v>
      </c>
      <c r="J24" s="279">
        <f t="shared" si="0"/>
        <v>52305</v>
      </c>
      <c r="K24" s="470">
        <v>7.0999999999999994E-2</v>
      </c>
      <c r="L24" s="470">
        <v>0.18899999999999997</v>
      </c>
      <c r="M24" s="471">
        <v>0.157</v>
      </c>
      <c r="N24" s="282">
        <f t="shared" si="1"/>
        <v>135.89399999999998</v>
      </c>
      <c r="O24" s="283">
        <f t="shared" si="2"/>
        <v>850.79299999999989</v>
      </c>
      <c r="P24" s="283">
        <f t="shared" si="2"/>
        <v>394.44299999999993</v>
      </c>
      <c r="Q24" s="283">
        <f t="shared" si="3"/>
        <v>7226.4149999999991</v>
      </c>
      <c r="R24" s="283">
        <f t="shared" si="4"/>
        <v>7620.8579999999993</v>
      </c>
      <c r="S24" s="283">
        <f t="shared" si="5"/>
        <v>8211.8850000000002</v>
      </c>
      <c r="U24" s="498"/>
    </row>
    <row r="25" spans="1:21" ht="24.95" customHeight="1" x14ac:dyDescent="0.2">
      <c r="A25" s="284" t="s">
        <v>129</v>
      </c>
      <c r="B25" s="285" t="s">
        <v>541</v>
      </c>
      <c r="C25" s="286" t="s">
        <v>286</v>
      </c>
      <c r="D25" s="279">
        <v>27524</v>
      </c>
      <c r="E25" s="279">
        <v>693</v>
      </c>
      <c r="F25" s="279">
        <v>4186</v>
      </c>
      <c r="G25" s="279">
        <v>827</v>
      </c>
      <c r="H25" s="279">
        <v>14125</v>
      </c>
      <c r="I25" s="279">
        <v>7693</v>
      </c>
      <c r="J25" s="279">
        <f t="shared" si="0"/>
        <v>19138</v>
      </c>
      <c r="K25" s="470">
        <v>7.6999999999999999E-2</v>
      </c>
      <c r="L25" s="470">
        <v>0.23</v>
      </c>
      <c r="M25" s="471">
        <v>0.192</v>
      </c>
      <c r="N25" s="282">
        <f t="shared" si="1"/>
        <v>53.360999999999997</v>
      </c>
      <c r="O25" s="283">
        <f t="shared" si="2"/>
        <v>322.322</v>
      </c>
      <c r="P25" s="283">
        <f t="shared" si="2"/>
        <v>190.21</v>
      </c>
      <c r="Q25" s="283">
        <f t="shared" si="3"/>
        <v>3248.75</v>
      </c>
      <c r="R25" s="283">
        <f t="shared" si="4"/>
        <v>3438.96</v>
      </c>
      <c r="S25" s="283">
        <f t="shared" si="5"/>
        <v>3674.4960000000001</v>
      </c>
      <c r="U25" s="498"/>
    </row>
    <row r="26" spans="1:21" ht="24.95" customHeight="1" x14ac:dyDescent="0.2">
      <c r="A26" s="284" t="s">
        <v>77</v>
      </c>
      <c r="B26" s="285" t="s">
        <v>476</v>
      </c>
      <c r="C26" s="286" t="s">
        <v>286</v>
      </c>
      <c r="D26" s="279">
        <v>14669</v>
      </c>
      <c r="E26" s="279">
        <v>439</v>
      </c>
      <c r="F26" s="279">
        <v>2615</v>
      </c>
      <c r="G26" s="279">
        <v>496</v>
      </c>
      <c r="H26" s="279">
        <v>7771</v>
      </c>
      <c r="I26" s="279">
        <v>3348</v>
      </c>
      <c r="J26" s="279">
        <f t="shared" si="0"/>
        <v>10882</v>
      </c>
      <c r="K26" s="470">
        <v>6.7000000000000004E-2</v>
      </c>
      <c r="L26" s="470">
        <v>0.2</v>
      </c>
      <c r="M26" s="471">
        <v>0.16300000000000001</v>
      </c>
      <c r="N26" s="282">
        <f t="shared" si="1"/>
        <v>29.413</v>
      </c>
      <c r="O26" s="283">
        <f t="shared" si="2"/>
        <v>175.20500000000001</v>
      </c>
      <c r="P26" s="283">
        <f t="shared" si="2"/>
        <v>99.2</v>
      </c>
      <c r="Q26" s="283">
        <f t="shared" si="3"/>
        <v>1554.2</v>
      </c>
      <c r="R26" s="283">
        <f t="shared" si="4"/>
        <v>1653.4</v>
      </c>
      <c r="S26" s="283">
        <f t="shared" si="5"/>
        <v>1773.7660000000001</v>
      </c>
      <c r="U26" s="498"/>
    </row>
    <row r="27" spans="1:21" ht="24.95" customHeight="1" x14ac:dyDescent="0.2">
      <c r="A27" s="284" t="s">
        <v>130</v>
      </c>
      <c r="B27" s="285" t="s">
        <v>541</v>
      </c>
      <c r="C27" s="286" t="s">
        <v>286</v>
      </c>
      <c r="D27" s="279">
        <v>10855</v>
      </c>
      <c r="E27" s="279">
        <v>265</v>
      </c>
      <c r="F27" s="279">
        <v>1607</v>
      </c>
      <c r="G27" s="279">
        <v>336</v>
      </c>
      <c r="H27" s="279">
        <v>5507</v>
      </c>
      <c r="I27" s="279">
        <v>3140</v>
      </c>
      <c r="J27" s="279">
        <f t="shared" si="0"/>
        <v>7450</v>
      </c>
      <c r="K27" s="470">
        <v>9.0999999999999998E-2</v>
      </c>
      <c r="L27" s="470">
        <v>0.223</v>
      </c>
      <c r="M27" s="471">
        <v>0.19</v>
      </c>
      <c r="N27" s="282">
        <f t="shared" si="1"/>
        <v>24.114999999999998</v>
      </c>
      <c r="O27" s="283">
        <f t="shared" si="2"/>
        <v>146.23699999999999</v>
      </c>
      <c r="P27" s="283">
        <f t="shared" si="2"/>
        <v>74.927999999999997</v>
      </c>
      <c r="Q27" s="283">
        <f t="shared" si="3"/>
        <v>1228.0609999999999</v>
      </c>
      <c r="R27" s="283">
        <f t="shared" si="4"/>
        <v>1302.989</v>
      </c>
      <c r="S27" s="283">
        <f t="shared" si="5"/>
        <v>1415.5</v>
      </c>
      <c r="U27" s="498"/>
    </row>
    <row r="28" spans="1:21" ht="24.95" customHeight="1" x14ac:dyDescent="0.2">
      <c r="A28" s="284" t="s">
        <v>108</v>
      </c>
      <c r="B28" s="285" t="s">
        <v>20</v>
      </c>
      <c r="C28" s="286" t="s">
        <v>286</v>
      </c>
      <c r="D28" s="279">
        <v>98532</v>
      </c>
      <c r="E28" s="279">
        <v>3120</v>
      </c>
      <c r="F28" s="279">
        <v>18187</v>
      </c>
      <c r="G28" s="279">
        <v>4337</v>
      </c>
      <c r="H28" s="279">
        <v>55443</v>
      </c>
      <c r="I28" s="279">
        <v>17445</v>
      </c>
      <c r="J28" s="279">
        <f t="shared" si="0"/>
        <v>77967</v>
      </c>
      <c r="K28" s="470">
        <v>4.5999999999999999E-2</v>
      </c>
      <c r="L28" s="470">
        <v>0.17699999999999999</v>
      </c>
      <c r="M28" s="471">
        <v>0.14099999999999999</v>
      </c>
      <c r="N28" s="282">
        <f t="shared" si="1"/>
        <v>143.52000000000001</v>
      </c>
      <c r="O28" s="283">
        <f t="shared" si="2"/>
        <v>836.60199999999998</v>
      </c>
      <c r="P28" s="283">
        <f t="shared" si="2"/>
        <v>767.649</v>
      </c>
      <c r="Q28" s="283">
        <f t="shared" si="3"/>
        <v>9813.4110000000001</v>
      </c>
      <c r="R28" s="283">
        <f t="shared" si="4"/>
        <v>10581.06</v>
      </c>
      <c r="S28" s="283">
        <f t="shared" si="5"/>
        <v>10993.347</v>
      </c>
      <c r="U28" s="498"/>
    </row>
    <row r="29" spans="1:21" ht="24.95" customHeight="1" x14ac:dyDescent="0.2">
      <c r="A29" s="284" t="s">
        <v>94</v>
      </c>
      <c r="B29" s="285" t="s">
        <v>18</v>
      </c>
      <c r="C29" s="286" t="s">
        <v>286</v>
      </c>
      <c r="D29" s="279">
        <v>57579</v>
      </c>
      <c r="E29" s="279">
        <v>1822</v>
      </c>
      <c r="F29" s="279">
        <v>10569</v>
      </c>
      <c r="G29" s="279">
        <v>2236</v>
      </c>
      <c r="H29" s="279">
        <v>32588</v>
      </c>
      <c r="I29" s="279">
        <v>10364</v>
      </c>
      <c r="J29" s="279">
        <f t="shared" si="0"/>
        <v>45393</v>
      </c>
      <c r="K29" s="470">
        <v>6.4000000000000001E-2</v>
      </c>
      <c r="L29" s="470">
        <v>0.22800000000000001</v>
      </c>
      <c r="M29" s="471">
        <v>0.182</v>
      </c>
      <c r="N29" s="282">
        <f t="shared" si="1"/>
        <v>116.608</v>
      </c>
      <c r="O29" s="283">
        <f t="shared" si="2"/>
        <v>676.41600000000005</v>
      </c>
      <c r="P29" s="283">
        <f t="shared" si="2"/>
        <v>509.80799999999999</v>
      </c>
      <c r="Q29" s="283">
        <f t="shared" si="3"/>
        <v>7430.0640000000003</v>
      </c>
      <c r="R29" s="283">
        <f t="shared" si="4"/>
        <v>7939.8720000000003</v>
      </c>
      <c r="S29" s="283">
        <f t="shared" si="5"/>
        <v>8261.5259999999998</v>
      </c>
      <c r="U29" s="498"/>
    </row>
    <row r="30" spans="1:21" ht="24.95" customHeight="1" x14ac:dyDescent="0.2">
      <c r="A30" s="284" t="s">
        <v>78</v>
      </c>
      <c r="B30" s="285" t="s">
        <v>476</v>
      </c>
      <c r="C30" s="286" t="s">
        <v>285</v>
      </c>
      <c r="D30" s="279">
        <v>105773</v>
      </c>
      <c r="E30" s="279">
        <v>4511</v>
      </c>
      <c r="F30" s="279">
        <v>21922</v>
      </c>
      <c r="G30" s="279">
        <v>4707</v>
      </c>
      <c r="H30" s="279">
        <v>56850</v>
      </c>
      <c r="I30" s="279">
        <v>17783</v>
      </c>
      <c r="J30" s="279">
        <f t="shared" si="0"/>
        <v>83479</v>
      </c>
      <c r="K30" s="470">
        <v>0.05</v>
      </c>
      <c r="L30" s="470">
        <v>0.183</v>
      </c>
      <c r="M30" s="471">
        <v>0.14499999999999999</v>
      </c>
      <c r="N30" s="282">
        <f t="shared" si="1"/>
        <v>225.55</v>
      </c>
      <c r="O30" s="283">
        <f t="shared" si="2"/>
        <v>1096.1000000000001</v>
      </c>
      <c r="P30" s="283">
        <f t="shared" si="2"/>
        <v>861.38099999999997</v>
      </c>
      <c r="Q30" s="283">
        <f t="shared" si="3"/>
        <v>10403.549999999999</v>
      </c>
      <c r="R30" s="283">
        <f t="shared" si="4"/>
        <v>11264.930999999999</v>
      </c>
      <c r="S30" s="283">
        <f t="shared" si="5"/>
        <v>12104.455</v>
      </c>
      <c r="U30" s="498"/>
    </row>
    <row r="31" spans="1:21" ht="24.95" customHeight="1" x14ac:dyDescent="0.2">
      <c r="A31" s="284" t="s">
        <v>46</v>
      </c>
      <c r="B31" s="285" t="s">
        <v>13</v>
      </c>
      <c r="C31" s="286" t="s">
        <v>285</v>
      </c>
      <c r="D31" s="279">
        <v>333073</v>
      </c>
      <c r="E31" s="279">
        <v>16245</v>
      </c>
      <c r="F31" s="279">
        <v>72833</v>
      </c>
      <c r="G31" s="279">
        <v>15431</v>
      </c>
      <c r="H31" s="279">
        <v>189745</v>
      </c>
      <c r="I31" s="279">
        <v>38819</v>
      </c>
      <c r="J31" s="279">
        <f t="shared" si="0"/>
        <v>278009</v>
      </c>
      <c r="K31" s="470">
        <v>4.9000000000000002E-2</v>
      </c>
      <c r="L31" s="470">
        <v>0.17</v>
      </c>
      <c r="M31" s="471">
        <v>0.13400000000000001</v>
      </c>
      <c r="N31" s="282">
        <f t="shared" si="1"/>
        <v>796.005</v>
      </c>
      <c r="O31" s="283">
        <f t="shared" si="2"/>
        <v>3568.817</v>
      </c>
      <c r="P31" s="283">
        <f t="shared" si="2"/>
        <v>2623.27</v>
      </c>
      <c r="Q31" s="283">
        <f t="shared" si="3"/>
        <v>32256.65</v>
      </c>
      <c r="R31" s="283">
        <f t="shared" si="4"/>
        <v>34879.919999999998</v>
      </c>
      <c r="S31" s="283">
        <f t="shared" si="5"/>
        <v>37253.206000000006</v>
      </c>
      <c r="U31" s="498"/>
    </row>
    <row r="32" spans="1:21" ht="24.95" customHeight="1" x14ac:dyDescent="0.2">
      <c r="A32" s="284" t="s">
        <v>79</v>
      </c>
      <c r="B32" s="285" t="s">
        <v>476</v>
      </c>
      <c r="C32" s="286" t="s">
        <v>285</v>
      </c>
      <c r="D32" s="279">
        <v>26160</v>
      </c>
      <c r="E32" s="279">
        <v>808</v>
      </c>
      <c r="F32" s="279">
        <v>4729</v>
      </c>
      <c r="G32" s="279">
        <v>934</v>
      </c>
      <c r="H32" s="279">
        <v>15707</v>
      </c>
      <c r="I32" s="279">
        <v>3982</v>
      </c>
      <c r="J32" s="279">
        <f t="shared" si="0"/>
        <v>21370</v>
      </c>
      <c r="K32" s="470">
        <v>6.5000000000000002E-2</v>
      </c>
      <c r="L32" s="470">
        <v>0.18100000000000002</v>
      </c>
      <c r="M32" s="471">
        <v>0.15</v>
      </c>
      <c r="N32" s="282">
        <f t="shared" si="1"/>
        <v>52.52</v>
      </c>
      <c r="O32" s="283">
        <f t="shared" si="2"/>
        <v>307.38499999999999</v>
      </c>
      <c r="P32" s="283">
        <f t="shared" si="2"/>
        <v>169.05400000000003</v>
      </c>
      <c r="Q32" s="283">
        <f t="shared" si="3"/>
        <v>2842.9670000000006</v>
      </c>
      <c r="R32" s="283">
        <f t="shared" si="4"/>
        <v>3012.0210000000006</v>
      </c>
      <c r="S32" s="283">
        <f t="shared" si="5"/>
        <v>3205.5</v>
      </c>
      <c r="U32" s="498"/>
    </row>
    <row r="33" spans="1:21" ht="24.95" customHeight="1" x14ac:dyDescent="0.2">
      <c r="A33" s="284" t="s">
        <v>80</v>
      </c>
      <c r="B33" s="285" t="s">
        <v>476</v>
      </c>
      <c r="C33" s="286" t="s">
        <v>286</v>
      </c>
      <c r="D33" s="279">
        <v>35727</v>
      </c>
      <c r="E33" s="279">
        <v>1107</v>
      </c>
      <c r="F33" s="279">
        <v>5767</v>
      </c>
      <c r="G33" s="279">
        <v>901</v>
      </c>
      <c r="H33" s="279">
        <v>20831</v>
      </c>
      <c r="I33" s="279">
        <v>7121</v>
      </c>
      <c r="J33" s="279">
        <f t="shared" si="0"/>
        <v>27499</v>
      </c>
      <c r="K33" s="470">
        <v>7.5999999999999998E-2</v>
      </c>
      <c r="L33" s="470">
        <v>0.20300000000000001</v>
      </c>
      <c r="M33" s="471">
        <v>0.17199999999999999</v>
      </c>
      <c r="N33" s="282">
        <f t="shared" si="1"/>
        <v>84.132000000000005</v>
      </c>
      <c r="O33" s="283">
        <f t="shared" si="2"/>
        <v>438.29199999999997</v>
      </c>
      <c r="P33" s="283">
        <f t="shared" si="2"/>
        <v>182.90300000000002</v>
      </c>
      <c r="Q33" s="283">
        <f t="shared" si="3"/>
        <v>4228.6930000000002</v>
      </c>
      <c r="R33" s="283">
        <f t="shared" si="4"/>
        <v>4411.5960000000005</v>
      </c>
      <c r="S33" s="283">
        <f t="shared" si="5"/>
        <v>4729.8279999999995</v>
      </c>
      <c r="U33" s="498"/>
    </row>
    <row r="34" spans="1:21" ht="24.95" customHeight="1" x14ac:dyDescent="0.2">
      <c r="A34" s="284" t="s">
        <v>54</v>
      </c>
      <c r="B34" s="285" t="s">
        <v>14</v>
      </c>
      <c r="C34" s="286" t="s">
        <v>285</v>
      </c>
      <c r="D34" s="279">
        <v>165399</v>
      </c>
      <c r="E34" s="279">
        <v>5302</v>
      </c>
      <c r="F34" s="279">
        <v>30961</v>
      </c>
      <c r="G34" s="279">
        <v>5840</v>
      </c>
      <c r="H34" s="279">
        <v>95081</v>
      </c>
      <c r="I34" s="279">
        <v>28215</v>
      </c>
      <c r="J34" s="279">
        <f t="shared" si="0"/>
        <v>131882</v>
      </c>
      <c r="K34" s="470">
        <v>4.7E-2</v>
      </c>
      <c r="L34" s="470">
        <v>0.19699999999999998</v>
      </c>
      <c r="M34" s="471">
        <v>0.155</v>
      </c>
      <c r="N34" s="282">
        <f t="shared" si="1"/>
        <v>249.19399999999999</v>
      </c>
      <c r="O34" s="283">
        <f t="shared" si="2"/>
        <v>1455.1669999999999</v>
      </c>
      <c r="P34" s="283">
        <f t="shared" si="2"/>
        <v>1150.4799999999998</v>
      </c>
      <c r="Q34" s="283">
        <f t="shared" si="3"/>
        <v>18730.956999999999</v>
      </c>
      <c r="R34" s="283">
        <f t="shared" si="4"/>
        <v>19881.436999999998</v>
      </c>
      <c r="S34" s="283">
        <f t="shared" si="5"/>
        <v>20441.71</v>
      </c>
      <c r="U34" s="498"/>
    </row>
    <row r="35" spans="1:21" ht="24.95" customHeight="1" x14ac:dyDescent="0.2">
      <c r="A35" s="284" t="s">
        <v>65</v>
      </c>
      <c r="B35" s="285" t="s">
        <v>14</v>
      </c>
      <c r="C35" s="286" t="s">
        <v>285</v>
      </c>
      <c r="D35" s="279">
        <v>41474</v>
      </c>
      <c r="E35" s="279">
        <v>1183</v>
      </c>
      <c r="F35" s="279">
        <v>7370</v>
      </c>
      <c r="G35" s="279">
        <v>1489</v>
      </c>
      <c r="H35" s="279">
        <v>23338</v>
      </c>
      <c r="I35" s="279">
        <v>8094</v>
      </c>
      <c r="J35" s="279">
        <f t="shared" si="0"/>
        <v>32197</v>
      </c>
      <c r="K35" s="470">
        <v>7.0000000000000007E-2</v>
      </c>
      <c r="L35" s="470">
        <v>0.17199999999999999</v>
      </c>
      <c r="M35" s="471">
        <v>0.14400000000000002</v>
      </c>
      <c r="N35" s="282">
        <f t="shared" si="1"/>
        <v>82.81</v>
      </c>
      <c r="O35" s="283">
        <f t="shared" si="2"/>
        <v>515.90000000000009</v>
      </c>
      <c r="P35" s="283">
        <f t="shared" si="2"/>
        <v>256.108</v>
      </c>
      <c r="Q35" s="283">
        <f t="shared" si="3"/>
        <v>4014.1359999999995</v>
      </c>
      <c r="R35" s="283">
        <f t="shared" si="4"/>
        <v>4270.2439999999997</v>
      </c>
      <c r="S35" s="283">
        <f t="shared" si="5"/>
        <v>4636.3680000000004</v>
      </c>
      <c r="U35" s="498"/>
    </row>
    <row r="36" spans="1:21" ht="24.95" customHeight="1" x14ac:dyDescent="0.2">
      <c r="A36" s="284" t="s">
        <v>95</v>
      </c>
      <c r="B36" s="285" t="s">
        <v>18</v>
      </c>
      <c r="C36" s="286" t="s">
        <v>286</v>
      </c>
      <c r="D36" s="279">
        <v>60763</v>
      </c>
      <c r="E36" s="279">
        <v>2254</v>
      </c>
      <c r="F36" s="279">
        <v>12409</v>
      </c>
      <c r="G36" s="279">
        <v>2440</v>
      </c>
      <c r="H36" s="279">
        <v>33410</v>
      </c>
      <c r="I36" s="279">
        <v>10250</v>
      </c>
      <c r="J36" s="279">
        <f t="shared" si="0"/>
        <v>48259</v>
      </c>
      <c r="K36" s="470">
        <v>8.5000000000000006E-2</v>
      </c>
      <c r="L36" s="470">
        <v>0.29299999999999998</v>
      </c>
      <c r="M36" s="471">
        <v>0.23199999999999998</v>
      </c>
      <c r="N36" s="282">
        <f t="shared" si="1"/>
        <v>191.59</v>
      </c>
      <c r="O36" s="283">
        <f t="shared" si="2"/>
        <v>1054.7650000000001</v>
      </c>
      <c r="P36" s="283">
        <f t="shared" si="2"/>
        <v>714.92</v>
      </c>
      <c r="Q36" s="283">
        <f t="shared" si="3"/>
        <v>9789.1299999999992</v>
      </c>
      <c r="R36" s="283">
        <f t="shared" si="4"/>
        <v>10504.05</v>
      </c>
      <c r="S36" s="283">
        <f t="shared" si="5"/>
        <v>11196.088</v>
      </c>
      <c r="U36" s="498"/>
    </row>
    <row r="37" spans="1:21" ht="24.95" customHeight="1" x14ac:dyDescent="0.2">
      <c r="A37" s="284" t="s">
        <v>47</v>
      </c>
      <c r="B37" s="285" t="s">
        <v>13</v>
      </c>
      <c r="C37" s="286" t="s">
        <v>285</v>
      </c>
      <c r="D37" s="279">
        <v>303416</v>
      </c>
      <c r="E37" s="279">
        <v>13005</v>
      </c>
      <c r="F37" s="279">
        <v>57593</v>
      </c>
      <c r="G37" s="279">
        <v>14181</v>
      </c>
      <c r="H37" s="279">
        <v>183145</v>
      </c>
      <c r="I37" s="279">
        <v>35492</v>
      </c>
      <c r="J37" s="279">
        <f t="shared" si="0"/>
        <v>254919</v>
      </c>
      <c r="K37" s="470">
        <v>4.9000000000000002E-2</v>
      </c>
      <c r="L37" s="470">
        <v>0.18600000000000003</v>
      </c>
      <c r="M37" s="471">
        <v>0.151</v>
      </c>
      <c r="N37" s="282">
        <f t="shared" si="1"/>
        <v>637.245</v>
      </c>
      <c r="O37" s="283">
        <f t="shared" si="2"/>
        <v>2822.0570000000002</v>
      </c>
      <c r="P37" s="283">
        <f t="shared" si="2"/>
        <v>2637.6660000000002</v>
      </c>
      <c r="Q37" s="283">
        <f t="shared" si="3"/>
        <v>34064.970000000008</v>
      </c>
      <c r="R37" s="283">
        <f t="shared" si="4"/>
        <v>36702.636000000006</v>
      </c>
      <c r="S37" s="283">
        <f t="shared" si="5"/>
        <v>38492.769</v>
      </c>
      <c r="U37" s="498"/>
    </row>
    <row r="38" spans="1:21" ht="24.95" customHeight="1" x14ac:dyDescent="0.2">
      <c r="A38" s="284" t="s">
        <v>96</v>
      </c>
      <c r="B38" s="285" t="s">
        <v>18</v>
      </c>
      <c r="C38" s="286" t="s">
        <v>285</v>
      </c>
      <c r="D38" s="279">
        <v>55303</v>
      </c>
      <c r="E38" s="279">
        <v>1793</v>
      </c>
      <c r="F38" s="279">
        <v>10895</v>
      </c>
      <c r="G38" s="279">
        <v>2105</v>
      </c>
      <c r="H38" s="279">
        <v>30716</v>
      </c>
      <c r="I38" s="279">
        <v>9794</v>
      </c>
      <c r="J38" s="279">
        <f t="shared" si="0"/>
        <v>43716</v>
      </c>
      <c r="K38" s="470">
        <v>3.9E-2</v>
      </c>
      <c r="L38" s="470">
        <v>0.187</v>
      </c>
      <c r="M38" s="471">
        <v>0.14499999999999999</v>
      </c>
      <c r="N38" s="282">
        <f t="shared" si="1"/>
        <v>69.927000000000007</v>
      </c>
      <c r="O38" s="283">
        <f t="shared" si="2"/>
        <v>424.90499999999997</v>
      </c>
      <c r="P38" s="283">
        <f t="shared" si="2"/>
        <v>393.63499999999999</v>
      </c>
      <c r="Q38" s="283">
        <f t="shared" si="3"/>
        <v>5743.8919999999998</v>
      </c>
      <c r="R38" s="283">
        <f t="shared" si="4"/>
        <v>6137.527</v>
      </c>
      <c r="S38" s="283">
        <f t="shared" si="5"/>
        <v>6338.82</v>
      </c>
      <c r="U38" s="498"/>
    </row>
    <row r="39" spans="1:21" ht="24.95" customHeight="1" x14ac:dyDescent="0.2">
      <c r="A39" s="284" t="s">
        <v>66</v>
      </c>
      <c r="B39" s="285" t="s">
        <v>14</v>
      </c>
      <c r="C39" s="286" t="s">
        <v>285</v>
      </c>
      <c r="D39" s="279">
        <v>371646</v>
      </c>
      <c r="E39" s="279">
        <v>13579</v>
      </c>
      <c r="F39" s="279">
        <v>73737</v>
      </c>
      <c r="G39" s="279">
        <v>15578</v>
      </c>
      <c r="H39" s="279">
        <v>213147</v>
      </c>
      <c r="I39" s="279">
        <v>55605</v>
      </c>
      <c r="J39" s="279">
        <f t="shared" si="0"/>
        <v>302462</v>
      </c>
      <c r="K39" s="470">
        <v>4.7E-2</v>
      </c>
      <c r="L39" s="470">
        <v>0.19600000000000001</v>
      </c>
      <c r="M39" s="471">
        <v>0.153</v>
      </c>
      <c r="N39" s="282">
        <f t="shared" si="1"/>
        <v>638.21299999999997</v>
      </c>
      <c r="O39" s="283">
        <f t="shared" si="2"/>
        <v>3465.6390000000001</v>
      </c>
      <c r="P39" s="283">
        <f t="shared" si="2"/>
        <v>3053.288</v>
      </c>
      <c r="Q39" s="283">
        <f t="shared" si="3"/>
        <v>41776.811999999998</v>
      </c>
      <c r="R39" s="283">
        <f t="shared" si="4"/>
        <v>44830.1</v>
      </c>
      <c r="S39" s="283">
        <f t="shared" si="5"/>
        <v>46276.686000000002</v>
      </c>
      <c r="U39" s="498"/>
    </row>
    <row r="40" spans="1:21" ht="24.95" customHeight="1" x14ac:dyDescent="0.2">
      <c r="A40" s="284" t="s">
        <v>55</v>
      </c>
      <c r="B40" s="285" t="s">
        <v>14</v>
      </c>
      <c r="C40" s="286" t="s">
        <v>285</v>
      </c>
      <c r="D40" s="279">
        <v>64436</v>
      </c>
      <c r="E40" s="279">
        <v>2037</v>
      </c>
      <c r="F40" s="279">
        <v>12349</v>
      </c>
      <c r="G40" s="279">
        <v>2510</v>
      </c>
      <c r="H40" s="279">
        <v>37298</v>
      </c>
      <c r="I40" s="279">
        <v>10242</v>
      </c>
      <c r="J40" s="279">
        <f t="shared" si="0"/>
        <v>52157</v>
      </c>
      <c r="K40" s="470">
        <v>6.4000000000000001E-2</v>
      </c>
      <c r="L40" s="470">
        <v>0.21899999999999997</v>
      </c>
      <c r="M40" s="471">
        <v>0.17499999999999999</v>
      </c>
      <c r="N40" s="282">
        <f t="shared" si="1"/>
        <v>130.36799999999999</v>
      </c>
      <c r="O40" s="283">
        <f t="shared" si="2"/>
        <v>790.33600000000001</v>
      </c>
      <c r="P40" s="283">
        <f t="shared" si="2"/>
        <v>549.68999999999994</v>
      </c>
      <c r="Q40" s="283">
        <f t="shared" si="3"/>
        <v>8168.2619999999988</v>
      </c>
      <c r="R40" s="283">
        <f t="shared" si="4"/>
        <v>8717.9519999999993</v>
      </c>
      <c r="S40" s="283">
        <f t="shared" si="5"/>
        <v>9127.4749999999985</v>
      </c>
      <c r="U40" s="498"/>
    </row>
    <row r="41" spans="1:21" ht="24.95" customHeight="1" x14ac:dyDescent="0.2">
      <c r="A41" s="284" t="s">
        <v>109</v>
      </c>
      <c r="B41" s="285" t="s">
        <v>20</v>
      </c>
      <c r="C41" s="286" t="s">
        <v>285</v>
      </c>
      <c r="D41" s="279">
        <v>213325</v>
      </c>
      <c r="E41" s="279">
        <v>7373</v>
      </c>
      <c r="F41" s="279">
        <v>41293</v>
      </c>
      <c r="G41" s="279">
        <v>8262</v>
      </c>
      <c r="H41" s="279">
        <v>123427</v>
      </c>
      <c r="I41" s="279">
        <v>32970</v>
      </c>
      <c r="J41" s="279">
        <f t="shared" si="0"/>
        <v>172982</v>
      </c>
      <c r="K41" s="470">
        <v>5.2000000000000005E-2</v>
      </c>
      <c r="L41" s="470">
        <v>0.19800000000000001</v>
      </c>
      <c r="M41" s="471">
        <v>0.158</v>
      </c>
      <c r="N41" s="282">
        <f t="shared" si="1"/>
        <v>383.39600000000002</v>
      </c>
      <c r="O41" s="283">
        <f t="shared" si="2"/>
        <v>2147.2360000000003</v>
      </c>
      <c r="P41" s="283">
        <f t="shared" si="2"/>
        <v>1635.876</v>
      </c>
      <c r="Q41" s="283">
        <f t="shared" si="3"/>
        <v>24438.546000000002</v>
      </c>
      <c r="R41" s="283">
        <f t="shared" si="4"/>
        <v>26074.422000000002</v>
      </c>
      <c r="S41" s="283">
        <f t="shared" si="5"/>
        <v>27331.155999999999</v>
      </c>
      <c r="U41" s="498"/>
    </row>
    <row r="42" spans="1:21" ht="24.95" customHeight="1" x14ac:dyDescent="0.2">
      <c r="A42" s="284" t="s">
        <v>81</v>
      </c>
      <c r="B42" s="285" t="s">
        <v>476</v>
      </c>
      <c r="C42" s="286" t="s">
        <v>285</v>
      </c>
      <c r="D42" s="279">
        <v>11914</v>
      </c>
      <c r="E42" s="279">
        <v>326</v>
      </c>
      <c r="F42" s="279">
        <v>2039</v>
      </c>
      <c r="G42" s="279">
        <v>456</v>
      </c>
      <c r="H42" s="279">
        <v>6925</v>
      </c>
      <c r="I42" s="279">
        <v>2168</v>
      </c>
      <c r="J42" s="279">
        <f t="shared" si="0"/>
        <v>9420</v>
      </c>
      <c r="K42" s="470">
        <v>6.2E-2</v>
      </c>
      <c r="L42" s="470">
        <v>0.17199999999999999</v>
      </c>
      <c r="M42" s="471">
        <v>0.14300000000000002</v>
      </c>
      <c r="N42" s="282">
        <f t="shared" si="1"/>
        <v>20.212</v>
      </c>
      <c r="O42" s="283">
        <f t="shared" si="2"/>
        <v>126.41799999999999</v>
      </c>
      <c r="P42" s="283">
        <f t="shared" si="2"/>
        <v>78.431999999999988</v>
      </c>
      <c r="Q42" s="283">
        <f t="shared" si="3"/>
        <v>1191.0999999999999</v>
      </c>
      <c r="R42" s="283">
        <f t="shared" si="4"/>
        <v>1269.5319999999999</v>
      </c>
      <c r="S42" s="283">
        <f t="shared" si="5"/>
        <v>1347.0600000000002</v>
      </c>
      <c r="U42" s="498"/>
    </row>
    <row r="43" spans="1:21" ht="24.95" customHeight="1" x14ac:dyDescent="0.2">
      <c r="A43" s="284" t="s">
        <v>131</v>
      </c>
      <c r="B43" s="285" t="s">
        <v>541</v>
      </c>
      <c r="C43" s="286" t="s">
        <v>286</v>
      </c>
      <c r="D43" s="279">
        <v>8969</v>
      </c>
      <c r="E43" s="279">
        <v>279</v>
      </c>
      <c r="F43" s="279">
        <v>1601</v>
      </c>
      <c r="G43" s="279">
        <v>316</v>
      </c>
      <c r="H43" s="279">
        <v>4700</v>
      </c>
      <c r="I43" s="279">
        <v>2073</v>
      </c>
      <c r="J43" s="279">
        <f t="shared" si="0"/>
        <v>6617</v>
      </c>
      <c r="K43" s="470">
        <v>7.2000000000000008E-2</v>
      </c>
      <c r="L43" s="470">
        <v>0.23399999999999999</v>
      </c>
      <c r="M43" s="471">
        <v>0.19</v>
      </c>
      <c r="N43" s="282">
        <f t="shared" si="1"/>
        <v>20.088000000000001</v>
      </c>
      <c r="O43" s="283">
        <f t="shared" si="2"/>
        <v>115.27200000000002</v>
      </c>
      <c r="P43" s="283">
        <f t="shared" si="2"/>
        <v>73.943999999999988</v>
      </c>
      <c r="Q43" s="283">
        <f t="shared" si="3"/>
        <v>1099.8</v>
      </c>
      <c r="R43" s="283">
        <f t="shared" si="4"/>
        <v>1173.7439999999999</v>
      </c>
      <c r="S43" s="283">
        <f t="shared" si="5"/>
        <v>1257.23</v>
      </c>
      <c r="U43" s="498"/>
    </row>
    <row r="44" spans="1:21" ht="24.95" customHeight="1" x14ac:dyDescent="0.2">
      <c r="A44" s="284" t="s">
        <v>56</v>
      </c>
      <c r="B44" s="285" t="s">
        <v>14</v>
      </c>
      <c r="C44" s="286" t="s">
        <v>286</v>
      </c>
      <c r="D44" s="279">
        <v>58471</v>
      </c>
      <c r="E44" s="279">
        <v>1633</v>
      </c>
      <c r="F44" s="279">
        <v>10097</v>
      </c>
      <c r="G44" s="279">
        <v>2551</v>
      </c>
      <c r="H44" s="279">
        <v>34948</v>
      </c>
      <c r="I44" s="279">
        <v>9242</v>
      </c>
      <c r="J44" s="279">
        <f t="shared" si="0"/>
        <v>47596</v>
      </c>
      <c r="K44" s="470">
        <v>5.7999999999999996E-2</v>
      </c>
      <c r="L44" s="470">
        <v>0.17800000000000002</v>
      </c>
      <c r="M44" s="471">
        <v>0.14599999999999999</v>
      </c>
      <c r="N44" s="282">
        <f t="shared" si="1"/>
        <v>94.713999999999999</v>
      </c>
      <c r="O44" s="283">
        <f t="shared" si="2"/>
        <v>585.62599999999998</v>
      </c>
      <c r="P44" s="283">
        <f t="shared" si="2"/>
        <v>454.07800000000003</v>
      </c>
      <c r="Q44" s="283">
        <f t="shared" si="3"/>
        <v>6220.7440000000006</v>
      </c>
      <c r="R44" s="283">
        <f t="shared" si="4"/>
        <v>6674.822000000001</v>
      </c>
      <c r="S44" s="283">
        <f t="shared" si="5"/>
        <v>6949.0159999999996</v>
      </c>
      <c r="U44" s="498"/>
    </row>
    <row r="45" spans="1:21" ht="24.95" customHeight="1" x14ac:dyDescent="0.2">
      <c r="A45" s="284" t="s">
        <v>97</v>
      </c>
      <c r="B45" s="285" t="s">
        <v>18</v>
      </c>
      <c r="C45" s="286" t="s">
        <v>286</v>
      </c>
      <c r="D45" s="279">
        <v>21310</v>
      </c>
      <c r="E45" s="279">
        <v>637</v>
      </c>
      <c r="F45" s="279">
        <v>3997</v>
      </c>
      <c r="G45" s="279">
        <v>746</v>
      </c>
      <c r="H45" s="279">
        <v>12703</v>
      </c>
      <c r="I45" s="279">
        <v>3227</v>
      </c>
      <c r="J45" s="279">
        <f t="shared" si="0"/>
        <v>17446</v>
      </c>
      <c r="K45" s="470">
        <v>7.6999999999999999E-2</v>
      </c>
      <c r="L45" s="470">
        <v>0.251</v>
      </c>
      <c r="M45" s="471">
        <v>0.20100000000000001</v>
      </c>
      <c r="N45" s="282">
        <f t="shared" si="1"/>
        <v>49.048999999999999</v>
      </c>
      <c r="O45" s="283">
        <f t="shared" si="2"/>
        <v>307.76900000000001</v>
      </c>
      <c r="P45" s="283">
        <f t="shared" si="2"/>
        <v>187.24600000000001</v>
      </c>
      <c r="Q45" s="283">
        <f t="shared" si="3"/>
        <v>3188.453</v>
      </c>
      <c r="R45" s="283">
        <f t="shared" si="4"/>
        <v>3375.6990000000001</v>
      </c>
      <c r="S45" s="283">
        <f t="shared" si="5"/>
        <v>3506.6460000000002</v>
      </c>
      <c r="U45" s="498"/>
    </row>
    <row r="46" spans="1:21" ht="24.95" customHeight="1" x14ac:dyDescent="0.2">
      <c r="A46" s="284" t="s">
        <v>115</v>
      </c>
      <c r="B46" s="285" t="s">
        <v>21</v>
      </c>
      <c r="C46" s="286" t="s">
        <v>285</v>
      </c>
      <c r="D46" s="279">
        <v>520398</v>
      </c>
      <c r="E46" s="279">
        <v>17863</v>
      </c>
      <c r="F46" s="279">
        <v>97307</v>
      </c>
      <c r="G46" s="279">
        <v>26867</v>
      </c>
      <c r="H46" s="279">
        <v>303029</v>
      </c>
      <c r="I46" s="279">
        <v>75332</v>
      </c>
      <c r="J46" s="279">
        <f t="shared" si="0"/>
        <v>427203</v>
      </c>
      <c r="K46" s="470">
        <v>5.5999999999999994E-2</v>
      </c>
      <c r="L46" s="470">
        <v>0.183</v>
      </c>
      <c r="M46" s="471">
        <v>0.14800000000000002</v>
      </c>
      <c r="N46" s="282">
        <f t="shared" si="1"/>
        <v>1000.3279999999999</v>
      </c>
      <c r="O46" s="283">
        <f t="shared" si="2"/>
        <v>5449.1919999999991</v>
      </c>
      <c r="P46" s="283">
        <f t="shared" si="2"/>
        <v>4916.6610000000001</v>
      </c>
      <c r="Q46" s="283">
        <f t="shared" si="3"/>
        <v>55454.307000000001</v>
      </c>
      <c r="R46" s="283">
        <f t="shared" si="4"/>
        <v>60370.968000000001</v>
      </c>
      <c r="S46" s="283">
        <f t="shared" si="5"/>
        <v>63226.044000000009</v>
      </c>
      <c r="U46" s="498"/>
    </row>
    <row r="47" spans="1:21" ht="24.95" customHeight="1" x14ac:dyDescent="0.2">
      <c r="A47" s="284" t="s">
        <v>57</v>
      </c>
      <c r="B47" s="285" t="s">
        <v>14</v>
      </c>
      <c r="C47" s="286" t="s">
        <v>286</v>
      </c>
      <c r="D47" s="279">
        <v>52567</v>
      </c>
      <c r="E47" s="279">
        <v>1685</v>
      </c>
      <c r="F47" s="279">
        <v>9636</v>
      </c>
      <c r="G47" s="279">
        <v>1760</v>
      </c>
      <c r="H47" s="279">
        <v>29469</v>
      </c>
      <c r="I47" s="279">
        <v>10017</v>
      </c>
      <c r="J47" s="279">
        <f t="shared" si="0"/>
        <v>40865</v>
      </c>
      <c r="K47" s="470">
        <v>0.05</v>
      </c>
      <c r="L47" s="470">
        <v>0.19399999999999998</v>
      </c>
      <c r="M47" s="471">
        <v>0.155</v>
      </c>
      <c r="N47" s="282">
        <f t="shared" si="1"/>
        <v>84.25</v>
      </c>
      <c r="O47" s="283">
        <f t="shared" si="2"/>
        <v>481.8</v>
      </c>
      <c r="P47" s="283">
        <f t="shared" si="2"/>
        <v>341.43999999999994</v>
      </c>
      <c r="Q47" s="283">
        <f t="shared" si="3"/>
        <v>5716.985999999999</v>
      </c>
      <c r="R47" s="283">
        <f t="shared" si="4"/>
        <v>6058.4259999999986</v>
      </c>
      <c r="S47" s="283">
        <f t="shared" si="5"/>
        <v>6334.0749999999998</v>
      </c>
      <c r="U47" s="498"/>
    </row>
    <row r="48" spans="1:21" ht="24.95" customHeight="1" x14ac:dyDescent="0.2">
      <c r="A48" s="284" t="s">
        <v>116</v>
      </c>
      <c r="B48" s="285" t="s">
        <v>21</v>
      </c>
      <c r="C48" s="286" t="s">
        <v>286</v>
      </c>
      <c r="D48" s="279">
        <v>130243</v>
      </c>
      <c r="E48" s="279">
        <v>5649</v>
      </c>
      <c r="F48" s="279">
        <v>29899</v>
      </c>
      <c r="G48" s="279">
        <v>5928</v>
      </c>
      <c r="H48" s="279">
        <v>72931</v>
      </c>
      <c r="I48" s="279">
        <v>15836</v>
      </c>
      <c r="J48" s="279">
        <f t="shared" si="0"/>
        <v>108758</v>
      </c>
      <c r="K48" s="470">
        <v>5.2000000000000005E-2</v>
      </c>
      <c r="L48" s="470">
        <v>0.20300000000000001</v>
      </c>
      <c r="M48" s="471">
        <v>0.155</v>
      </c>
      <c r="N48" s="282">
        <f t="shared" si="1"/>
        <v>293.74800000000005</v>
      </c>
      <c r="O48" s="283">
        <f t="shared" si="2"/>
        <v>1554.748</v>
      </c>
      <c r="P48" s="283">
        <f t="shared" si="2"/>
        <v>1203.384</v>
      </c>
      <c r="Q48" s="283">
        <f t="shared" si="3"/>
        <v>14804.993</v>
      </c>
      <c r="R48" s="283">
        <f t="shared" si="4"/>
        <v>16008.377</v>
      </c>
      <c r="S48" s="283">
        <f t="shared" si="5"/>
        <v>16857.490000000002</v>
      </c>
      <c r="U48" s="498"/>
    </row>
    <row r="49" spans="1:21" ht="24.95" customHeight="1" x14ac:dyDescent="0.2">
      <c r="A49" s="284" t="s">
        <v>132</v>
      </c>
      <c r="B49" s="285" t="s">
        <v>541</v>
      </c>
      <c r="C49" s="286" t="s">
        <v>285</v>
      </c>
      <c r="D49" s="279">
        <v>60436</v>
      </c>
      <c r="E49" s="279">
        <v>1694</v>
      </c>
      <c r="F49" s="279">
        <v>9359</v>
      </c>
      <c r="G49" s="279">
        <v>1882</v>
      </c>
      <c r="H49" s="279">
        <v>32659</v>
      </c>
      <c r="I49" s="279">
        <v>14842</v>
      </c>
      <c r="J49" s="279">
        <f t="shared" si="0"/>
        <v>43900</v>
      </c>
      <c r="K49" s="470">
        <v>5.5E-2</v>
      </c>
      <c r="L49" s="470">
        <v>0.184</v>
      </c>
      <c r="M49" s="471">
        <v>0.153</v>
      </c>
      <c r="N49" s="282">
        <f t="shared" si="1"/>
        <v>93.17</v>
      </c>
      <c r="O49" s="283">
        <f t="shared" si="2"/>
        <v>514.745</v>
      </c>
      <c r="P49" s="283">
        <f t="shared" si="2"/>
        <v>346.28800000000001</v>
      </c>
      <c r="Q49" s="283">
        <f t="shared" si="3"/>
        <v>6009.2560000000003</v>
      </c>
      <c r="R49" s="283">
        <f t="shared" si="4"/>
        <v>6355.5439999999999</v>
      </c>
      <c r="S49" s="283">
        <f t="shared" si="5"/>
        <v>6716.7</v>
      </c>
      <c r="U49" s="498"/>
    </row>
    <row r="50" spans="1:21" ht="24.95" customHeight="1" x14ac:dyDescent="0.2">
      <c r="A50" s="284" t="s">
        <v>133</v>
      </c>
      <c r="B50" s="285" t="s">
        <v>541</v>
      </c>
      <c r="C50" s="286" t="s">
        <v>285</v>
      </c>
      <c r="D50" s="279">
        <v>113314</v>
      </c>
      <c r="E50" s="279">
        <v>3288</v>
      </c>
      <c r="F50" s="279">
        <v>18744</v>
      </c>
      <c r="G50" s="279">
        <v>3295</v>
      </c>
      <c r="H50" s="279">
        <v>58964</v>
      </c>
      <c r="I50" s="279">
        <v>29023</v>
      </c>
      <c r="J50" s="279">
        <f t="shared" si="0"/>
        <v>81003</v>
      </c>
      <c r="K50" s="470">
        <v>6.4000000000000001E-2</v>
      </c>
      <c r="L50" s="470">
        <v>0.20899999999999999</v>
      </c>
      <c r="M50" s="471">
        <v>0.17100000000000001</v>
      </c>
      <c r="N50" s="282">
        <f t="shared" si="1"/>
        <v>210.43200000000002</v>
      </c>
      <c r="O50" s="283">
        <f t="shared" si="2"/>
        <v>1199.616</v>
      </c>
      <c r="P50" s="283">
        <f t="shared" si="2"/>
        <v>688.65499999999997</v>
      </c>
      <c r="Q50" s="283">
        <f t="shared" si="3"/>
        <v>12323.475999999999</v>
      </c>
      <c r="R50" s="283">
        <f t="shared" si="4"/>
        <v>13012.130999999999</v>
      </c>
      <c r="S50" s="283">
        <f t="shared" si="5"/>
        <v>13851.513000000001</v>
      </c>
      <c r="U50" s="498"/>
    </row>
    <row r="51" spans="1:21" ht="24.95" customHeight="1" x14ac:dyDescent="0.2">
      <c r="A51" s="284" t="s">
        <v>82</v>
      </c>
      <c r="B51" s="285" t="s">
        <v>476</v>
      </c>
      <c r="C51" s="286" t="s">
        <v>286</v>
      </c>
      <c r="D51" s="279">
        <v>24423</v>
      </c>
      <c r="E51" s="279">
        <v>672</v>
      </c>
      <c r="F51" s="279">
        <v>4142</v>
      </c>
      <c r="G51" s="279">
        <v>1237</v>
      </c>
      <c r="H51" s="279">
        <v>13931</v>
      </c>
      <c r="I51" s="279">
        <v>4441</v>
      </c>
      <c r="J51" s="279">
        <f t="shared" si="0"/>
        <v>19310</v>
      </c>
      <c r="K51" s="470">
        <v>5.0999999999999997E-2</v>
      </c>
      <c r="L51" s="470">
        <v>0.19399999999999998</v>
      </c>
      <c r="M51" s="471">
        <v>0.156</v>
      </c>
      <c r="N51" s="282">
        <f t="shared" si="1"/>
        <v>34.271999999999998</v>
      </c>
      <c r="O51" s="283">
        <f t="shared" si="2"/>
        <v>211.24199999999999</v>
      </c>
      <c r="P51" s="283">
        <f t="shared" si="2"/>
        <v>239.97799999999998</v>
      </c>
      <c r="Q51" s="283">
        <f t="shared" si="3"/>
        <v>2702.6139999999996</v>
      </c>
      <c r="R51" s="283">
        <f t="shared" si="4"/>
        <v>2942.5919999999996</v>
      </c>
      <c r="S51" s="283">
        <f t="shared" si="5"/>
        <v>3012.36</v>
      </c>
      <c r="U51" s="498"/>
    </row>
    <row r="52" spans="1:21" ht="24.95" customHeight="1" x14ac:dyDescent="0.2">
      <c r="A52" s="284" t="s">
        <v>117</v>
      </c>
      <c r="B52" s="285" t="s">
        <v>21</v>
      </c>
      <c r="C52" s="286" t="s">
        <v>285</v>
      </c>
      <c r="D52" s="279">
        <v>52400</v>
      </c>
      <c r="E52" s="279">
        <v>2719</v>
      </c>
      <c r="F52" s="279">
        <v>13514</v>
      </c>
      <c r="G52" s="279">
        <v>2112</v>
      </c>
      <c r="H52" s="279">
        <v>29339</v>
      </c>
      <c r="I52" s="279">
        <v>4716</v>
      </c>
      <c r="J52" s="279">
        <f t="shared" si="0"/>
        <v>44965</v>
      </c>
      <c r="K52" s="470">
        <v>6.3E-2</v>
      </c>
      <c r="L52" s="470">
        <v>0.21899999999999997</v>
      </c>
      <c r="M52" s="471">
        <v>0.17</v>
      </c>
      <c r="N52" s="282">
        <f t="shared" si="1"/>
        <v>171.297</v>
      </c>
      <c r="O52" s="283">
        <f t="shared" si="2"/>
        <v>851.38200000000006</v>
      </c>
      <c r="P52" s="283">
        <f t="shared" si="2"/>
        <v>462.52799999999996</v>
      </c>
      <c r="Q52" s="283">
        <f t="shared" si="3"/>
        <v>6425.2409999999991</v>
      </c>
      <c r="R52" s="283">
        <f t="shared" si="4"/>
        <v>6887.7689999999993</v>
      </c>
      <c r="S52" s="283">
        <f t="shared" si="5"/>
        <v>7644.05</v>
      </c>
      <c r="U52" s="498"/>
    </row>
    <row r="53" spans="1:21" ht="24.95" customHeight="1" x14ac:dyDescent="0.2">
      <c r="A53" s="284" t="s">
        <v>83</v>
      </c>
      <c r="B53" s="285" t="s">
        <v>476</v>
      </c>
      <c r="C53" s="286" t="s">
        <v>286</v>
      </c>
      <c r="D53" s="279">
        <v>5720</v>
      </c>
      <c r="E53" s="279">
        <v>136</v>
      </c>
      <c r="F53" s="279">
        <v>841</v>
      </c>
      <c r="G53" s="279">
        <v>188</v>
      </c>
      <c r="H53" s="279">
        <v>3506</v>
      </c>
      <c r="I53" s="279">
        <v>1049</v>
      </c>
      <c r="J53" s="279">
        <f t="shared" si="0"/>
        <v>4535</v>
      </c>
      <c r="K53" s="470">
        <v>8.8000000000000009E-2</v>
      </c>
      <c r="L53" s="470">
        <v>0.20399999999999999</v>
      </c>
      <c r="M53" s="471">
        <v>0.17399999999999999</v>
      </c>
      <c r="N53" s="282">
        <f t="shared" si="1"/>
        <v>11.968000000000002</v>
      </c>
      <c r="O53" s="283">
        <f t="shared" si="2"/>
        <v>74.00800000000001</v>
      </c>
      <c r="P53" s="283">
        <f t="shared" si="2"/>
        <v>38.351999999999997</v>
      </c>
      <c r="Q53" s="283">
        <f t="shared" si="3"/>
        <v>715.22399999999993</v>
      </c>
      <c r="R53" s="283">
        <f t="shared" si="4"/>
        <v>753.57599999999991</v>
      </c>
      <c r="S53" s="283">
        <f t="shared" si="5"/>
        <v>789.08999999999992</v>
      </c>
      <c r="U53" s="498"/>
    </row>
    <row r="54" spans="1:21" ht="24.95" customHeight="1" x14ac:dyDescent="0.2">
      <c r="A54" s="284" t="s">
        <v>110</v>
      </c>
      <c r="B54" s="285" t="s">
        <v>20</v>
      </c>
      <c r="C54" s="286" t="s">
        <v>285</v>
      </c>
      <c r="D54" s="279">
        <v>171400</v>
      </c>
      <c r="E54" s="279">
        <v>5467</v>
      </c>
      <c r="F54" s="279">
        <v>33440</v>
      </c>
      <c r="G54" s="279">
        <v>6827</v>
      </c>
      <c r="H54" s="279">
        <v>99775</v>
      </c>
      <c r="I54" s="279">
        <v>25891</v>
      </c>
      <c r="J54" s="279">
        <f t="shared" si="0"/>
        <v>140042</v>
      </c>
      <c r="K54" s="470">
        <v>5.9000000000000004E-2</v>
      </c>
      <c r="L54" s="470">
        <v>0.182</v>
      </c>
      <c r="M54" s="471">
        <v>0.14699999999999999</v>
      </c>
      <c r="N54" s="282">
        <f t="shared" si="1"/>
        <v>322.553</v>
      </c>
      <c r="O54" s="283">
        <f t="shared" si="2"/>
        <v>1972.96</v>
      </c>
      <c r="P54" s="283">
        <f t="shared" si="2"/>
        <v>1242.5139999999999</v>
      </c>
      <c r="Q54" s="283">
        <f t="shared" si="3"/>
        <v>18159.05</v>
      </c>
      <c r="R54" s="283">
        <f t="shared" si="4"/>
        <v>19401.563999999998</v>
      </c>
      <c r="S54" s="283">
        <f t="shared" si="5"/>
        <v>20586.173999999999</v>
      </c>
      <c r="U54" s="498"/>
    </row>
    <row r="55" spans="1:21" ht="24.95" customHeight="1" x14ac:dyDescent="0.2">
      <c r="A55" s="284" t="s">
        <v>134</v>
      </c>
      <c r="B55" s="285" t="s">
        <v>541</v>
      </c>
      <c r="C55" s="286" t="s">
        <v>286</v>
      </c>
      <c r="D55" s="279">
        <v>41516</v>
      </c>
      <c r="E55" s="279">
        <v>1153</v>
      </c>
      <c r="F55" s="279">
        <v>6147</v>
      </c>
      <c r="G55" s="279">
        <v>3891</v>
      </c>
      <c r="H55" s="279">
        <v>22534</v>
      </c>
      <c r="I55" s="279">
        <v>7791</v>
      </c>
      <c r="J55" s="279">
        <f t="shared" si="0"/>
        <v>32572</v>
      </c>
      <c r="K55" s="470">
        <v>8.1000000000000003E-2</v>
      </c>
      <c r="L55" s="470">
        <v>0.23899999999999999</v>
      </c>
      <c r="M55" s="471">
        <v>0.20199999999999999</v>
      </c>
      <c r="N55" s="282">
        <f t="shared" si="1"/>
        <v>93.393000000000001</v>
      </c>
      <c r="O55" s="283">
        <f t="shared" si="2"/>
        <v>497.90700000000004</v>
      </c>
      <c r="P55" s="283">
        <f t="shared" si="2"/>
        <v>929.94899999999996</v>
      </c>
      <c r="Q55" s="283">
        <f t="shared" si="3"/>
        <v>5385.6260000000002</v>
      </c>
      <c r="R55" s="283">
        <f t="shared" si="4"/>
        <v>6315.5749999999998</v>
      </c>
      <c r="S55" s="283">
        <f t="shared" si="5"/>
        <v>6579.5439999999999</v>
      </c>
      <c r="U55" s="498"/>
    </row>
    <row r="56" spans="1:21" ht="24.95" customHeight="1" x14ac:dyDescent="0.2">
      <c r="A56" s="284" t="s">
        <v>48</v>
      </c>
      <c r="B56" s="285" t="s">
        <v>13</v>
      </c>
      <c r="C56" s="286" t="s">
        <v>285</v>
      </c>
      <c r="D56" s="279">
        <v>186764</v>
      </c>
      <c r="E56" s="279">
        <v>6930</v>
      </c>
      <c r="F56" s="279">
        <v>41058</v>
      </c>
      <c r="G56" s="279">
        <v>7294</v>
      </c>
      <c r="H56" s="279">
        <v>107759</v>
      </c>
      <c r="I56" s="279">
        <v>23723</v>
      </c>
      <c r="J56" s="279">
        <f t="shared" si="0"/>
        <v>156111</v>
      </c>
      <c r="K56" s="470">
        <v>6.3E-2</v>
      </c>
      <c r="L56" s="470">
        <v>0.20300000000000001</v>
      </c>
      <c r="M56" s="471">
        <v>0.16</v>
      </c>
      <c r="N56" s="282">
        <f t="shared" si="1"/>
        <v>436.59</v>
      </c>
      <c r="O56" s="283">
        <f t="shared" si="2"/>
        <v>2586.654</v>
      </c>
      <c r="P56" s="283">
        <f t="shared" si="2"/>
        <v>1480.682</v>
      </c>
      <c r="Q56" s="283">
        <f t="shared" si="3"/>
        <v>21875.077000000001</v>
      </c>
      <c r="R56" s="283">
        <f t="shared" si="4"/>
        <v>23355.759000000002</v>
      </c>
      <c r="S56" s="283">
        <f t="shared" si="5"/>
        <v>24977.760000000002</v>
      </c>
      <c r="U56" s="498"/>
    </row>
    <row r="57" spans="1:21" ht="24.95" customHeight="1" x14ac:dyDescent="0.2">
      <c r="A57" s="284" t="s">
        <v>84</v>
      </c>
      <c r="B57" s="285" t="s">
        <v>476</v>
      </c>
      <c r="C57" s="286" t="s">
        <v>285</v>
      </c>
      <c r="D57" s="279">
        <v>10518</v>
      </c>
      <c r="E57" s="279">
        <v>326</v>
      </c>
      <c r="F57" s="279">
        <v>1789</v>
      </c>
      <c r="G57" s="279">
        <v>309</v>
      </c>
      <c r="H57" s="279">
        <v>6024</v>
      </c>
      <c r="I57" s="279">
        <v>2070</v>
      </c>
      <c r="J57" s="279">
        <f t="shared" si="0"/>
        <v>8122</v>
      </c>
      <c r="K57" s="470">
        <v>7.400000000000001E-2</v>
      </c>
      <c r="L57" s="470">
        <v>0.20199999999999999</v>
      </c>
      <c r="M57" s="471">
        <v>0.17</v>
      </c>
      <c r="N57" s="282">
        <f t="shared" si="1"/>
        <v>24.124000000000002</v>
      </c>
      <c r="O57" s="283">
        <f t="shared" si="2"/>
        <v>132.38600000000002</v>
      </c>
      <c r="P57" s="283">
        <f t="shared" si="2"/>
        <v>62.417999999999992</v>
      </c>
      <c r="Q57" s="283">
        <f t="shared" si="3"/>
        <v>1216.848</v>
      </c>
      <c r="R57" s="283">
        <f t="shared" si="4"/>
        <v>1279.2659999999998</v>
      </c>
      <c r="S57" s="283">
        <f t="shared" si="5"/>
        <v>1380.74</v>
      </c>
      <c r="U57" s="498"/>
    </row>
    <row r="58" spans="1:21" ht="24.95" customHeight="1" x14ac:dyDescent="0.2">
      <c r="A58" s="284" t="s">
        <v>118</v>
      </c>
      <c r="B58" s="285" t="s">
        <v>21</v>
      </c>
      <c r="C58" s="286" t="s">
        <v>286</v>
      </c>
      <c r="D58" s="279">
        <v>59211</v>
      </c>
      <c r="E58" s="279">
        <v>2363</v>
      </c>
      <c r="F58" s="279">
        <v>12543</v>
      </c>
      <c r="G58" s="279">
        <v>2307</v>
      </c>
      <c r="H58" s="279">
        <v>32698</v>
      </c>
      <c r="I58" s="279">
        <v>9300</v>
      </c>
      <c r="J58" s="279">
        <f t="shared" si="0"/>
        <v>47548</v>
      </c>
      <c r="K58" s="470">
        <v>6.4000000000000001E-2</v>
      </c>
      <c r="L58" s="470">
        <v>0.223</v>
      </c>
      <c r="M58" s="471">
        <v>0.17499999999999999</v>
      </c>
      <c r="N58" s="282">
        <f t="shared" si="1"/>
        <v>151.232</v>
      </c>
      <c r="O58" s="283">
        <f t="shared" si="2"/>
        <v>802.75200000000007</v>
      </c>
      <c r="P58" s="283">
        <f t="shared" si="2"/>
        <v>514.46100000000001</v>
      </c>
      <c r="Q58" s="283">
        <f t="shared" si="3"/>
        <v>7291.6540000000005</v>
      </c>
      <c r="R58" s="283">
        <f t="shared" si="4"/>
        <v>7806.1150000000007</v>
      </c>
      <c r="S58" s="283">
        <f t="shared" si="5"/>
        <v>8320.9</v>
      </c>
      <c r="U58" s="498"/>
    </row>
    <row r="59" spans="1:21" ht="24.95" customHeight="1" x14ac:dyDescent="0.2">
      <c r="A59" s="284" t="s">
        <v>98</v>
      </c>
      <c r="B59" s="285" t="s">
        <v>18</v>
      </c>
      <c r="C59" s="286" t="s">
        <v>286</v>
      </c>
      <c r="D59" s="279">
        <v>58732</v>
      </c>
      <c r="E59" s="279">
        <v>1990</v>
      </c>
      <c r="F59" s="279">
        <v>11190</v>
      </c>
      <c r="G59" s="279">
        <v>2137</v>
      </c>
      <c r="H59" s="279">
        <v>32591</v>
      </c>
      <c r="I59" s="279">
        <v>10824</v>
      </c>
      <c r="J59" s="279">
        <f t="shared" si="0"/>
        <v>45918</v>
      </c>
      <c r="K59" s="470">
        <v>5.2000000000000005E-2</v>
      </c>
      <c r="L59" s="470">
        <v>0.19800000000000001</v>
      </c>
      <c r="M59" s="471">
        <v>0.158</v>
      </c>
      <c r="N59" s="282">
        <f t="shared" si="1"/>
        <v>103.48</v>
      </c>
      <c r="O59" s="283">
        <f t="shared" si="2"/>
        <v>581.88</v>
      </c>
      <c r="P59" s="283">
        <f t="shared" si="2"/>
        <v>423.12600000000003</v>
      </c>
      <c r="Q59" s="283">
        <f t="shared" si="3"/>
        <v>6453.018</v>
      </c>
      <c r="R59" s="283">
        <f t="shared" si="4"/>
        <v>6876.1440000000002</v>
      </c>
      <c r="S59" s="283">
        <f t="shared" si="5"/>
        <v>7255.0439999999999</v>
      </c>
      <c r="U59" s="498"/>
    </row>
    <row r="60" spans="1:21" ht="24.95" customHeight="1" x14ac:dyDescent="0.2">
      <c r="A60" s="284" t="s">
        <v>111</v>
      </c>
      <c r="B60" s="285" t="s">
        <v>20</v>
      </c>
      <c r="C60" s="286" t="s">
        <v>285</v>
      </c>
      <c r="D60" s="279">
        <v>81417</v>
      </c>
      <c r="E60" s="279">
        <v>2404</v>
      </c>
      <c r="F60" s="279">
        <v>14718</v>
      </c>
      <c r="G60" s="279">
        <v>3006</v>
      </c>
      <c r="H60" s="279">
        <v>47673</v>
      </c>
      <c r="I60" s="279">
        <v>13616</v>
      </c>
      <c r="J60" s="279">
        <f t="shared" si="0"/>
        <v>65397</v>
      </c>
      <c r="K60" s="470">
        <v>6.0999999999999999E-2</v>
      </c>
      <c r="L60" s="470">
        <v>0.18600000000000003</v>
      </c>
      <c r="M60" s="471">
        <v>0.153</v>
      </c>
      <c r="N60" s="282">
        <f t="shared" si="1"/>
        <v>146.64400000000001</v>
      </c>
      <c r="O60" s="283">
        <f t="shared" si="2"/>
        <v>897.798</v>
      </c>
      <c r="P60" s="283">
        <f t="shared" si="2"/>
        <v>559.1160000000001</v>
      </c>
      <c r="Q60" s="283">
        <f t="shared" si="3"/>
        <v>8867.1780000000017</v>
      </c>
      <c r="R60" s="283">
        <f t="shared" si="4"/>
        <v>9426.2940000000017</v>
      </c>
      <c r="S60" s="283">
        <f t="shared" si="5"/>
        <v>10005.741</v>
      </c>
      <c r="U60" s="498"/>
    </row>
    <row r="61" spans="1:21" ht="24.95" customHeight="1" x14ac:dyDescent="0.2">
      <c r="A61" s="284" t="s">
        <v>135</v>
      </c>
      <c r="B61" s="285" t="s">
        <v>541</v>
      </c>
      <c r="C61" s="286" t="s">
        <v>286</v>
      </c>
      <c r="D61" s="279">
        <v>35279</v>
      </c>
      <c r="E61" s="279">
        <v>1034</v>
      </c>
      <c r="F61" s="279">
        <v>5535</v>
      </c>
      <c r="G61" s="279">
        <v>1162</v>
      </c>
      <c r="H61" s="279">
        <v>17852</v>
      </c>
      <c r="I61" s="279">
        <v>9696</v>
      </c>
      <c r="J61" s="279">
        <f t="shared" si="0"/>
        <v>24549</v>
      </c>
      <c r="K61" s="470">
        <v>9.6000000000000002E-2</v>
      </c>
      <c r="L61" s="470">
        <v>0.247</v>
      </c>
      <c r="M61" s="471">
        <v>0.20800000000000002</v>
      </c>
      <c r="N61" s="282">
        <f t="shared" si="1"/>
        <v>99.263999999999996</v>
      </c>
      <c r="O61" s="283">
        <f t="shared" si="2"/>
        <v>531.36</v>
      </c>
      <c r="P61" s="283">
        <f t="shared" si="2"/>
        <v>287.01400000000001</v>
      </c>
      <c r="Q61" s="283">
        <f t="shared" si="3"/>
        <v>4409.4439999999995</v>
      </c>
      <c r="R61" s="283">
        <f t="shared" si="4"/>
        <v>4696.4579999999996</v>
      </c>
      <c r="S61" s="283">
        <f t="shared" si="5"/>
        <v>5106.192</v>
      </c>
      <c r="U61" s="498"/>
    </row>
    <row r="62" spans="1:21" ht="24.95" customHeight="1" x14ac:dyDescent="0.2">
      <c r="A62" s="284" t="s">
        <v>136</v>
      </c>
      <c r="B62" s="285" t="s">
        <v>541</v>
      </c>
      <c r="C62" s="286" t="s">
        <v>285</v>
      </c>
      <c r="D62" s="279">
        <v>21875</v>
      </c>
      <c r="E62" s="279">
        <v>568</v>
      </c>
      <c r="F62" s="279">
        <v>3392</v>
      </c>
      <c r="G62" s="279">
        <v>1247</v>
      </c>
      <c r="H62" s="279">
        <v>12014</v>
      </c>
      <c r="I62" s="279">
        <v>4654</v>
      </c>
      <c r="J62" s="279">
        <f t="shared" si="0"/>
        <v>16653</v>
      </c>
      <c r="K62" s="470">
        <v>5.5999999999999994E-2</v>
      </c>
      <c r="L62" s="470">
        <v>0.185</v>
      </c>
      <c r="M62" s="471">
        <v>0.152</v>
      </c>
      <c r="N62" s="282">
        <f t="shared" si="1"/>
        <v>31.807999999999996</v>
      </c>
      <c r="O62" s="283">
        <f t="shared" si="2"/>
        <v>189.95199999999997</v>
      </c>
      <c r="P62" s="283">
        <f t="shared" si="2"/>
        <v>230.69499999999999</v>
      </c>
      <c r="Q62" s="283">
        <f t="shared" si="3"/>
        <v>2222.59</v>
      </c>
      <c r="R62" s="283">
        <f t="shared" si="4"/>
        <v>2453.2850000000003</v>
      </c>
      <c r="S62" s="283">
        <f t="shared" si="5"/>
        <v>2531.2559999999999</v>
      </c>
      <c r="U62" s="498"/>
    </row>
    <row r="63" spans="1:21" ht="24.95" customHeight="1" x14ac:dyDescent="0.2">
      <c r="A63" s="284" t="s">
        <v>85</v>
      </c>
      <c r="B63" s="285" t="s">
        <v>476</v>
      </c>
      <c r="C63" s="286" t="s">
        <v>286</v>
      </c>
      <c r="D63" s="279">
        <v>23494</v>
      </c>
      <c r="E63" s="279">
        <v>732</v>
      </c>
      <c r="F63" s="279">
        <v>4151</v>
      </c>
      <c r="G63" s="279">
        <v>693</v>
      </c>
      <c r="H63" s="279">
        <v>12962</v>
      </c>
      <c r="I63" s="279">
        <v>4956</v>
      </c>
      <c r="J63" s="279">
        <f t="shared" si="0"/>
        <v>17806</v>
      </c>
      <c r="K63" s="470">
        <v>5.5E-2</v>
      </c>
      <c r="L63" s="470">
        <v>0.185</v>
      </c>
      <c r="M63" s="471">
        <v>0.151</v>
      </c>
      <c r="N63" s="282">
        <f t="shared" si="1"/>
        <v>40.26</v>
      </c>
      <c r="O63" s="283">
        <f t="shared" si="2"/>
        <v>228.30500000000001</v>
      </c>
      <c r="P63" s="283">
        <f t="shared" si="2"/>
        <v>128.20500000000001</v>
      </c>
      <c r="Q63" s="283">
        <f t="shared" si="3"/>
        <v>2397.9699999999998</v>
      </c>
      <c r="R63" s="283">
        <f t="shared" si="4"/>
        <v>2526.1749999999997</v>
      </c>
      <c r="S63" s="283">
        <f t="shared" si="5"/>
        <v>2688.7060000000001</v>
      </c>
      <c r="U63" s="498"/>
    </row>
    <row r="64" spans="1:21" ht="24.95" customHeight="1" x14ac:dyDescent="0.2">
      <c r="A64" s="284" t="s">
        <v>137</v>
      </c>
      <c r="B64" s="285" t="s">
        <v>541</v>
      </c>
      <c r="C64" s="286" t="s">
        <v>286</v>
      </c>
      <c r="D64" s="279">
        <v>45437</v>
      </c>
      <c r="E64" s="279">
        <v>1331</v>
      </c>
      <c r="F64" s="279">
        <v>7925</v>
      </c>
      <c r="G64" s="279">
        <v>1557</v>
      </c>
      <c r="H64" s="279">
        <v>25784</v>
      </c>
      <c r="I64" s="279">
        <v>8840</v>
      </c>
      <c r="J64" s="279">
        <f t="shared" si="0"/>
        <v>35266</v>
      </c>
      <c r="K64" s="470">
        <v>5.2999999999999999E-2</v>
      </c>
      <c r="L64" s="470">
        <v>0.191</v>
      </c>
      <c r="M64" s="471">
        <v>0.155</v>
      </c>
      <c r="N64" s="282">
        <f t="shared" si="1"/>
        <v>70.542999999999992</v>
      </c>
      <c r="O64" s="283">
        <f t="shared" si="2"/>
        <v>420.02499999999998</v>
      </c>
      <c r="P64" s="283">
        <f t="shared" si="2"/>
        <v>297.387</v>
      </c>
      <c r="Q64" s="283">
        <f t="shared" si="3"/>
        <v>4924.7439999999997</v>
      </c>
      <c r="R64" s="283">
        <f t="shared" si="4"/>
        <v>5222.1309999999994</v>
      </c>
      <c r="S64" s="283">
        <f t="shared" si="5"/>
        <v>5466.23</v>
      </c>
      <c r="U64" s="498"/>
    </row>
    <row r="65" spans="1:21" ht="24.95" customHeight="1" x14ac:dyDescent="0.2">
      <c r="A65" s="284" t="s">
        <v>105</v>
      </c>
      <c r="B65" s="285" t="s">
        <v>14</v>
      </c>
      <c r="C65" s="286" t="s">
        <v>285</v>
      </c>
      <c r="D65" s="279">
        <v>1054561</v>
      </c>
      <c r="E65" s="279">
        <v>42441</v>
      </c>
      <c r="F65" s="279">
        <v>211891</v>
      </c>
      <c r="G65" s="279">
        <v>36404</v>
      </c>
      <c r="H65" s="279">
        <v>651596</v>
      </c>
      <c r="I65" s="279">
        <v>112229</v>
      </c>
      <c r="J65" s="279">
        <f t="shared" si="0"/>
        <v>899891</v>
      </c>
      <c r="K65" s="470">
        <v>5.2000000000000005E-2</v>
      </c>
      <c r="L65" s="470">
        <v>0.187</v>
      </c>
      <c r="M65" s="471">
        <v>0.14899999999999999</v>
      </c>
      <c r="N65" s="282">
        <f t="shared" si="1"/>
        <v>2206.9320000000002</v>
      </c>
      <c r="O65" s="283">
        <f t="shared" si="2"/>
        <v>11018.332</v>
      </c>
      <c r="P65" s="283">
        <f t="shared" si="2"/>
        <v>6807.5479999999998</v>
      </c>
      <c r="Q65" s="283">
        <f t="shared" si="3"/>
        <v>121848.452</v>
      </c>
      <c r="R65" s="283">
        <f t="shared" si="4"/>
        <v>128656</v>
      </c>
      <c r="S65" s="283">
        <f t="shared" si="5"/>
        <v>134083.75899999999</v>
      </c>
      <c r="U65" s="498"/>
    </row>
    <row r="66" spans="1:21" ht="24.95" customHeight="1" x14ac:dyDescent="0.2">
      <c r="A66" s="284" t="s">
        <v>138</v>
      </c>
      <c r="B66" s="285" t="s">
        <v>541</v>
      </c>
      <c r="C66" s="286" t="s">
        <v>286</v>
      </c>
      <c r="D66" s="279">
        <v>15894</v>
      </c>
      <c r="E66" s="279">
        <v>459</v>
      </c>
      <c r="F66" s="279">
        <v>2443</v>
      </c>
      <c r="G66" s="279">
        <v>385</v>
      </c>
      <c r="H66" s="279">
        <v>8944</v>
      </c>
      <c r="I66" s="279">
        <v>3663</v>
      </c>
      <c r="J66" s="279">
        <f t="shared" si="0"/>
        <v>11772</v>
      </c>
      <c r="K66" s="470">
        <v>6.7000000000000004E-2</v>
      </c>
      <c r="L66" s="470">
        <v>0.192</v>
      </c>
      <c r="M66" s="471">
        <v>0.161</v>
      </c>
      <c r="N66" s="282">
        <f t="shared" si="1"/>
        <v>30.753</v>
      </c>
      <c r="O66" s="283">
        <f t="shared" si="2"/>
        <v>163.68100000000001</v>
      </c>
      <c r="P66" s="283">
        <f t="shared" si="2"/>
        <v>73.92</v>
      </c>
      <c r="Q66" s="283">
        <f t="shared" si="3"/>
        <v>1717.248</v>
      </c>
      <c r="R66" s="283">
        <f t="shared" si="4"/>
        <v>1791.1680000000001</v>
      </c>
      <c r="S66" s="283">
        <f t="shared" si="5"/>
        <v>1895.2920000000001</v>
      </c>
      <c r="U66" s="498"/>
    </row>
    <row r="67" spans="1:21" ht="24.95" customHeight="1" x14ac:dyDescent="0.2">
      <c r="A67" s="284" t="s">
        <v>119</v>
      </c>
      <c r="B67" s="285" t="s">
        <v>21</v>
      </c>
      <c r="C67" s="286" t="s">
        <v>286</v>
      </c>
      <c r="D67" s="279">
        <v>27864</v>
      </c>
      <c r="E67" s="279">
        <v>917</v>
      </c>
      <c r="F67" s="279">
        <v>5322</v>
      </c>
      <c r="G67" s="279">
        <v>1103</v>
      </c>
      <c r="H67" s="279">
        <v>15118</v>
      </c>
      <c r="I67" s="279">
        <v>5404</v>
      </c>
      <c r="J67" s="279">
        <f t="shared" si="0"/>
        <v>21543</v>
      </c>
      <c r="K67" s="470">
        <v>7.5999999999999998E-2</v>
      </c>
      <c r="L67" s="470">
        <v>0.252</v>
      </c>
      <c r="M67" s="471">
        <v>0.20100000000000001</v>
      </c>
      <c r="N67" s="282">
        <f t="shared" si="1"/>
        <v>69.691999999999993</v>
      </c>
      <c r="O67" s="283">
        <f t="shared" si="2"/>
        <v>404.47199999999998</v>
      </c>
      <c r="P67" s="283">
        <f t="shared" si="2"/>
        <v>277.95600000000002</v>
      </c>
      <c r="Q67" s="283">
        <f t="shared" si="3"/>
        <v>3809.7359999999999</v>
      </c>
      <c r="R67" s="283">
        <f t="shared" si="4"/>
        <v>4087.692</v>
      </c>
      <c r="S67" s="283">
        <f t="shared" si="5"/>
        <v>4330.143</v>
      </c>
      <c r="U67" s="498"/>
    </row>
    <row r="68" spans="1:21" ht="24.95" customHeight="1" x14ac:dyDescent="0.2">
      <c r="A68" s="284" t="s">
        <v>120</v>
      </c>
      <c r="B68" s="285" t="s">
        <v>21</v>
      </c>
      <c r="C68" s="286" t="s">
        <v>286</v>
      </c>
      <c r="D68" s="279">
        <v>95327</v>
      </c>
      <c r="E68" s="279">
        <v>3056</v>
      </c>
      <c r="F68" s="279">
        <v>16749</v>
      </c>
      <c r="G68" s="279">
        <v>3102</v>
      </c>
      <c r="H68" s="279">
        <v>48149</v>
      </c>
      <c r="I68" s="279">
        <v>24271</v>
      </c>
      <c r="J68" s="279">
        <f t="shared" si="0"/>
        <v>68000</v>
      </c>
      <c r="K68" s="470">
        <v>6.2E-2</v>
      </c>
      <c r="L68" s="470">
        <v>0.184</v>
      </c>
      <c r="M68" s="471">
        <v>0.15</v>
      </c>
      <c r="N68" s="282">
        <f t="shared" si="1"/>
        <v>189.47200000000001</v>
      </c>
      <c r="O68" s="283">
        <f t="shared" si="2"/>
        <v>1038.4380000000001</v>
      </c>
      <c r="P68" s="283">
        <f t="shared" si="2"/>
        <v>570.76800000000003</v>
      </c>
      <c r="Q68" s="283">
        <f t="shared" si="3"/>
        <v>8859.4159999999993</v>
      </c>
      <c r="R68" s="283">
        <f t="shared" si="4"/>
        <v>9430.1839999999993</v>
      </c>
      <c r="S68" s="283">
        <f t="shared" si="5"/>
        <v>10200</v>
      </c>
      <c r="U68" s="498"/>
    </row>
    <row r="69" spans="1:21" ht="24.95" customHeight="1" x14ac:dyDescent="0.2">
      <c r="A69" s="284" t="s">
        <v>99</v>
      </c>
      <c r="B69" s="285" t="s">
        <v>18</v>
      </c>
      <c r="C69" s="286" t="s">
        <v>285</v>
      </c>
      <c r="D69" s="279">
        <v>94140</v>
      </c>
      <c r="E69" s="279">
        <v>3087</v>
      </c>
      <c r="F69" s="279">
        <v>17436</v>
      </c>
      <c r="G69" s="279">
        <v>3480</v>
      </c>
      <c r="H69" s="279">
        <v>53723</v>
      </c>
      <c r="I69" s="279">
        <v>16414</v>
      </c>
      <c r="J69" s="279">
        <f t="shared" si="0"/>
        <v>74639</v>
      </c>
      <c r="K69" s="470">
        <v>5.2999999999999999E-2</v>
      </c>
      <c r="L69" s="470">
        <v>0.193</v>
      </c>
      <c r="M69" s="471">
        <v>0.154</v>
      </c>
      <c r="N69" s="282">
        <f t="shared" si="1"/>
        <v>163.61099999999999</v>
      </c>
      <c r="O69" s="283">
        <f t="shared" si="2"/>
        <v>924.10799999999995</v>
      </c>
      <c r="P69" s="283">
        <f t="shared" si="2"/>
        <v>671.64</v>
      </c>
      <c r="Q69" s="283">
        <f t="shared" si="3"/>
        <v>10368.539000000001</v>
      </c>
      <c r="R69" s="283">
        <f t="shared" si="4"/>
        <v>11040.179</v>
      </c>
      <c r="S69" s="283">
        <f t="shared" si="5"/>
        <v>11494.405999999999</v>
      </c>
      <c r="U69" s="498"/>
    </row>
    <row r="70" spans="1:21" ht="24.95" customHeight="1" x14ac:dyDescent="0.2">
      <c r="A70" s="284" t="s">
        <v>71</v>
      </c>
      <c r="B70" s="285" t="s">
        <v>476</v>
      </c>
      <c r="C70" s="286" t="s">
        <v>285</v>
      </c>
      <c r="D70" s="279">
        <v>223260</v>
      </c>
      <c r="E70" s="279">
        <v>6757</v>
      </c>
      <c r="F70" s="279">
        <v>35610</v>
      </c>
      <c r="G70" s="279">
        <v>11703</v>
      </c>
      <c r="H70" s="279">
        <v>132527</v>
      </c>
      <c r="I70" s="279">
        <v>36663</v>
      </c>
      <c r="J70" s="279">
        <f t="shared" ref="J70:J105" si="6">SUM(F70:H70)</f>
        <v>179840</v>
      </c>
      <c r="K70" s="470">
        <v>5.4000000000000006E-2</v>
      </c>
      <c r="L70" s="470">
        <v>0.17399999999999999</v>
      </c>
      <c r="M70" s="471">
        <v>0.14499999999999999</v>
      </c>
      <c r="N70" s="282">
        <f t="shared" si="1"/>
        <v>364.87800000000004</v>
      </c>
      <c r="O70" s="283">
        <f t="shared" si="2"/>
        <v>1922.9400000000003</v>
      </c>
      <c r="P70" s="283">
        <f t="shared" si="2"/>
        <v>2036.3219999999999</v>
      </c>
      <c r="Q70" s="283">
        <f t="shared" si="3"/>
        <v>23059.697999999997</v>
      </c>
      <c r="R70" s="283">
        <f t="shared" si="4"/>
        <v>25096.019999999997</v>
      </c>
      <c r="S70" s="283">
        <f t="shared" si="5"/>
        <v>26076.799999999999</v>
      </c>
      <c r="U70" s="498"/>
    </row>
    <row r="71" spans="1:21" ht="24.95" customHeight="1" x14ac:dyDescent="0.2">
      <c r="A71" s="284" t="s">
        <v>86</v>
      </c>
      <c r="B71" s="285" t="s">
        <v>476</v>
      </c>
      <c r="C71" s="286" t="s">
        <v>286</v>
      </c>
      <c r="D71" s="279">
        <v>20960</v>
      </c>
      <c r="E71" s="279">
        <v>550</v>
      </c>
      <c r="F71" s="279">
        <v>3402</v>
      </c>
      <c r="G71" s="279">
        <v>548</v>
      </c>
      <c r="H71" s="279">
        <v>11736</v>
      </c>
      <c r="I71" s="279">
        <v>4724</v>
      </c>
      <c r="J71" s="279">
        <f t="shared" si="6"/>
        <v>15686</v>
      </c>
      <c r="K71" s="470">
        <v>5.0999999999999997E-2</v>
      </c>
      <c r="L71" s="470">
        <v>0.17899999999999999</v>
      </c>
      <c r="M71" s="471">
        <v>0.14699999999999999</v>
      </c>
      <c r="N71" s="282">
        <f t="shared" ref="N71:N105" si="7">E71*K71</f>
        <v>28.049999999999997</v>
      </c>
      <c r="O71" s="283">
        <f t="shared" ref="O71:P105" si="8">F71*K71</f>
        <v>173.50199999999998</v>
      </c>
      <c r="P71" s="283">
        <f t="shared" si="8"/>
        <v>98.091999999999999</v>
      </c>
      <c r="Q71" s="283">
        <f t="shared" ref="Q71:Q105" si="9">H71*L71</f>
        <v>2100.7439999999997</v>
      </c>
      <c r="R71" s="283">
        <f t="shared" ref="R71:R105" si="10">SUM(P71:Q71)</f>
        <v>2198.8359999999998</v>
      </c>
      <c r="S71" s="283">
        <f t="shared" ref="S71:S105" si="11">J71*M71</f>
        <v>2305.8420000000001</v>
      </c>
      <c r="U71" s="498"/>
    </row>
    <row r="72" spans="1:21" ht="24.95" customHeight="1" x14ac:dyDescent="0.2">
      <c r="A72" s="284" t="s">
        <v>72</v>
      </c>
      <c r="B72" s="285" t="s">
        <v>476</v>
      </c>
      <c r="C72" s="286" t="s">
        <v>285</v>
      </c>
      <c r="D72" s="279">
        <v>195835</v>
      </c>
      <c r="E72" s="279">
        <v>12364</v>
      </c>
      <c r="F72" s="279">
        <v>44167</v>
      </c>
      <c r="G72" s="279">
        <v>14655</v>
      </c>
      <c r="H72" s="279">
        <v>107185</v>
      </c>
      <c r="I72" s="279">
        <v>17464</v>
      </c>
      <c r="J72" s="279">
        <f t="shared" si="6"/>
        <v>166007</v>
      </c>
      <c r="K72" s="470">
        <v>0.04</v>
      </c>
      <c r="L72" s="470">
        <v>0.14699999999999999</v>
      </c>
      <c r="M72" s="471">
        <v>0.115</v>
      </c>
      <c r="N72" s="282">
        <f t="shared" si="7"/>
        <v>494.56</v>
      </c>
      <c r="O72" s="283">
        <f t="shared" si="8"/>
        <v>1766.68</v>
      </c>
      <c r="P72" s="283">
        <f t="shared" si="8"/>
        <v>2154.2849999999999</v>
      </c>
      <c r="Q72" s="283">
        <f t="shared" si="9"/>
        <v>15756.195</v>
      </c>
      <c r="R72" s="283">
        <f t="shared" si="10"/>
        <v>17910.48</v>
      </c>
      <c r="S72" s="283">
        <f t="shared" si="11"/>
        <v>19090.805</v>
      </c>
      <c r="U72" s="498"/>
    </row>
    <row r="73" spans="1:21" ht="24.95" customHeight="1" x14ac:dyDescent="0.2">
      <c r="A73" s="284" t="s">
        <v>58</v>
      </c>
      <c r="B73" s="285" t="s">
        <v>14</v>
      </c>
      <c r="C73" s="286" t="s">
        <v>285</v>
      </c>
      <c r="D73" s="279">
        <v>143264</v>
      </c>
      <c r="E73" s="279">
        <v>3669</v>
      </c>
      <c r="F73" s="279">
        <v>23711</v>
      </c>
      <c r="G73" s="279">
        <v>12214</v>
      </c>
      <c r="H73" s="279">
        <v>85462</v>
      </c>
      <c r="I73" s="279">
        <v>18208</v>
      </c>
      <c r="J73" s="279">
        <f t="shared" si="6"/>
        <v>121387</v>
      </c>
      <c r="K73" s="470">
        <v>5.7000000000000002E-2</v>
      </c>
      <c r="L73" s="470">
        <v>0.14400000000000002</v>
      </c>
      <c r="M73" s="471">
        <v>0.121</v>
      </c>
      <c r="N73" s="282">
        <f t="shared" si="7"/>
        <v>209.13300000000001</v>
      </c>
      <c r="O73" s="283">
        <f t="shared" si="8"/>
        <v>1351.527</v>
      </c>
      <c r="P73" s="283">
        <f t="shared" si="8"/>
        <v>1758.8160000000003</v>
      </c>
      <c r="Q73" s="283">
        <f t="shared" si="9"/>
        <v>12306.528000000002</v>
      </c>
      <c r="R73" s="283">
        <f t="shared" si="10"/>
        <v>14065.344000000003</v>
      </c>
      <c r="S73" s="283">
        <f t="shared" si="11"/>
        <v>14687.826999999999</v>
      </c>
      <c r="U73" s="498"/>
    </row>
    <row r="74" spans="1:21" ht="24.95" customHeight="1" x14ac:dyDescent="0.2">
      <c r="A74" s="284" t="s">
        <v>87</v>
      </c>
      <c r="B74" s="285" t="s">
        <v>476</v>
      </c>
      <c r="C74" s="286" t="s">
        <v>285</v>
      </c>
      <c r="D74" s="279">
        <v>13184</v>
      </c>
      <c r="E74" s="279">
        <v>296</v>
      </c>
      <c r="F74" s="279">
        <v>1815</v>
      </c>
      <c r="G74" s="279">
        <v>330</v>
      </c>
      <c r="H74" s="279">
        <v>7137</v>
      </c>
      <c r="I74" s="279">
        <v>3606</v>
      </c>
      <c r="J74" s="279">
        <f t="shared" si="6"/>
        <v>9282</v>
      </c>
      <c r="K74" s="470">
        <v>0.09</v>
      </c>
      <c r="L74" s="470">
        <v>0.185</v>
      </c>
      <c r="M74" s="471">
        <v>0.16200000000000001</v>
      </c>
      <c r="N74" s="282">
        <f t="shared" si="7"/>
        <v>26.64</v>
      </c>
      <c r="O74" s="283">
        <f t="shared" si="8"/>
        <v>163.35</v>
      </c>
      <c r="P74" s="283">
        <f t="shared" si="8"/>
        <v>61.05</v>
      </c>
      <c r="Q74" s="283">
        <f t="shared" si="9"/>
        <v>1320.345</v>
      </c>
      <c r="R74" s="283">
        <f t="shared" si="10"/>
        <v>1381.395</v>
      </c>
      <c r="S74" s="283">
        <f t="shared" si="11"/>
        <v>1503.684</v>
      </c>
      <c r="U74" s="498"/>
    </row>
    <row r="75" spans="1:21" ht="24.95" customHeight="1" x14ac:dyDescent="0.2">
      <c r="A75" s="284" t="s">
        <v>88</v>
      </c>
      <c r="B75" s="285" t="s">
        <v>476</v>
      </c>
      <c r="C75" s="286" t="s">
        <v>286</v>
      </c>
      <c r="D75" s="279">
        <v>40112</v>
      </c>
      <c r="E75" s="279">
        <v>1457</v>
      </c>
      <c r="F75" s="279">
        <v>7706</v>
      </c>
      <c r="G75" s="279">
        <v>2255</v>
      </c>
      <c r="H75" s="279">
        <v>22627</v>
      </c>
      <c r="I75" s="279">
        <v>6067</v>
      </c>
      <c r="J75" s="279">
        <f t="shared" si="6"/>
        <v>32588</v>
      </c>
      <c r="K75" s="470">
        <v>0.05</v>
      </c>
      <c r="L75" s="470">
        <v>0.19600000000000001</v>
      </c>
      <c r="M75" s="471">
        <v>0.156</v>
      </c>
      <c r="N75" s="282">
        <f t="shared" si="7"/>
        <v>72.850000000000009</v>
      </c>
      <c r="O75" s="283">
        <f t="shared" si="8"/>
        <v>385.3</v>
      </c>
      <c r="P75" s="283">
        <f t="shared" si="8"/>
        <v>441.98</v>
      </c>
      <c r="Q75" s="283">
        <f t="shared" si="9"/>
        <v>4434.8919999999998</v>
      </c>
      <c r="R75" s="283">
        <f t="shared" si="10"/>
        <v>4876.8719999999994</v>
      </c>
      <c r="S75" s="283">
        <f t="shared" si="11"/>
        <v>5083.7280000000001</v>
      </c>
      <c r="U75" s="498"/>
    </row>
    <row r="76" spans="1:21" ht="24.95" customHeight="1" x14ac:dyDescent="0.2">
      <c r="A76" s="284" t="s">
        <v>73</v>
      </c>
      <c r="B76" s="285" t="s">
        <v>476</v>
      </c>
      <c r="C76" s="286" t="s">
        <v>285</v>
      </c>
      <c r="D76" s="279">
        <v>58815</v>
      </c>
      <c r="E76" s="279">
        <v>1859</v>
      </c>
      <c r="F76" s="279">
        <v>10415</v>
      </c>
      <c r="G76" s="279">
        <v>2231</v>
      </c>
      <c r="H76" s="279">
        <v>33966</v>
      </c>
      <c r="I76" s="279">
        <v>10344</v>
      </c>
      <c r="J76" s="279">
        <f t="shared" si="6"/>
        <v>46612</v>
      </c>
      <c r="K76" s="470">
        <v>6.6000000000000003E-2</v>
      </c>
      <c r="L76" s="470">
        <v>0.2</v>
      </c>
      <c r="M76" s="471">
        <v>0.16300000000000001</v>
      </c>
      <c r="N76" s="282">
        <f t="shared" si="7"/>
        <v>122.694</v>
      </c>
      <c r="O76" s="283">
        <f t="shared" si="8"/>
        <v>687.39</v>
      </c>
      <c r="P76" s="283">
        <f t="shared" si="8"/>
        <v>446.20000000000005</v>
      </c>
      <c r="Q76" s="283">
        <f t="shared" si="9"/>
        <v>6793.2000000000007</v>
      </c>
      <c r="R76" s="283">
        <f t="shared" si="10"/>
        <v>7239.4000000000005</v>
      </c>
      <c r="S76" s="283">
        <f t="shared" si="11"/>
        <v>7597.7560000000003</v>
      </c>
      <c r="U76" s="498"/>
    </row>
    <row r="77" spans="1:21" ht="24.95" customHeight="1" x14ac:dyDescent="0.2">
      <c r="A77" s="284" t="s">
        <v>89</v>
      </c>
      <c r="B77" s="285" t="s">
        <v>476</v>
      </c>
      <c r="C77" s="286" t="s">
        <v>286</v>
      </c>
      <c r="D77" s="279">
        <v>13539</v>
      </c>
      <c r="E77" s="279">
        <v>400</v>
      </c>
      <c r="F77" s="279">
        <v>2198</v>
      </c>
      <c r="G77" s="279">
        <v>379</v>
      </c>
      <c r="H77" s="279">
        <v>7030</v>
      </c>
      <c r="I77" s="279">
        <v>3532</v>
      </c>
      <c r="J77" s="279">
        <f t="shared" si="6"/>
        <v>9607</v>
      </c>
      <c r="K77" s="470">
        <v>6.0999999999999999E-2</v>
      </c>
      <c r="L77" s="470">
        <v>0.18899999999999997</v>
      </c>
      <c r="M77" s="471">
        <v>0.154</v>
      </c>
      <c r="N77" s="282">
        <f t="shared" si="7"/>
        <v>24.4</v>
      </c>
      <c r="O77" s="283">
        <f t="shared" si="8"/>
        <v>134.078</v>
      </c>
      <c r="P77" s="283">
        <f t="shared" si="8"/>
        <v>71.630999999999986</v>
      </c>
      <c r="Q77" s="283">
        <f t="shared" si="9"/>
        <v>1328.6699999999998</v>
      </c>
      <c r="R77" s="283">
        <f t="shared" si="10"/>
        <v>1400.3009999999999</v>
      </c>
      <c r="S77" s="283">
        <f t="shared" si="11"/>
        <v>1479.4780000000001</v>
      </c>
      <c r="U77" s="498"/>
    </row>
    <row r="78" spans="1:21" ht="24.95" customHeight="1" x14ac:dyDescent="0.2">
      <c r="A78" s="284" t="s">
        <v>59</v>
      </c>
      <c r="B78" s="285" t="s">
        <v>14</v>
      </c>
      <c r="C78" s="286" t="s">
        <v>285</v>
      </c>
      <c r="D78" s="279">
        <v>39383</v>
      </c>
      <c r="E78" s="279">
        <v>1313</v>
      </c>
      <c r="F78" s="279">
        <v>7066</v>
      </c>
      <c r="G78" s="279">
        <v>1247</v>
      </c>
      <c r="H78" s="279">
        <v>22607</v>
      </c>
      <c r="I78" s="279">
        <v>7150</v>
      </c>
      <c r="J78" s="279">
        <f t="shared" si="6"/>
        <v>30920</v>
      </c>
      <c r="K78" s="470">
        <v>5.5999999999999994E-2</v>
      </c>
      <c r="L78" s="470">
        <v>0.17899999999999999</v>
      </c>
      <c r="M78" s="471">
        <v>0.14599999999999999</v>
      </c>
      <c r="N78" s="282">
        <f t="shared" si="7"/>
        <v>73.527999999999992</v>
      </c>
      <c r="O78" s="283">
        <f t="shared" si="8"/>
        <v>395.69599999999997</v>
      </c>
      <c r="P78" s="283">
        <f t="shared" si="8"/>
        <v>223.21299999999999</v>
      </c>
      <c r="Q78" s="283">
        <f t="shared" si="9"/>
        <v>4046.6529999999998</v>
      </c>
      <c r="R78" s="283">
        <f t="shared" si="10"/>
        <v>4269.866</v>
      </c>
      <c r="S78" s="283">
        <f t="shared" si="11"/>
        <v>4514.32</v>
      </c>
      <c r="U78" s="498"/>
    </row>
    <row r="79" spans="1:21" ht="24.95" customHeight="1" x14ac:dyDescent="0.2">
      <c r="A79" s="284" t="s">
        <v>90</v>
      </c>
      <c r="B79" s="285" t="s">
        <v>476</v>
      </c>
      <c r="C79" s="286" t="s">
        <v>285</v>
      </c>
      <c r="D79" s="279">
        <v>176269</v>
      </c>
      <c r="E79" s="279">
        <v>6070</v>
      </c>
      <c r="F79" s="279">
        <v>32557</v>
      </c>
      <c r="G79" s="279">
        <v>14834</v>
      </c>
      <c r="H79" s="279">
        <v>101432</v>
      </c>
      <c r="I79" s="279">
        <v>21376</v>
      </c>
      <c r="J79" s="279">
        <f t="shared" si="6"/>
        <v>148823</v>
      </c>
      <c r="K79" s="470">
        <v>0.05</v>
      </c>
      <c r="L79" s="470">
        <v>0.17699999999999999</v>
      </c>
      <c r="M79" s="471">
        <v>0.14400000000000002</v>
      </c>
      <c r="N79" s="282">
        <f t="shared" si="7"/>
        <v>303.5</v>
      </c>
      <c r="O79" s="283">
        <f t="shared" si="8"/>
        <v>1627.8500000000001</v>
      </c>
      <c r="P79" s="283">
        <f t="shared" si="8"/>
        <v>2625.6179999999999</v>
      </c>
      <c r="Q79" s="283">
        <f t="shared" si="9"/>
        <v>17953.464</v>
      </c>
      <c r="R79" s="283">
        <f t="shared" si="10"/>
        <v>20579.081999999999</v>
      </c>
      <c r="S79" s="283">
        <f t="shared" si="11"/>
        <v>21430.512000000002</v>
      </c>
      <c r="U79" s="498"/>
    </row>
    <row r="80" spans="1:21" ht="24.95" customHeight="1" x14ac:dyDescent="0.2">
      <c r="A80" s="284" t="s">
        <v>139</v>
      </c>
      <c r="B80" s="285" t="s">
        <v>541</v>
      </c>
      <c r="C80" s="286" t="s">
        <v>286</v>
      </c>
      <c r="D80" s="279">
        <v>20955</v>
      </c>
      <c r="E80" s="279">
        <v>481</v>
      </c>
      <c r="F80" s="279">
        <v>3035</v>
      </c>
      <c r="G80" s="279">
        <v>599</v>
      </c>
      <c r="H80" s="279">
        <v>10950</v>
      </c>
      <c r="I80" s="279">
        <v>5890</v>
      </c>
      <c r="J80" s="279">
        <f t="shared" si="6"/>
        <v>14584</v>
      </c>
      <c r="K80" s="470">
        <v>8.8000000000000009E-2</v>
      </c>
      <c r="L80" s="470">
        <v>0.20600000000000002</v>
      </c>
      <c r="M80" s="471">
        <v>0.17699999999999999</v>
      </c>
      <c r="N80" s="282">
        <f t="shared" si="7"/>
        <v>42.328000000000003</v>
      </c>
      <c r="O80" s="283">
        <f t="shared" si="8"/>
        <v>267.08000000000004</v>
      </c>
      <c r="P80" s="283">
        <f t="shared" si="8"/>
        <v>123.39400000000001</v>
      </c>
      <c r="Q80" s="283">
        <f t="shared" si="9"/>
        <v>2255.7000000000003</v>
      </c>
      <c r="R80" s="283">
        <f t="shared" si="10"/>
        <v>2379.0940000000001</v>
      </c>
      <c r="S80" s="283">
        <f t="shared" si="11"/>
        <v>2581.3679999999999</v>
      </c>
      <c r="U80" s="498"/>
    </row>
    <row r="81" spans="1:21" ht="24.95" customHeight="1" x14ac:dyDescent="0.2">
      <c r="A81" s="284" t="s">
        <v>121</v>
      </c>
      <c r="B81" s="285" t="s">
        <v>21</v>
      </c>
      <c r="C81" s="286" t="s">
        <v>285</v>
      </c>
      <c r="D81" s="279">
        <v>144254</v>
      </c>
      <c r="E81" s="279">
        <v>4746</v>
      </c>
      <c r="F81" s="279">
        <v>27809</v>
      </c>
      <c r="G81" s="279">
        <v>5902</v>
      </c>
      <c r="H81" s="279">
        <v>81739</v>
      </c>
      <c r="I81" s="279">
        <v>24058</v>
      </c>
      <c r="J81" s="279">
        <f t="shared" si="6"/>
        <v>115450</v>
      </c>
      <c r="K81" s="470">
        <v>6.9000000000000006E-2</v>
      </c>
      <c r="L81" s="470">
        <v>0.21</v>
      </c>
      <c r="M81" s="471">
        <v>0.17</v>
      </c>
      <c r="N81" s="282">
        <f t="shared" si="7"/>
        <v>327.47400000000005</v>
      </c>
      <c r="O81" s="283">
        <f t="shared" si="8"/>
        <v>1918.8210000000001</v>
      </c>
      <c r="P81" s="283">
        <f t="shared" si="8"/>
        <v>1239.4199999999998</v>
      </c>
      <c r="Q81" s="283">
        <f t="shared" si="9"/>
        <v>17165.189999999999</v>
      </c>
      <c r="R81" s="283">
        <f t="shared" si="10"/>
        <v>18404.609999999997</v>
      </c>
      <c r="S81" s="283">
        <f t="shared" si="11"/>
        <v>19626.5</v>
      </c>
      <c r="U81" s="498"/>
    </row>
    <row r="82" spans="1:21" ht="24.95" customHeight="1" x14ac:dyDescent="0.2">
      <c r="A82" s="284" t="s">
        <v>122</v>
      </c>
      <c r="B82" s="285" t="s">
        <v>21</v>
      </c>
      <c r="C82" s="286" t="s">
        <v>286</v>
      </c>
      <c r="D82" s="279">
        <v>45484</v>
      </c>
      <c r="E82" s="279">
        <v>1519</v>
      </c>
      <c r="F82" s="279">
        <v>8922</v>
      </c>
      <c r="G82" s="279">
        <v>2200</v>
      </c>
      <c r="H82" s="279">
        <v>25186</v>
      </c>
      <c r="I82" s="279">
        <v>7657</v>
      </c>
      <c r="J82" s="279">
        <f t="shared" si="6"/>
        <v>36308</v>
      </c>
      <c r="K82" s="470">
        <v>5.2999999999999999E-2</v>
      </c>
      <c r="L82" s="470">
        <v>0.22699999999999998</v>
      </c>
      <c r="M82" s="471">
        <v>0.17699999999999999</v>
      </c>
      <c r="N82" s="282">
        <f t="shared" si="7"/>
        <v>80.506999999999991</v>
      </c>
      <c r="O82" s="283">
        <f t="shared" si="8"/>
        <v>472.86599999999999</v>
      </c>
      <c r="P82" s="283">
        <f t="shared" si="8"/>
        <v>499.4</v>
      </c>
      <c r="Q82" s="283">
        <f t="shared" si="9"/>
        <v>5717.2219999999998</v>
      </c>
      <c r="R82" s="283">
        <f t="shared" si="10"/>
        <v>6216.6219999999994</v>
      </c>
      <c r="S82" s="283">
        <f t="shared" si="11"/>
        <v>6426.5159999999996</v>
      </c>
      <c r="U82" s="498"/>
    </row>
    <row r="83" spans="1:21" ht="24.95" customHeight="1" x14ac:dyDescent="0.2">
      <c r="A83" s="284" t="s">
        <v>100</v>
      </c>
      <c r="B83" s="285" t="s">
        <v>18</v>
      </c>
      <c r="C83" s="286" t="s">
        <v>286</v>
      </c>
      <c r="D83" s="279">
        <v>132948</v>
      </c>
      <c r="E83" s="279">
        <v>5208</v>
      </c>
      <c r="F83" s="279">
        <v>27729</v>
      </c>
      <c r="G83" s="279">
        <v>7716</v>
      </c>
      <c r="H83" s="279">
        <v>73656</v>
      </c>
      <c r="I83" s="279">
        <v>18639</v>
      </c>
      <c r="J83" s="279">
        <f t="shared" si="6"/>
        <v>109101</v>
      </c>
      <c r="K83" s="470">
        <v>6.5000000000000002E-2</v>
      </c>
      <c r="L83" s="470">
        <v>0.28300000000000003</v>
      </c>
      <c r="M83" s="471">
        <v>0.217</v>
      </c>
      <c r="N83" s="282">
        <f t="shared" si="7"/>
        <v>338.52000000000004</v>
      </c>
      <c r="O83" s="283">
        <f t="shared" si="8"/>
        <v>1802.385</v>
      </c>
      <c r="P83" s="283">
        <f t="shared" si="8"/>
        <v>2183.6280000000002</v>
      </c>
      <c r="Q83" s="283">
        <f t="shared" si="9"/>
        <v>20844.648000000001</v>
      </c>
      <c r="R83" s="283">
        <f t="shared" si="10"/>
        <v>23028.276000000002</v>
      </c>
      <c r="S83" s="283">
        <f t="shared" si="11"/>
        <v>23674.917000000001</v>
      </c>
      <c r="U83" s="498"/>
    </row>
    <row r="84" spans="1:21" ht="24.95" customHeight="1" x14ac:dyDescent="0.2">
      <c r="A84" s="284" t="s">
        <v>67</v>
      </c>
      <c r="B84" s="285" t="s">
        <v>14</v>
      </c>
      <c r="C84" s="286" t="s">
        <v>285</v>
      </c>
      <c r="D84" s="279">
        <v>92543</v>
      </c>
      <c r="E84" s="279">
        <v>2895</v>
      </c>
      <c r="F84" s="279">
        <v>16221</v>
      </c>
      <c r="G84" s="279">
        <v>3120</v>
      </c>
      <c r="H84" s="279">
        <v>52852</v>
      </c>
      <c r="I84" s="279">
        <v>17455</v>
      </c>
      <c r="J84" s="279">
        <f t="shared" si="6"/>
        <v>72193</v>
      </c>
      <c r="K84" s="470">
        <v>5.4000000000000006E-2</v>
      </c>
      <c r="L84" s="470">
        <v>0.184</v>
      </c>
      <c r="M84" s="471">
        <v>0.15</v>
      </c>
      <c r="N84" s="282">
        <f t="shared" si="7"/>
        <v>156.33000000000001</v>
      </c>
      <c r="O84" s="283">
        <f t="shared" si="8"/>
        <v>875.93400000000008</v>
      </c>
      <c r="P84" s="283">
        <f t="shared" si="8"/>
        <v>574.08000000000004</v>
      </c>
      <c r="Q84" s="283">
        <f t="shared" si="9"/>
        <v>9724.768</v>
      </c>
      <c r="R84" s="283">
        <f t="shared" si="10"/>
        <v>10298.848</v>
      </c>
      <c r="S84" s="283">
        <f t="shared" si="11"/>
        <v>10828.949999999999</v>
      </c>
      <c r="U84" s="498"/>
    </row>
    <row r="85" spans="1:21" ht="24.95" customHeight="1" x14ac:dyDescent="0.2">
      <c r="A85" s="284" t="s">
        <v>60</v>
      </c>
      <c r="B85" s="285" t="s">
        <v>14</v>
      </c>
      <c r="C85" s="286" t="s">
        <v>285</v>
      </c>
      <c r="D85" s="279">
        <v>138710</v>
      </c>
      <c r="E85" s="279">
        <v>4495</v>
      </c>
      <c r="F85" s="279">
        <v>26517</v>
      </c>
      <c r="G85" s="279">
        <v>5653</v>
      </c>
      <c r="H85" s="279">
        <v>79228</v>
      </c>
      <c r="I85" s="279">
        <v>22817</v>
      </c>
      <c r="J85" s="279">
        <f t="shared" si="6"/>
        <v>111398</v>
      </c>
      <c r="K85" s="470">
        <v>5.9000000000000004E-2</v>
      </c>
      <c r="L85" s="470">
        <v>0.21199999999999999</v>
      </c>
      <c r="M85" s="471">
        <v>0.16899999999999998</v>
      </c>
      <c r="N85" s="282">
        <f t="shared" si="7"/>
        <v>265.20500000000004</v>
      </c>
      <c r="O85" s="283">
        <f t="shared" si="8"/>
        <v>1564.5030000000002</v>
      </c>
      <c r="P85" s="283">
        <f t="shared" si="8"/>
        <v>1198.4359999999999</v>
      </c>
      <c r="Q85" s="283">
        <f t="shared" si="9"/>
        <v>16796.335999999999</v>
      </c>
      <c r="R85" s="283">
        <f t="shared" si="10"/>
        <v>17994.772000000001</v>
      </c>
      <c r="S85" s="283">
        <f t="shared" si="11"/>
        <v>18826.261999999999</v>
      </c>
      <c r="U85" s="498"/>
    </row>
    <row r="86" spans="1:21" ht="24.95" customHeight="1" x14ac:dyDescent="0.2">
      <c r="A86" s="284" t="s">
        <v>140</v>
      </c>
      <c r="B86" s="285" t="s">
        <v>541</v>
      </c>
      <c r="C86" s="286" t="s">
        <v>286</v>
      </c>
      <c r="D86" s="279">
        <v>67359</v>
      </c>
      <c r="E86" s="279">
        <v>2125</v>
      </c>
      <c r="F86" s="279">
        <v>11996</v>
      </c>
      <c r="G86" s="279">
        <v>2360</v>
      </c>
      <c r="H86" s="279">
        <v>37358</v>
      </c>
      <c r="I86" s="279">
        <v>13520</v>
      </c>
      <c r="J86" s="279">
        <f t="shared" si="6"/>
        <v>51714</v>
      </c>
      <c r="K86" s="470">
        <v>5.4000000000000006E-2</v>
      </c>
      <c r="L86" s="470">
        <v>0.192</v>
      </c>
      <c r="M86" s="471">
        <v>0.155</v>
      </c>
      <c r="N86" s="282">
        <f t="shared" si="7"/>
        <v>114.75000000000001</v>
      </c>
      <c r="O86" s="283">
        <f t="shared" si="8"/>
        <v>647.78400000000011</v>
      </c>
      <c r="P86" s="283">
        <f t="shared" si="8"/>
        <v>453.12</v>
      </c>
      <c r="Q86" s="283">
        <f t="shared" si="9"/>
        <v>7172.7359999999999</v>
      </c>
      <c r="R86" s="283">
        <f t="shared" si="10"/>
        <v>7625.8559999999998</v>
      </c>
      <c r="S86" s="283">
        <f t="shared" si="11"/>
        <v>8015.67</v>
      </c>
      <c r="U86" s="498"/>
    </row>
    <row r="87" spans="1:21" ht="24.95" customHeight="1" x14ac:dyDescent="0.2">
      <c r="A87" s="284" t="s">
        <v>101</v>
      </c>
      <c r="B87" s="285" t="s">
        <v>18</v>
      </c>
      <c r="C87" s="286" t="s">
        <v>286</v>
      </c>
      <c r="D87" s="279">
        <v>64633</v>
      </c>
      <c r="E87" s="279">
        <v>2448</v>
      </c>
      <c r="F87" s="279">
        <v>13454</v>
      </c>
      <c r="G87" s="279">
        <v>2642</v>
      </c>
      <c r="H87" s="279">
        <v>35379</v>
      </c>
      <c r="I87" s="279">
        <v>10710</v>
      </c>
      <c r="J87" s="279">
        <f t="shared" si="6"/>
        <v>51475</v>
      </c>
      <c r="K87" s="470">
        <v>7.0000000000000007E-2</v>
      </c>
      <c r="L87" s="470">
        <v>0.25900000000000001</v>
      </c>
      <c r="M87" s="471">
        <v>0.20300000000000001</v>
      </c>
      <c r="N87" s="282">
        <f t="shared" si="7"/>
        <v>171.36</v>
      </c>
      <c r="O87" s="283">
        <f t="shared" si="8"/>
        <v>941.78000000000009</v>
      </c>
      <c r="P87" s="283">
        <f t="shared" si="8"/>
        <v>684.27800000000002</v>
      </c>
      <c r="Q87" s="283">
        <f t="shared" si="9"/>
        <v>9163.1610000000001</v>
      </c>
      <c r="R87" s="283">
        <f t="shared" si="10"/>
        <v>9847.4390000000003</v>
      </c>
      <c r="S87" s="283">
        <f t="shared" si="11"/>
        <v>10449.425000000001</v>
      </c>
      <c r="U87" s="498"/>
    </row>
    <row r="88" spans="1:21" ht="24.95" customHeight="1" x14ac:dyDescent="0.2">
      <c r="A88" s="284" t="s">
        <v>102</v>
      </c>
      <c r="B88" s="285" t="s">
        <v>18</v>
      </c>
      <c r="C88" s="286" t="s">
        <v>286</v>
      </c>
      <c r="D88" s="279">
        <v>35536</v>
      </c>
      <c r="E88" s="279">
        <v>1309</v>
      </c>
      <c r="F88" s="279">
        <v>7056</v>
      </c>
      <c r="G88" s="279">
        <v>1396</v>
      </c>
      <c r="H88" s="279">
        <v>19777</v>
      </c>
      <c r="I88" s="279">
        <v>5998</v>
      </c>
      <c r="J88" s="279">
        <f t="shared" si="6"/>
        <v>28229</v>
      </c>
      <c r="K88" s="470">
        <v>0.05</v>
      </c>
      <c r="L88" s="470">
        <v>0.21199999999999999</v>
      </c>
      <c r="M88" s="471">
        <v>0.16300000000000001</v>
      </c>
      <c r="N88" s="282">
        <f t="shared" si="7"/>
        <v>65.45</v>
      </c>
      <c r="O88" s="283">
        <f t="shared" si="8"/>
        <v>352.8</v>
      </c>
      <c r="P88" s="283">
        <f t="shared" si="8"/>
        <v>295.952</v>
      </c>
      <c r="Q88" s="283">
        <f t="shared" si="9"/>
        <v>4192.7240000000002</v>
      </c>
      <c r="R88" s="283">
        <f t="shared" si="10"/>
        <v>4488.6760000000004</v>
      </c>
      <c r="S88" s="283">
        <f t="shared" si="11"/>
        <v>4601.3270000000002</v>
      </c>
      <c r="U88" s="498"/>
    </row>
    <row r="89" spans="1:21" ht="24.95" customHeight="1" x14ac:dyDescent="0.2">
      <c r="A89" s="284" t="s">
        <v>61</v>
      </c>
      <c r="B89" s="285" t="s">
        <v>14</v>
      </c>
      <c r="C89" s="286" t="s">
        <v>286</v>
      </c>
      <c r="D89" s="279">
        <v>61506</v>
      </c>
      <c r="E89" s="279">
        <v>1986</v>
      </c>
      <c r="F89" s="279">
        <v>11069</v>
      </c>
      <c r="G89" s="279">
        <v>2303</v>
      </c>
      <c r="H89" s="279">
        <v>35016</v>
      </c>
      <c r="I89" s="279">
        <v>11132</v>
      </c>
      <c r="J89" s="279">
        <f t="shared" si="6"/>
        <v>48388</v>
      </c>
      <c r="K89" s="470">
        <v>5.2999999999999999E-2</v>
      </c>
      <c r="L89" s="470">
        <v>0.183</v>
      </c>
      <c r="M89" s="471">
        <v>0.14699999999999999</v>
      </c>
      <c r="N89" s="282">
        <f t="shared" si="7"/>
        <v>105.258</v>
      </c>
      <c r="O89" s="283">
        <f t="shared" si="8"/>
        <v>586.65700000000004</v>
      </c>
      <c r="P89" s="283">
        <f t="shared" si="8"/>
        <v>421.44900000000001</v>
      </c>
      <c r="Q89" s="283">
        <f t="shared" si="9"/>
        <v>6407.9279999999999</v>
      </c>
      <c r="R89" s="283">
        <f t="shared" si="10"/>
        <v>6829.3769999999995</v>
      </c>
      <c r="S89" s="283">
        <f t="shared" si="11"/>
        <v>7113.0359999999991</v>
      </c>
      <c r="U89" s="498"/>
    </row>
    <row r="90" spans="1:21" ht="24.95" customHeight="1" x14ac:dyDescent="0.2">
      <c r="A90" s="284" t="s">
        <v>68</v>
      </c>
      <c r="B90" s="285" t="s">
        <v>14</v>
      </c>
      <c r="C90" s="286" t="s">
        <v>285</v>
      </c>
      <c r="D90" s="279">
        <v>46786</v>
      </c>
      <c r="E90" s="279">
        <v>1275</v>
      </c>
      <c r="F90" s="279">
        <v>7657</v>
      </c>
      <c r="G90" s="279">
        <v>1542</v>
      </c>
      <c r="H90" s="279">
        <v>27381</v>
      </c>
      <c r="I90" s="279">
        <v>8931</v>
      </c>
      <c r="J90" s="279">
        <f t="shared" si="6"/>
        <v>36580</v>
      </c>
      <c r="K90" s="470">
        <v>5.0999999999999997E-2</v>
      </c>
      <c r="L90" s="470">
        <v>0.17699999999999999</v>
      </c>
      <c r="M90" s="471">
        <v>0.14499999999999999</v>
      </c>
      <c r="N90" s="282">
        <f t="shared" si="7"/>
        <v>65.024999999999991</v>
      </c>
      <c r="O90" s="283">
        <f t="shared" si="8"/>
        <v>390.50699999999995</v>
      </c>
      <c r="P90" s="283">
        <f t="shared" si="8"/>
        <v>272.93399999999997</v>
      </c>
      <c r="Q90" s="283">
        <f t="shared" si="9"/>
        <v>4846.4369999999999</v>
      </c>
      <c r="R90" s="283">
        <f t="shared" si="10"/>
        <v>5119.3710000000001</v>
      </c>
      <c r="S90" s="283">
        <f t="shared" si="11"/>
        <v>5304.0999999999995</v>
      </c>
      <c r="U90" s="498"/>
    </row>
    <row r="91" spans="1:21" ht="24.95" customHeight="1" x14ac:dyDescent="0.2">
      <c r="A91" s="284" t="s">
        <v>112</v>
      </c>
      <c r="B91" s="285" t="s">
        <v>20</v>
      </c>
      <c r="C91" s="286" t="s">
        <v>286</v>
      </c>
      <c r="D91" s="279">
        <v>73834</v>
      </c>
      <c r="E91" s="279">
        <v>2245</v>
      </c>
      <c r="F91" s="279">
        <v>13523</v>
      </c>
      <c r="G91" s="279">
        <v>3080</v>
      </c>
      <c r="H91" s="279">
        <v>40987</v>
      </c>
      <c r="I91" s="279">
        <v>13999</v>
      </c>
      <c r="J91" s="279">
        <f t="shared" si="6"/>
        <v>57590</v>
      </c>
      <c r="K91" s="470">
        <v>7.2000000000000008E-2</v>
      </c>
      <c r="L91" s="470">
        <v>0.22899999999999998</v>
      </c>
      <c r="M91" s="471">
        <v>0.18600000000000003</v>
      </c>
      <c r="N91" s="282">
        <f t="shared" si="7"/>
        <v>161.64000000000001</v>
      </c>
      <c r="O91" s="283">
        <f t="shared" si="8"/>
        <v>973.65600000000006</v>
      </c>
      <c r="P91" s="283">
        <f t="shared" si="8"/>
        <v>705.31999999999994</v>
      </c>
      <c r="Q91" s="283">
        <f t="shared" si="9"/>
        <v>9386.0229999999992</v>
      </c>
      <c r="R91" s="283">
        <f t="shared" si="10"/>
        <v>10091.342999999999</v>
      </c>
      <c r="S91" s="283">
        <f t="shared" si="11"/>
        <v>10711.740000000002</v>
      </c>
      <c r="U91" s="498"/>
    </row>
    <row r="92" spans="1:21" ht="24.95" customHeight="1" x14ac:dyDescent="0.2">
      <c r="A92" s="284" t="s">
        <v>141</v>
      </c>
      <c r="B92" s="285" t="s">
        <v>541</v>
      </c>
      <c r="C92" s="286" t="s">
        <v>286</v>
      </c>
      <c r="D92" s="279">
        <v>15142</v>
      </c>
      <c r="E92" s="279">
        <v>638</v>
      </c>
      <c r="F92" s="279">
        <v>2906</v>
      </c>
      <c r="G92" s="279">
        <v>515</v>
      </c>
      <c r="H92" s="279">
        <v>8254</v>
      </c>
      <c r="I92" s="279">
        <v>2829</v>
      </c>
      <c r="J92" s="279">
        <f t="shared" si="6"/>
        <v>11675</v>
      </c>
      <c r="K92" s="470">
        <v>8.6999999999999994E-2</v>
      </c>
      <c r="L92" s="470">
        <v>0.253</v>
      </c>
      <c r="M92" s="471">
        <v>0.20699999999999999</v>
      </c>
      <c r="N92" s="282">
        <f t="shared" si="7"/>
        <v>55.505999999999993</v>
      </c>
      <c r="O92" s="283">
        <f t="shared" si="8"/>
        <v>252.82199999999997</v>
      </c>
      <c r="P92" s="283">
        <f t="shared" si="8"/>
        <v>130.29499999999999</v>
      </c>
      <c r="Q92" s="283">
        <f t="shared" si="9"/>
        <v>2088.2620000000002</v>
      </c>
      <c r="R92" s="283">
        <f t="shared" si="10"/>
        <v>2218.5570000000002</v>
      </c>
      <c r="S92" s="283">
        <f t="shared" si="11"/>
        <v>2416.7249999999999</v>
      </c>
      <c r="U92" s="498"/>
    </row>
    <row r="93" spans="1:21" ht="24.95" customHeight="1" x14ac:dyDescent="0.2">
      <c r="A93" s="284" t="s">
        <v>142</v>
      </c>
      <c r="B93" s="285" t="s">
        <v>541</v>
      </c>
      <c r="C93" s="286" t="s">
        <v>286</v>
      </c>
      <c r="D93" s="279">
        <v>34047</v>
      </c>
      <c r="E93" s="279">
        <v>907</v>
      </c>
      <c r="F93" s="279">
        <v>4769</v>
      </c>
      <c r="G93" s="279">
        <v>1348</v>
      </c>
      <c r="H93" s="279">
        <v>16834</v>
      </c>
      <c r="I93" s="279">
        <v>10189</v>
      </c>
      <c r="J93" s="279">
        <f t="shared" si="6"/>
        <v>22951</v>
      </c>
      <c r="K93" s="470">
        <v>6.6000000000000003E-2</v>
      </c>
      <c r="L93" s="470">
        <v>0.19399999999999998</v>
      </c>
      <c r="M93" s="471">
        <v>0.16399999999999998</v>
      </c>
      <c r="N93" s="282">
        <f t="shared" si="7"/>
        <v>59.862000000000002</v>
      </c>
      <c r="O93" s="283">
        <f t="shared" si="8"/>
        <v>314.75400000000002</v>
      </c>
      <c r="P93" s="283">
        <f t="shared" si="8"/>
        <v>261.51199999999994</v>
      </c>
      <c r="Q93" s="283">
        <f t="shared" si="9"/>
        <v>3265.7959999999998</v>
      </c>
      <c r="R93" s="283">
        <f t="shared" si="10"/>
        <v>3527.308</v>
      </c>
      <c r="S93" s="283">
        <f t="shared" si="11"/>
        <v>3763.9639999999995</v>
      </c>
      <c r="U93" s="498"/>
    </row>
    <row r="94" spans="1:21" ht="24.95" customHeight="1" x14ac:dyDescent="0.2">
      <c r="A94" s="284" t="s">
        <v>91</v>
      </c>
      <c r="B94" s="285" t="s">
        <v>476</v>
      </c>
      <c r="C94" s="286" t="s">
        <v>286</v>
      </c>
      <c r="D94" s="279">
        <v>4141</v>
      </c>
      <c r="E94" s="279">
        <v>123</v>
      </c>
      <c r="F94" s="279">
        <v>642</v>
      </c>
      <c r="G94" s="279">
        <v>106</v>
      </c>
      <c r="H94" s="279">
        <v>2474</v>
      </c>
      <c r="I94" s="279">
        <v>796</v>
      </c>
      <c r="J94" s="279">
        <f t="shared" si="6"/>
        <v>3222</v>
      </c>
      <c r="K94" s="470">
        <v>9.9000000000000005E-2</v>
      </c>
      <c r="L94" s="470">
        <v>0.27100000000000002</v>
      </c>
      <c r="M94" s="471">
        <v>0.22600000000000001</v>
      </c>
      <c r="N94" s="282">
        <f t="shared" si="7"/>
        <v>12.177000000000001</v>
      </c>
      <c r="O94" s="283">
        <f t="shared" si="8"/>
        <v>63.558</v>
      </c>
      <c r="P94" s="283">
        <f t="shared" si="8"/>
        <v>28.726000000000003</v>
      </c>
      <c r="Q94" s="283">
        <f t="shared" si="9"/>
        <v>670.45400000000006</v>
      </c>
      <c r="R94" s="283">
        <f t="shared" si="10"/>
        <v>699.18000000000006</v>
      </c>
      <c r="S94" s="283">
        <f t="shared" si="11"/>
        <v>728.17200000000003</v>
      </c>
      <c r="U94" s="498"/>
    </row>
    <row r="95" spans="1:21" ht="24.95" customHeight="1" x14ac:dyDescent="0.2">
      <c r="A95" s="284" t="s">
        <v>62</v>
      </c>
      <c r="B95" s="285" t="s">
        <v>14</v>
      </c>
      <c r="C95" s="286" t="s">
        <v>285</v>
      </c>
      <c r="D95" s="279">
        <v>225160</v>
      </c>
      <c r="E95" s="279">
        <v>7850</v>
      </c>
      <c r="F95" s="279">
        <v>51502</v>
      </c>
      <c r="G95" s="279">
        <v>10059</v>
      </c>
      <c r="H95" s="279">
        <v>128720</v>
      </c>
      <c r="I95" s="279">
        <v>27029</v>
      </c>
      <c r="J95" s="279">
        <f t="shared" si="6"/>
        <v>190281</v>
      </c>
      <c r="K95" s="470">
        <v>5.5E-2</v>
      </c>
      <c r="L95" s="470">
        <v>0.17100000000000001</v>
      </c>
      <c r="M95" s="471">
        <v>0.13200000000000001</v>
      </c>
      <c r="N95" s="282">
        <f t="shared" si="7"/>
        <v>431.75</v>
      </c>
      <c r="O95" s="283">
        <f t="shared" si="8"/>
        <v>2832.61</v>
      </c>
      <c r="P95" s="283">
        <f t="shared" si="8"/>
        <v>1720.0890000000002</v>
      </c>
      <c r="Q95" s="283">
        <f t="shared" si="9"/>
        <v>22011.120000000003</v>
      </c>
      <c r="R95" s="283">
        <f t="shared" si="10"/>
        <v>23731.209000000003</v>
      </c>
      <c r="S95" s="283">
        <f t="shared" si="11"/>
        <v>25117.092000000001</v>
      </c>
      <c r="U95" s="498"/>
    </row>
    <row r="96" spans="1:21" ht="24.95" customHeight="1" x14ac:dyDescent="0.2">
      <c r="A96" s="284" t="s">
        <v>63</v>
      </c>
      <c r="B96" s="285" t="s">
        <v>14</v>
      </c>
      <c r="C96" s="286" t="s">
        <v>286</v>
      </c>
      <c r="D96" s="279">
        <v>44978</v>
      </c>
      <c r="E96" s="279">
        <v>1645</v>
      </c>
      <c r="F96" s="279">
        <v>9067</v>
      </c>
      <c r="G96" s="279">
        <v>1740</v>
      </c>
      <c r="H96" s="279">
        <v>24914</v>
      </c>
      <c r="I96" s="279">
        <v>7612</v>
      </c>
      <c r="J96" s="279">
        <f t="shared" si="6"/>
        <v>35721</v>
      </c>
      <c r="K96" s="470">
        <v>0.05</v>
      </c>
      <c r="L96" s="470">
        <v>0.20199999999999999</v>
      </c>
      <c r="M96" s="471">
        <v>0.159</v>
      </c>
      <c r="N96" s="282">
        <f t="shared" si="7"/>
        <v>82.25</v>
      </c>
      <c r="O96" s="283">
        <f t="shared" si="8"/>
        <v>453.35</v>
      </c>
      <c r="P96" s="283">
        <f t="shared" si="8"/>
        <v>351.47999999999996</v>
      </c>
      <c r="Q96" s="283">
        <f t="shared" si="9"/>
        <v>5032.6279999999997</v>
      </c>
      <c r="R96" s="283">
        <f t="shared" si="10"/>
        <v>5384.1079999999993</v>
      </c>
      <c r="S96" s="283">
        <f t="shared" si="11"/>
        <v>5679.6390000000001</v>
      </c>
      <c r="U96" s="498"/>
    </row>
    <row r="97" spans="1:21" ht="24.95" customHeight="1" x14ac:dyDescent="0.2">
      <c r="A97" s="284" t="s">
        <v>49</v>
      </c>
      <c r="B97" s="285" t="s">
        <v>13</v>
      </c>
      <c r="C97" s="286" t="s">
        <v>285</v>
      </c>
      <c r="D97" s="279">
        <v>1025434</v>
      </c>
      <c r="E97" s="279">
        <v>37669</v>
      </c>
      <c r="F97" s="279">
        <v>212675</v>
      </c>
      <c r="G97" s="279">
        <v>41630</v>
      </c>
      <c r="H97" s="279">
        <v>623031</v>
      </c>
      <c r="I97" s="279">
        <v>110429</v>
      </c>
      <c r="J97" s="279">
        <f t="shared" si="6"/>
        <v>877336</v>
      </c>
      <c r="K97" s="470">
        <v>5.2000000000000005E-2</v>
      </c>
      <c r="L97" s="470">
        <v>0.14899999999999999</v>
      </c>
      <c r="M97" s="471">
        <v>0.12</v>
      </c>
      <c r="N97" s="282">
        <f t="shared" si="7"/>
        <v>1958.7880000000002</v>
      </c>
      <c r="O97" s="283">
        <f t="shared" si="8"/>
        <v>11059.1</v>
      </c>
      <c r="P97" s="283">
        <f t="shared" si="8"/>
        <v>6202.87</v>
      </c>
      <c r="Q97" s="283">
        <f t="shared" si="9"/>
        <v>92831.618999999992</v>
      </c>
      <c r="R97" s="283">
        <f t="shared" si="10"/>
        <v>99034.488999999987</v>
      </c>
      <c r="S97" s="283">
        <f t="shared" si="11"/>
        <v>105280.31999999999</v>
      </c>
      <c r="U97" s="498"/>
    </row>
    <row r="98" spans="1:21" ht="24.95" customHeight="1" x14ac:dyDescent="0.2">
      <c r="A98" s="276" t="s">
        <v>64</v>
      </c>
      <c r="B98" s="277" t="s">
        <v>14</v>
      </c>
      <c r="C98" s="278" t="s">
        <v>286</v>
      </c>
      <c r="D98" s="279">
        <v>20514</v>
      </c>
      <c r="E98" s="279">
        <v>575</v>
      </c>
      <c r="F98" s="279">
        <v>3257</v>
      </c>
      <c r="G98" s="279">
        <v>564</v>
      </c>
      <c r="H98" s="279">
        <v>11455</v>
      </c>
      <c r="I98" s="279">
        <v>4663</v>
      </c>
      <c r="J98" s="279">
        <f t="shared" si="6"/>
        <v>15276</v>
      </c>
      <c r="K98" s="470">
        <v>7.0000000000000007E-2</v>
      </c>
      <c r="L98" s="470">
        <v>0.214</v>
      </c>
      <c r="M98" s="471">
        <v>0.17800000000000002</v>
      </c>
      <c r="N98" s="282">
        <f t="shared" si="7"/>
        <v>40.250000000000007</v>
      </c>
      <c r="O98" s="283">
        <f t="shared" si="8"/>
        <v>227.99</v>
      </c>
      <c r="P98" s="283">
        <f t="shared" si="8"/>
        <v>120.696</v>
      </c>
      <c r="Q98" s="283">
        <f t="shared" si="9"/>
        <v>2451.37</v>
      </c>
      <c r="R98" s="283">
        <f t="shared" si="10"/>
        <v>2572.0659999999998</v>
      </c>
      <c r="S98" s="283">
        <f t="shared" si="11"/>
        <v>2719.1280000000002</v>
      </c>
      <c r="U98" s="498"/>
    </row>
    <row r="99" spans="1:21" ht="24.95" customHeight="1" x14ac:dyDescent="0.2">
      <c r="A99" s="276" t="s">
        <v>92</v>
      </c>
      <c r="B99" s="277" t="s">
        <v>476</v>
      </c>
      <c r="C99" s="278" t="s">
        <v>286</v>
      </c>
      <c r="D99" s="279">
        <v>12579</v>
      </c>
      <c r="E99" s="279">
        <v>403</v>
      </c>
      <c r="F99" s="279">
        <v>2328</v>
      </c>
      <c r="G99" s="279">
        <v>355</v>
      </c>
      <c r="H99" s="279">
        <v>6719</v>
      </c>
      <c r="I99" s="279">
        <v>2774</v>
      </c>
      <c r="J99" s="279">
        <f t="shared" si="6"/>
        <v>9402</v>
      </c>
      <c r="K99" s="470">
        <v>5.2000000000000005E-2</v>
      </c>
      <c r="L99" s="470">
        <v>0.185</v>
      </c>
      <c r="M99" s="471">
        <v>0.14899999999999999</v>
      </c>
      <c r="N99" s="282">
        <f t="shared" si="7"/>
        <v>20.956000000000003</v>
      </c>
      <c r="O99" s="283">
        <f t="shared" si="8"/>
        <v>121.05600000000001</v>
      </c>
      <c r="P99" s="283">
        <f t="shared" si="8"/>
        <v>65.674999999999997</v>
      </c>
      <c r="Q99" s="283">
        <f t="shared" si="9"/>
        <v>1243.0149999999999</v>
      </c>
      <c r="R99" s="283">
        <f t="shared" si="10"/>
        <v>1308.6899999999998</v>
      </c>
      <c r="S99" s="283">
        <f t="shared" si="11"/>
        <v>1400.8979999999999</v>
      </c>
      <c r="U99" s="498"/>
    </row>
    <row r="100" spans="1:21" ht="24.95" customHeight="1" x14ac:dyDescent="0.2">
      <c r="A100" s="276" t="s">
        <v>143</v>
      </c>
      <c r="B100" s="277" t="s">
        <v>541</v>
      </c>
      <c r="C100" s="278" t="s">
        <v>286</v>
      </c>
      <c r="D100" s="279">
        <v>53706</v>
      </c>
      <c r="E100" s="279">
        <v>1047</v>
      </c>
      <c r="F100" s="279">
        <v>5886</v>
      </c>
      <c r="G100" s="279">
        <v>8516</v>
      </c>
      <c r="H100" s="279">
        <v>29913</v>
      </c>
      <c r="I100" s="279">
        <v>8344</v>
      </c>
      <c r="J100" s="279">
        <f t="shared" si="6"/>
        <v>44315</v>
      </c>
      <c r="K100" s="470">
        <v>6.0999999999999999E-2</v>
      </c>
      <c r="L100" s="470">
        <v>0.16699999999999998</v>
      </c>
      <c r="M100" s="471">
        <v>0.14800000000000002</v>
      </c>
      <c r="N100" s="282">
        <f t="shared" si="7"/>
        <v>63.866999999999997</v>
      </c>
      <c r="O100" s="283">
        <f t="shared" si="8"/>
        <v>359.04599999999999</v>
      </c>
      <c r="P100" s="283">
        <f t="shared" si="8"/>
        <v>1422.1719999999998</v>
      </c>
      <c r="Q100" s="283">
        <f t="shared" si="9"/>
        <v>4995.4709999999995</v>
      </c>
      <c r="R100" s="283">
        <f t="shared" si="10"/>
        <v>6417.6429999999991</v>
      </c>
      <c r="S100" s="283">
        <f t="shared" si="11"/>
        <v>6558.6200000000008</v>
      </c>
      <c r="U100" s="498"/>
    </row>
    <row r="101" spans="1:21" ht="24.95" customHeight="1" x14ac:dyDescent="0.2">
      <c r="A101" s="276" t="s">
        <v>103</v>
      </c>
      <c r="B101" s="277" t="s">
        <v>18</v>
      </c>
      <c r="C101" s="278" t="s">
        <v>285</v>
      </c>
      <c r="D101" s="279">
        <v>126174</v>
      </c>
      <c r="E101" s="279">
        <v>4964</v>
      </c>
      <c r="F101" s="279">
        <v>25873</v>
      </c>
      <c r="G101" s="279">
        <v>5029</v>
      </c>
      <c r="H101" s="279">
        <v>71159</v>
      </c>
      <c r="I101" s="279">
        <v>19149</v>
      </c>
      <c r="J101" s="279">
        <f t="shared" si="6"/>
        <v>102061</v>
      </c>
      <c r="K101" s="470">
        <v>5.7000000000000002E-2</v>
      </c>
      <c r="L101" s="470">
        <v>0.21199999999999999</v>
      </c>
      <c r="M101" s="471">
        <v>0.16699999999999998</v>
      </c>
      <c r="N101" s="282">
        <f t="shared" si="7"/>
        <v>282.94800000000004</v>
      </c>
      <c r="O101" s="283">
        <f t="shared" si="8"/>
        <v>1474.761</v>
      </c>
      <c r="P101" s="283">
        <f t="shared" si="8"/>
        <v>1066.1479999999999</v>
      </c>
      <c r="Q101" s="283">
        <f t="shared" si="9"/>
        <v>15085.707999999999</v>
      </c>
      <c r="R101" s="283">
        <f t="shared" si="10"/>
        <v>16151.855999999998</v>
      </c>
      <c r="S101" s="283">
        <f t="shared" si="11"/>
        <v>17044.186999999998</v>
      </c>
      <c r="U101" s="498"/>
    </row>
    <row r="102" spans="1:21" ht="24.95" customHeight="1" x14ac:dyDescent="0.2">
      <c r="A102" s="276" t="s">
        <v>144</v>
      </c>
      <c r="B102" s="277" t="s">
        <v>541</v>
      </c>
      <c r="C102" s="278" t="s">
        <v>286</v>
      </c>
      <c r="D102" s="279">
        <v>70116</v>
      </c>
      <c r="E102" s="279">
        <v>2063</v>
      </c>
      <c r="F102" s="279">
        <v>12384</v>
      </c>
      <c r="G102" s="279">
        <v>2431</v>
      </c>
      <c r="H102" s="279">
        <v>39106</v>
      </c>
      <c r="I102" s="279">
        <v>14132</v>
      </c>
      <c r="J102" s="279">
        <f t="shared" si="6"/>
        <v>53921</v>
      </c>
      <c r="K102" s="470">
        <v>5.7999999999999996E-2</v>
      </c>
      <c r="L102" s="470">
        <v>0.22500000000000001</v>
      </c>
      <c r="M102" s="471">
        <v>0.18100000000000002</v>
      </c>
      <c r="N102" s="282">
        <f t="shared" si="7"/>
        <v>119.654</v>
      </c>
      <c r="O102" s="283">
        <f t="shared" si="8"/>
        <v>718.27199999999993</v>
      </c>
      <c r="P102" s="283">
        <f t="shared" si="8"/>
        <v>546.97500000000002</v>
      </c>
      <c r="Q102" s="283">
        <f t="shared" si="9"/>
        <v>8798.85</v>
      </c>
      <c r="R102" s="283">
        <f t="shared" si="10"/>
        <v>9345.8250000000007</v>
      </c>
      <c r="S102" s="283">
        <f t="shared" si="11"/>
        <v>9759.7010000000009</v>
      </c>
      <c r="U102" s="498"/>
    </row>
    <row r="103" spans="1:21" ht="24.95" customHeight="1" x14ac:dyDescent="0.2">
      <c r="A103" s="276" t="s">
        <v>104</v>
      </c>
      <c r="B103" s="277" t="s">
        <v>18</v>
      </c>
      <c r="C103" s="278" t="s">
        <v>286</v>
      </c>
      <c r="D103" s="279">
        <v>82066</v>
      </c>
      <c r="E103" s="279">
        <v>2799</v>
      </c>
      <c r="F103" s="279">
        <v>16218</v>
      </c>
      <c r="G103" s="279">
        <v>3016</v>
      </c>
      <c r="H103" s="279">
        <v>46317</v>
      </c>
      <c r="I103" s="279">
        <v>13716</v>
      </c>
      <c r="J103" s="279">
        <f t="shared" si="6"/>
        <v>65551</v>
      </c>
      <c r="K103" s="470">
        <v>5.7000000000000002E-2</v>
      </c>
      <c r="L103" s="470">
        <v>0.22899999999999998</v>
      </c>
      <c r="M103" s="471">
        <v>0.18</v>
      </c>
      <c r="N103" s="282">
        <f t="shared" si="7"/>
        <v>159.54300000000001</v>
      </c>
      <c r="O103" s="283">
        <f t="shared" si="8"/>
        <v>924.42600000000004</v>
      </c>
      <c r="P103" s="283">
        <f t="shared" si="8"/>
        <v>690.66399999999999</v>
      </c>
      <c r="Q103" s="283">
        <f t="shared" si="9"/>
        <v>10606.592999999999</v>
      </c>
      <c r="R103" s="283">
        <f t="shared" si="10"/>
        <v>11297.257</v>
      </c>
      <c r="S103" s="283">
        <f t="shared" si="11"/>
        <v>11799.18</v>
      </c>
      <c r="U103" s="498"/>
    </row>
    <row r="104" spans="1:21" ht="24.95" customHeight="1" x14ac:dyDescent="0.2">
      <c r="A104" s="276" t="s">
        <v>113</v>
      </c>
      <c r="B104" s="277" t="s">
        <v>20</v>
      </c>
      <c r="C104" s="278" t="s">
        <v>285</v>
      </c>
      <c r="D104" s="279">
        <v>37457</v>
      </c>
      <c r="E104" s="279">
        <v>1147</v>
      </c>
      <c r="F104" s="279">
        <v>6804</v>
      </c>
      <c r="G104" s="279">
        <v>1402</v>
      </c>
      <c r="H104" s="279">
        <v>21117</v>
      </c>
      <c r="I104" s="279">
        <v>6987</v>
      </c>
      <c r="J104" s="279">
        <f t="shared" si="6"/>
        <v>29323</v>
      </c>
      <c r="K104" s="470">
        <v>6.7000000000000004E-2</v>
      </c>
      <c r="L104" s="470">
        <v>0.20399999999999999</v>
      </c>
      <c r="M104" s="471">
        <v>0.16699999999999998</v>
      </c>
      <c r="N104" s="282">
        <f t="shared" si="7"/>
        <v>76.849000000000004</v>
      </c>
      <c r="O104" s="283">
        <f t="shared" si="8"/>
        <v>455.86800000000005</v>
      </c>
      <c r="P104" s="283">
        <f t="shared" si="8"/>
        <v>286.00799999999998</v>
      </c>
      <c r="Q104" s="283">
        <f t="shared" si="9"/>
        <v>4307.8679999999995</v>
      </c>
      <c r="R104" s="283">
        <f t="shared" si="10"/>
        <v>4593.8759999999993</v>
      </c>
      <c r="S104" s="283">
        <f t="shared" si="11"/>
        <v>4896.9409999999998</v>
      </c>
      <c r="U104" s="498"/>
    </row>
    <row r="105" spans="1:21" ht="24.95" customHeight="1" x14ac:dyDescent="0.2">
      <c r="A105" s="276" t="s">
        <v>145</v>
      </c>
      <c r="B105" s="277" t="s">
        <v>541</v>
      </c>
      <c r="C105" s="278" t="s">
        <v>286</v>
      </c>
      <c r="D105" s="279">
        <v>17921</v>
      </c>
      <c r="E105" s="279">
        <v>523</v>
      </c>
      <c r="F105" s="279">
        <v>2811</v>
      </c>
      <c r="G105" s="279">
        <v>545</v>
      </c>
      <c r="H105" s="279">
        <v>9754</v>
      </c>
      <c r="I105" s="279">
        <v>4288</v>
      </c>
      <c r="J105" s="279">
        <f t="shared" si="6"/>
        <v>13110</v>
      </c>
      <c r="K105" s="470">
        <v>7.0999999999999994E-2</v>
      </c>
      <c r="L105" s="470">
        <v>0.19699999999999998</v>
      </c>
      <c r="M105" s="472">
        <v>0.16500000000000001</v>
      </c>
      <c r="N105" s="282">
        <f t="shared" si="7"/>
        <v>37.132999999999996</v>
      </c>
      <c r="O105" s="283">
        <f t="shared" si="8"/>
        <v>199.58099999999999</v>
      </c>
      <c r="P105" s="283">
        <f t="shared" si="8"/>
        <v>107.36499999999999</v>
      </c>
      <c r="Q105" s="283">
        <f t="shared" si="9"/>
        <v>1921.5379999999998</v>
      </c>
      <c r="R105" s="283">
        <f t="shared" si="10"/>
        <v>2028.9029999999998</v>
      </c>
      <c r="S105" s="283">
        <f t="shared" si="11"/>
        <v>2163.15</v>
      </c>
      <c r="U105" s="498"/>
    </row>
    <row r="106" spans="1:21" ht="20.100000000000001" customHeight="1" x14ac:dyDescent="0.2">
      <c r="D106" s="290"/>
      <c r="E106" s="290"/>
      <c r="F106" s="290"/>
      <c r="G106" s="290"/>
      <c r="H106" s="290"/>
      <c r="I106" s="291"/>
      <c r="J106" s="291"/>
      <c r="K106" s="473"/>
      <c r="L106" s="473"/>
      <c r="M106" s="474"/>
      <c r="N106" s="295"/>
      <c r="O106" s="295"/>
      <c r="P106" s="295"/>
      <c r="Q106" s="295"/>
      <c r="R106" s="295"/>
      <c r="S106" s="290"/>
      <c r="U106" s="498"/>
    </row>
    <row r="107" spans="1:21" ht="24.95" customHeight="1" x14ac:dyDescent="0.2">
      <c r="A107" s="296" t="s">
        <v>288</v>
      </c>
      <c r="B107" s="269"/>
      <c r="C107" s="270"/>
      <c r="D107" s="297">
        <f t="shared" ref="D107:J107" si="12">SUM(D6:D105)</f>
        <v>10157928</v>
      </c>
      <c r="E107" s="297">
        <f t="shared" si="12"/>
        <v>358925</v>
      </c>
      <c r="F107" s="297">
        <f t="shared" si="12"/>
        <v>1947064</v>
      </c>
      <c r="G107" s="297">
        <f t="shared" si="12"/>
        <v>435305</v>
      </c>
      <c r="H107" s="297">
        <f t="shared" si="12"/>
        <v>5858597</v>
      </c>
      <c r="I107" s="297">
        <f t="shared" si="12"/>
        <v>1558037</v>
      </c>
      <c r="J107" s="297">
        <f t="shared" si="12"/>
        <v>8240966</v>
      </c>
      <c r="K107" s="468">
        <v>5.5E-2</v>
      </c>
      <c r="L107" s="468">
        <v>0.189</v>
      </c>
      <c r="M107" s="468">
        <v>0.152</v>
      </c>
      <c r="N107" s="275">
        <f t="shared" ref="N107:S107" si="13">SUM(N6:N105)</f>
        <v>19749.034</v>
      </c>
      <c r="O107" s="275">
        <f t="shared" si="13"/>
        <v>107892.69299999997</v>
      </c>
      <c r="P107" s="275">
        <f t="shared" si="13"/>
        <v>81651.628000000026</v>
      </c>
      <c r="Q107" s="275">
        <f t="shared" si="13"/>
        <v>1105491.2709999999</v>
      </c>
      <c r="R107" s="275">
        <f t="shared" si="13"/>
        <v>1187142.8989999997</v>
      </c>
      <c r="S107" s="297">
        <f t="shared" si="13"/>
        <v>1248532.2830000005</v>
      </c>
      <c r="U107" s="499"/>
    </row>
    <row r="108" spans="1:21" x14ac:dyDescent="0.2">
      <c r="N108" s="301">
        <f>N107/E107</f>
        <v>5.5022731768475309E-2</v>
      </c>
      <c r="O108" s="301">
        <f>O107/F107</f>
        <v>5.5413018267504291E-2</v>
      </c>
      <c r="P108" s="301">
        <f>P107/G107</f>
        <v>0.18757337498994964</v>
      </c>
      <c r="Q108" s="301">
        <f>Q107/H107</f>
        <v>0.18869556499619278</v>
      </c>
      <c r="R108" s="301">
        <f>R107/SUM(G107:H107)</f>
        <v>0.18861795099447048</v>
      </c>
      <c r="S108" s="301">
        <f>S107/J107</f>
        <v>0.15150314696116943</v>
      </c>
      <c r="U108" s="301"/>
    </row>
    <row r="109" spans="1:21" ht="20.100000000000001" customHeight="1" x14ac:dyDescent="0.2">
      <c r="A109" s="246" t="s">
        <v>530</v>
      </c>
    </row>
    <row r="110" spans="1:21" ht="39.950000000000003" customHeight="1" x14ac:dyDescent="0.2">
      <c r="A110" s="564" t="s">
        <v>531</v>
      </c>
      <c r="B110" s="564"/>
      <c r="C110" s="564"/>
      <c r="D110" s="564"/>
      <c r="E110" s="564"/>
      <c r="F110" s="564"/>
      <c r="G110" s="564"/>
      <c r="H110" s="564"/>
      <c r="I110" s="564"/>
      <c r="J110" s="564"/>
      <c r="K110" s="564"/>
      <c r="L110" s="564"/>
      <c r="M110" s="564"/>
      <c r="N110" s="564"/>
      <c r="O110" s="564"/>
      <c r="P110" s="564"/>
      <c r="Q110" s="564"/>
      <c r="R110" s="564"/>
      <c r="S110" s="564"/>
    </row>
    <row r="111" spans="1:21" ht="90" customHeight="1" x14ac:dyDescent="0.2">
      <c r="A111" s="562" t="s">
        <v>537</v>
      </c>
      <c r="B111" s="562"/>
      <c r="C111" s="562"/>
      <c r="D111" s="562"/>
      <c r="E111" s="562"/>
      <c r="F111" s="562"/>
      <c r="G111" s="562"/>
      <c r="H111" s="562"/>
      <c r="I111" s="562"/>
      <c r="J111" s="562"/>
      <c r="K111" s="562"/>
      <c r="L111" s="562"/>
      <c r="M111" s="562"/>
      <c r="N111" s="562"/>
      <c r="O111" s="562"/>
      <c r="P111" s="562"/>
      <c r="Q111" s="562"/>
      <c r="R111" s="562"/>
      <c r="S111" s="562"/>
    </row>
  </sheetData>
  <sheetProtection sheet="1" objects="1" scenarios="1"/>
  <autoFilter ref="A5:S107"/>
  <mergeCells count="2">
    <mergeCell ref="A110:S110"/>
    <mergeCell ref="A111:S111"/>
  </mergeCells>
  <printOptions horizontalCentered="1"/>
  <pageMargins left="0.3" right="0.3" top="0.5" bottom="0.5" header="0.3" footer="0.3"/>
  <pageSetup paperSize="5" scale="52" fitToWidth="2" fitToHeight="0" orientation="landscape" r:id="rId1"/>
  <headerFooter>
    <oddFooter>&amp;LNC DHHS DMH/DD/SAS QM Section - MSchwartz&amp;R&amp;F</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3"/>
  <sheetViews>
    <sheetView workbookViewId="0">
      <pane ySplit="4" topLeftCell="A5" activePane="bottomLeft" state="frozen"/>
      <selection activeCell="B18" sqref="B18"/>
      <selection pane="bottomLeft" activeCell="L22" sqref="L22"/>
    </sheetView>
  </sheetViews>
  <sheetFormatPr defaultRowHeight="12.75" x14ac:dyDescent="0.2"/>
  <cols>
    <col min="1" max="1" width="46.5703125" style="502" bestFit="1" customWidth="1"/>
    <col min="2" max="2" width="18.7109375" style="504" customWidth="1"/>
    <col min="3" max="4" width="18.7109375" style="502" customWidth="1"/>
    <col min="5" max="5" width="21.42578125" style="502" bestFit="1" customWidth="1"/>
    <col min="6" max="16384" width="9.140625" style="502"/>
  </cols>
  <sheetData>
    <row r="1" spans="1:5" ht="18" x14ac:dyDescent="0.2">
      <c r="A1" s="500" t="s">
        <v>532</v>
      </c>
      <c r="B1" s="501"/>
      <c r="C1" s="501"/>
      <c r="D1" s="501"/>
      <c r="E1" s="501"/>
    </row>
    <row r="2" spans="1:5" ht="30" x14ac:dyDescent="0.2">
      <c r="A2" s="514" t="s">
        <v>533</v>
      </c>
      <c r="B2" s="503"/>
      <c r="C2" s="503"/>
      <c r="D2" s="503"/>
      <c r="E2" s="503"/>
    </row>
    <row r="4" spans="1:5" ht="38.25" x14ac:dyDescent="0.2">
      <c r="A4" s="458" t="s">
        <v>303</v>
      </c>
      <c r="B4" s="481" t="s">
        <v>481</v>
      </c>
      <c r="C4" s="515" t="s">
        <v>482</v>
      </c>
      <c r="D4" s="481" t="s">
        <v>483</v>
      </c>
      <c r="E4" s="481" t="s">
        <v>484</v>
      </c>
    </row>
    <row r="5" spans="1:5" ht="14.25" x14ac:dyDescent="0.2">
      <c r="A5" s="516" t="s">
        <v>13</v>
      </c>
      <c r="B5" s="517">
        <v>20036.628000000001</v>
      </c>
      <c r="C5" s="517">
        <v>12944.487999999999</v>
      </c>
      <c r="D5" s="517">
        <v>181028.31599999999</v>
      </c>
      <c r="E5" s="517">
        <v>206004.05499999999</v>
      </c>
    </row>
    <row r="6" spans="1:5" ht="14.25" x14ac:dyDescent="0.2">
      <c r="A6" s="518" t="s">
        <v>46</v>
      </c>
      <c r="B6" s="519">
        <v>3568.817</v>
      </c>
      <c r="C6" s="519">
        <v>2623.27</v>
      </c>
      <c r="D6" s="519">
        <v>32256.65</v>
      </c>
      <c r="E6" s="519">
        <v>37253.206000000006</v>
      </c>
    </row>
    <row r="7" spans="1:5" ht="14.25" x14ac:dyDescent="0.2">
      <c r="A7" s="520" t="s">
        <v>47</v>
      </c>
      <c r="B7" s="521">
        <v>2822.0570000000002</v>
      </c>
      <c r="C7" s="521">
        <v>2637.6660000000002</v>
      </c>
      <c r="D7" s="521">
        <v>34064.970000000008</v>
      </c>
      <c r="E7" s="521">
        <v>38492.769</v>
      </c>
    </row>
    <row r="8" spans="1:5" ht="14.25" x14ac:dyDescent="0.2">
      <c r="A8" s="520" t="s">
        <v>48</v>
      </c>
      <c r="B8" s="521">
        <v>2586.654</v>
      </c>
      <c r="C8" s="521">
        <v>1480.682</v>
      </c>
      <c r="D8" s="521">
        <v>21875.077000000001</v>
      </c>
      <c r="E8" s="521">
        <v>24977.760000000002</v>
      </c>
    </row>
    <row r="9" spans="1:5" ht="14.25" x14ac:dyDescent="0.2">
      <c r="A9" s="520" t="s">
        <v>49</v>
      </c>
      <c r="B9" s="521">
        <v>11059.1</v>
      </c>
      <c r="C9" s="521">
        <v>6202.87</v>
      </c>
      <c r="D9" s="521">
        <v>92831.618999999992</v>
      </c>
      <c r="E9" s="521">
        <v>105280.31999999999</v>
      </c>
    </row>
    <row r="10" spans="1:5" ht="14.25" x14ac:dyDescent="0.2">
      <c r="A10" s="307"/>
      <c r="B10" s="523"/>
      <c r="C10" s="523"/>
      <c r="D10" s="523"/>
      <c r="E10" s="523"/>
    </row>
    <row r="11" spans="1:5" ht="14.25" x14ac:dyDescent="0.2">
      <c r="A11" s="516" t="s">
        <v>14</v>
      </c>
      <c r="B11" s="517">
        <v>32002.855000000003</v>
      </c>
      <c r="C11" s="517">
        <v>22782.640000000003</v>
      </c>
      <c r="D11" s="517">
        <v>338504.80900000001</v>
      </c>
      <c r="E11" s="517">
        <v>377365.08500000008</v>
      </c>
    </row>
    <row r="12" spans="1:5" ht="14.25" x14ac:dyDescent="0.2">
      <c r="A12" s="459" t="s">
        <v>50</v>
      </c>
      <c r="B12" s="519">
        <v>1688.5679999999998</v>
      </c>
      <c r="C12" s="519">
        <v>1662.3360000000002</v>
      </c>
      <c r="D12" s="519">
        <v>18685.888000000003</v>
      </c>
      <c r="E12" s="519">
        <v>21116.865000000002</v>
      </c>
    </row>
    <row r="13" spans="1:5" ht="14.25" x14ac:dyDescent="0.2">
      <c r="A13" s="461" t="s">
        <v>51</v>
      </c>
      <c r="B13" s="521">
        <v>2263.768</v>
      </c>
      <c r="C13" s="521">
        <v>1330.76</v>
      </c>
      <c r="D13" s="521">
        <v>19791.740000000002</v>
      </c>
      <c r="E13" s="521">
        <v>22483.056</v>
      </c>
    </row>
    <row r="14" spans="1:5" ht="14.25" x14ac:dyDescent="0.2">
      <c r="A14" s="461" t="s">
        <v>52</v>
      </c>
      <c r="B14" s="521">
        <v>208.15199999999999</v>
      </c>
      <c r="C14" s="521">
        <v>141.27600000000001</v>
      </c>
      <c r="D14" s="521">
        <v>2700.6489999999999</v>
      </c>
      <c r="E14" s="521">
        <v>2913.8360000000002</v>
      </c>
    </row>
    <row r="15" spans="1:5" ht="14.25" x14ac:dyDescent="0.2">
      <c r="A15" s="461" t="s">
        <v>53</v>
      </c>
      <c r="B15" s="521">
        <v>850.79299999999989</v>
      </c>
      <c r="C15" s="521">
        <v>394.44299999999993</v>
      </c>
      <c r="D15" s="521">
        <v>7226.4149999999991</v>
      </c>
      <c r="E15" s="521">
        <v>8211.8850000000002</v>
      </c>
    </row>
    <row r="16" spans="1:5" ht="14.25" x14ac:dyDescent="0.2">
      <c r="A16" s="511" t="s">
        <v>54</v>
      </c>
      <c r="B16" s="524">
        <v>1455.1669999999999</v>
      </c>
      <c r="C16" s="524">
        <v>1150.4799999999998</v>
      </c>
      <c r="D16" s="524">
        <v>18730.956999999999</v>
      </c>
      <c r="E16" s="524">
        <v>20441.71</v>
      </c>
    </row>
    <row r="17" spans="1:5" ht="14.25" x14ac:dyDescent="0.2">
      <c r="A17" s="512" t="s">
        <v>65</v>
      </c>
      <c r="B17" s="525">
        <v>515.90000000000009</v>
      </c>
      <c r="C17" s="525">
        <v>256.108</v>
      </c>
      <c r="D17" s="525">
        <v>4014.1359999999995</v>
      </c>
      <c r="E17" s="525">
        <v>4636.3680000000004</v>
      </c>
    </row>
    <row r="18" spans="1:5" ht="14.25" x14ac:dyDescent="0.2">
      <c r="A18" s="512" t="s">
        <v>66</v>
      </c>
      <c r="B18" s="525">
        <v>3465.6390000000001</v>
      </c>
      <c r="C18" s="525">
        <v>3053.288</v>
      </c>
      <c r="D18" s="525">
        <v>41776.811999999998</v>
      </c>
      <c r="E18" s="525">
        <v>46276.686000000002</v>
      </c>
    </row>
    <row r="19" spans="1:5" ht="14.25" x14ac:dyDescent="0.2">
      <c r="A19" s="512" t="s">
        <v>55</v>
      </c>
      <c r="B19" s="525">
        <v>790.33600000000001</v>
      </c>
      <c r="C19" s="525">
        <v>549.68999999999994</v>
      </c>
      <c r="D19" s="525">
        <v>8168.2619999999988</v>
      </c>
      <c r="E19" s="525">
        <v>9127.4749999999985</v>
      </c>
    </row>
    <row r="20" spans="1:5" ht="14.25" x14ac:dyDescent="0.2">
      <c r="A20" s="512" t="s">
        <v>56</v>
      </c>
      <c r="B20" s="525">
        <v>585.62599999999998</v>
      </c>
      <c r="C20" s="525">
        <v>454.07800000000003</v>
      </c>
      <c r="D20" s="525">
        <v>6220.7440000000006</v>
      </c>
      <c r="E20" s="525">
        <v>6949.0159999999996</v>
      </c>
    </row>
    <row r="21" spans="1:5" ht="14.25" x14ac:dyDescent="0.2">
      <c r="A21" s="512" t="s">
        <v>57</v>
      </c>
      <c r="B21" s="525">
        <v>481.8</v>
      </c>
      <c r="C21" s="525">
        <v>341.43999999999994</v>
      </c>
      <c r="D21" s="525">
        <v>5716.985999999999</v>
      </c>
      <c r="E21" s="525">
        <v>6334.0749999999998</v>
      </c>
    </row>
    <row r="22" spans="1:5" ht="14.25" x14ac:dyDescent="0.2">
      <c r="A22" s="512" t="s">
        <v>105</v>
      </c>
      <c r="B22" s="525">
        <v>11018.332</v>
      </c>
      <c r="C22" s="525">
        <v>6807.5479999999998</v>
      </c>
      <c r="D22" s="525">
        <v>121848.452</v>
      </c>
      <c r="E22" s="525">
        <v>134083.75899999999</v>
      </c>
    </row>
    <row r="23" spans="1:5" ht="14.25" x14ac:dyDescent="0.2">
      <c r="A23" s="512" t="s">
        <v>58</v>
      </c>
      <c r="B23" s="525">
        <v>1351.527</v>
      </c>
      <c r="C23" s="525">
        <v>1758.8160000000003</v>
      </c>
      <c r="D23" s="525">
        <v>12306.528000000002</v>
      </c>
      <c r="E23" s="525">
        <v>14687.826999999999</v>
      </c>
    </row>
    <row r="24" spans="1:5" ht="14.25" x14ac:dyDescent="0.2">
      <c r="A24" s="512" t="s">
        <v>59</v>
      </c>
      <c r="B24" s="525">
        <v>395.69599999999997</v>
      </c>
      <c r="C24" s="525">
        <v>223.21299999999999</v>
      </c>
      <c r="D24" s="525">
        <v>4046.6529999999998</v>
      </c>
      <c r="E24" s="525">
        <v>4514.32</v>
      </c>
    </row>
    <row r="25" spans="1:5" ht="14.25" x14ac:dyDescent="0.2">
      <c r="A25" s="512" t="s">
        <v>67</v>
      </c>
      <c r="B25" s="525">
        <v>875.93400000000008</v>
      </c>
      <c r="C25" s="525">
        <v>574.08000000000004</v>
      </c>
      <c r="D25" s="525">
        <v>9724.768</v>
      </c>
      <c r="E25" s="525">
        <v>10828.949999999999</v>
      </c>
    </row>
    <row r="26" spans="1:5" ht="14.25" x14ac:dyDescent="0.2">
      <c r="A26" s="512" t="s">
        <v>60</v>
      </c>
      <c r="B26" s="525">
        <v>1564.5030000000002</v>
      </c>
      <c r="C26" s="525">
        <v>1198.4359999999999</v>
      </c>
      <c r="D26" s="525">
        <v>16796.335999999999</v>
      </c>
      <c r="E26" s="525">
        <v>18826.261999999999</v>
      </c>
    </row>
    <row r="27" spans="1:5" ht="14.25" x14ac:dyDescent="0.2">
      <c r="A27" s="512" t="s">
        <v>61</v>
      </c>
      <c r="B27" s="525">
        <v>586.65700000000004</v>
      </c>
      <c r="C27" s="525">
        <v>421.44900000000001</v>
      </c>
      <c r="D27" s="525">
        <v>6407.9279999999999</v>
      </c>
      <c r="E27" s="525">
        <v>7113.0359999999991</v>
      </c>
    </row>
    <row r="28" spans="1:5" ht="14.25" x14ac:dyDescent="0.2">
      <c r="A28" s="512" t="s">
        <v>68</v>
      </c>
      <c r="B28" s="525">
        <v>390.50699999999995</v>
      </c>
      <c r="C28" s="525">
        <v>272.93399999999997</v>
      </c>
      <c r="D28" s="525">
        <v>4846.4369999999999</v>
      </c>
      <c r="E28" s="525">
        <v>5304.0999999999995</v>
      </c>
    </row>
    <row r="29" spans="1:5" ht="14.25" x14ac:dyDescent="0.2">
      <c r="A29" s="512" t="s">
        <v>62</v>
      </c>
      <c r="B29" s="525">
        <v>2832.61</v>
      </c>
      <c r="C29" s="525">
        <v>1720.0890000000002</v>
      </c>
      <c r="D29" s="525">
        <v>22011.120000000003</v>
      </c>
      <c r="E29" s="525">
        <v>25117.092000000001</v>
      </c>
    </row>
    <row r="30" spans="1:5" ht="14.25" x14ac:dyDescent="0.2">
      <c r="A30" s="513" t="s">
        <v>63</v>
      </c>
      <c r="B30" s="526">
        <v>453.35</v>
      </c>
      <c r="C30" s="526">
        <v>351.47999999999996</v>
      </c>
      <c r="D30" s="526">
        <v>5032.6279999999997</v>
      </c>
      <c r="E30" s="526">
        <v>5679.6390000000001</v>
      </c>
    </row>
    <row r="31" spans="1:5" ht="14.25" x14ac:dyDescent="0.2">
      <c r="A31" s="461" t="s">
        <v>64</v>
      </c>
      <c r="B31" s="521">
        <v>227.99</v>
      </c>
      <c r="C31" s="521">
        <v>120.696</v>
      </c>
      <c r="D31" s="521">
        <v>2451.37</v>
      </c>
      <c r="E31" s="521">
        <v>2719.1280000000002</v>
      </c>
    </row>
    <row r="32" spans="1:5" ht="14.25" x14ac:dyDescent="0.2">
      <c r="A32" s="307"/>
      <c r="B32" s="523"/>
      <c r="C32" s="523"/>
      <c r="D32" s="523"/>
      <c r="E32" s="523"/>
    </row>
    <row r="33" spans="1:5" ht="14.25" x14ac:dyDescent="0.2">
      <c r="A33" s="516" t="s">
        <v>18</v>
      </c>
      <c r="B33" s="517">
        <v>9891.9140000000007</v>
      </c>
      <c r="C33" s="517">
        <v>8121.6550000000007</v>
      </c>
      <c r="D33" s="517">
        <v>107393.94</v>
      </c>
      <c r="E33" s="517">
        <v>120708.85200000001</v>
      </c>
    </row>
    <row r="34" spans="1:5" ht="14.25" x14ac:dyDescent="0.2">
      <c r="A34" s="459" t="s">
        <v>93</v>
      </c>
      <c r="B34" s="519">
        <v>425.91900000000004</v>
      </c>
      <c r="C34" s="519">
        <v>300.61</v>
      </c>
      <c r="D34" s="519">
        <v>4528.01</v>
      </c>
      <c r="E34" s="519">
        <v>5087.286000000001</v>
      </c>
    </row>
    <row r="35" spans="1:5" ht="14.25" x14ac:dyDescent="0.2">
      <c r="A35" s="461" t="s">
        <v>94</v>
      </c>
      <c r="B35" s="521">
        <v>676.41600000000005</v>
      </c>
      <c r="C35" s="521">
        <v>509.80799999999999</v>
      </c>
      <c r="D35" s="521">
        <v>7430.0640000000003</v>
      </c>
      <c r="E35" s="521">
        <v>8261.5259999999998</v>
      </c>
    </row>
    <row r="36" spans="1:5" ht="14.25" x14ac:dyDescent="0.2">
      <c r="A36" s="461" t="s">
        <v>95</v>
      </c>
      <c r="B36" s="521">
        <v>1054.7650000000001</v>
      </c>
      <c r="C36" s="521">
        <v>714.92</v>
      </c>
      <c r="D36" s="521">
        <v>9789.1299999999992</v>
      </c>
      <c r="E36" s="521">
        <v>11196.088</v>
      </c>
    </row>
    <row r="37" spans="1:5" ht="14.25" x14ac:dyDescent="0.2">
      <c r="A37" s="461" t="s">
        <v>96</v>
      </c>
      <c r="B37" s="521">
        <v>424.90499999999997</v>
      </c>
      <c r="C37" s="521">
        <v>393.63499999999999</v>
      </c>
      <c r="D37" s="521">
        <v>5743.8919999999998</v>
      </c>
      <c r="E37" s="521">
        <v>6338.82</v>
      </c>
    </row>
    <row r="38" spans="1:5" ht="14.25" x14ac:dyDescent="0.2">
      <c r="A38" s="461" t="s">
        <v>97</v>
      </c>
      <c r="B38" s="521">
        <v>307.76900000000001</v>
      </c>
      <c r="C38" s="521">
        <v>187.24600000000001</v>
      </c>
      <c r="D38" s="521">
        <v>3188.453</v>
      </c>
      <c r="E38" s="521">
        <v>3506.6460000000002</v>
      </c>
    </row>
    <row r="39" spans="1:5" ht="14.25" x14ac:dyDescent="0.2">
      <c r="A39" s="461" t="s">
        <v>98</v>
      </c>
      <c r="B39" s="521">
        <v>581.88</v>
      </c>
      <c r="C39" s="521">
        <v>423.12600000000003</v>
      </c>
      <c r="D39" s="521">
        <v>6453.018</v>
      </c>
      <c r="E39" s="521">
        <v>7255.0439999999999</v>
      </c>
    </row>
    <row r="40" spans="1:5" ht="14.25" x14ac:dyDescent="0.2">
      <c r="A40" s="461" t="s">
        <v>99</v>
      </c>
      <c r="B40" s="521">
        <v>924.10799999999995</v>
      </c>
      <c r="C40" s="521">
        <v>671.64</v>
      </c>
      <c r="D40" s="521">
        <v>10368.539000000001</v>
      </c>
      <c r="E40" s="521">
        <v>11494.405999999999</v>
      </c>
    </row>
    <row r="41" spans="1:5" ht="14.25" x14ac:dyDescent="0.2">
      <c r="A41" s="461" t="s">
        <v>100</v>
      </c>
      <c r="B41" s="521">
        <v>1802.385</v>
      </c>
      <c r="C41" s="521">
        <v>2183.6280000000002</v>
      </c>
      <c r="D41" s="521">
        <v>20844.648000000001</v>
      </c>
      <c r="E41" s="521">
        <v>23674.917000000001</v>
      </c>
    </row>
    <row r="42" spans="1:5" ht="14.25" x14ac:dyDescent="0.2">
      <c r="A42" s="461" t="s">
        <v>101</v>
      </c>
      <c r="B42" s="521">
        <v>941.78000000000009</v>
      </c>
      <c r="C42" s="521">
        <v>684.27800000000002</v>
      </c>
      <c r="D42" s="521">
        <v>9163.1610000000001</v>
      </c>
      <c r="E42" s="521">
        <v>10449.425000000001</v>
      </c>
    </row>
    <row r="43" spans="1:5" ht="14.25" x14ac:dyDescent="0.2">
      <c r="A43" s="461" t="s">
        <v>102</v>
      </c>
      <c r="B43" s="521">
        <v>352.8</v>
      </c>
      <c r="C43" s="521">
        <v>295.952</v>
      </c>
      <c r="D43" s="521">
        <v>4192.7240000000002</v>
      </c>
      <c r="E43" s="521">
        <v>4601.3270000000002</v>
      </c>
    </row>
    <row r="44" spans="1:5" ht="14.25" x14ac:dyDescent="0.2">
      <c r="A44" s="461" t="s">
        <v>103</v>
      </c>
      <c r="B44" s="521">
        <v>1474.761</v>
      </c>
      <c r="C44" s="521">
        <v>1066.1479999999999</v>
      </c>
      <c r="D44" s="521">
        <v>15085.707999999999</v>
      </c>
      <c r="E44" s="521">
        <v>17044.186999999998</v>
      </c>
    </row>
    <row r="45" spans="1:5" ht="14.25" x14ac:dyDescent="0.2">
      <c r="A45" s="461" t="s">
        <v>104</v>
      </c>
      <c r="B45" s="521">
        <v>924.42600000000004</v>
      </c>
      <c r="C45" s="521">
        <v>690.66399999999999</v>
      </c>
      <c r="D45" s="521">
        <v>10606.592999999999</v>
      </c>
      <c r="E45" s="521">
        <v>11799.18</v>
      </c>
    </row>
    <row r="46" spans="1:5" ht="14.25" x14ac:dyDescent="0.2">
      <c r="A46" s="307"/>
      <c r="B46" s="523"/>
      <c r="C46" s="523"/>
      <c r="D46" s="523"/>
      <c r="E46" s="523"/>
    </row>
    <row r="47" spans="1:5" ht="14.25" x14ac:dyDescent="0.2">
      <c r="A47" s="516" t="s">
        <v>20</v>
      </c>
      <c r="B47" s="517">
        <v>9831.6160000000018</v>
      </c>
      <c r="C47" s="517">
        <v>7294.262999999999</v>
      </c>
      <c r="D47" s="517">
        <v>102510.57</v>
      </c>
      <c r="E47" s="517">
        <v>115775.163</v>
      </c>
    </row>
    <row r="48" spans="1:5" ht="14.25" x14ac:dyDescent="0.2">
      <c r="A48" s="459" t="s">
        <v>106</v>
      </c>
      <c r="B48" s="519">
        <v>874.83199999999988</v>
      </c>
      <c r="C48" s="519">
        <v>916.02</v>
      </c>
      <c r="D48" s="519">
        <v>10430.91</v>
      </c>
      <c r="E48" s="519">
        <v>11980.66</v>
      </c>
    </row>
    <row r="49" spans="1:5" ht="14.25" x14ac:dyDescent="0.2">
      <c r="A49" s="461" t="s">
        <v>107</v>
      </c>
      <c r="B49" s="521">
        <v>1672.6639999999998</v>
      </c>
      <c r="C49" s="521">
        <v>1181.76</v>
      </c>
      <c r="D49" s="521">
        <v>17107.583999999999</v>
      </c>
      <c r="E49" s="521">
        <v>19269.403999999999</v>
      </c>
    </row>
    <row r="50" spans="1:5" ht="14.25" x14ac:dyDescent="0.2">
      <c r="A50" s="461" t="s">
        <v>108</v>
      </c>
      <c r="B50" s="521">
        <v>836.60199999999998</v>
      </c>
      <c r="C50" s="521">
        <v>767.649</v>
      </c>
      <c r="D50" s="521">
        <v>9813.4110000000001</v>
      </c>
      <c r="E50" s="521">
        <v>10993.347</v>
      </c>
    </row>
    <row r="51" spans="1:5" ht="14.25" x14ac:dyDescent="0.2">
      <c r="A51" s="461" t="s">
        <v>109</v>
      </c>
      <c r="B51" s="521">
        <v>2147.2360000000003</v>
      </c>
      <c r="C51" s="521">
        <v>1635.876</v>
      </c>
      <c r="D51" s="521">
        <v>24438.546000000002</v>
      </c>
      <c r="E51" s="521">
        <v>27331.155999999999</v>
      </c>
    </row>
    <row r="52" spans="1:5" ht="14.25" x14ac:dyDescent="0.2">
      <c r="A52" s="461" t="s">
        <v>110</v>
      </c>
      <c r="B52" s="521">
        <v>1972.96</v>
      </c>
      <c r="C52" s="521">
        <v>1242.5139999999999</v>
      </c>
      <c r="D52" s="521">
        <v>18159.05</v>
      </c>
      <c r="E52" s="521">
        <v>20586.173999999999</v>
      </c>
    </row>
    <row r="53" spans="1:5" ht="14.25" x14ac:dyDescent="0.2">
      <c r="A53" s="461" t="s">
        <v>111</v>
      </c>
      <c r="B53" s="521">
        <v>897.798</v>
      </c>
      <c r="C53" s="521">
        <v>559.1160000000001</v>
      </c>
      <c r="D53" s="521">
        <v>8867.1780000000017</v>
      </c>
      <c r="E53" s="521">
        <v>10005.741</v>
      </c>
    </row>
    <row r="54" spans="1:5" ht="14.25" x14ac:dyDescent="0.2">
      <c r="A54" s="461" t="s">
        <v>112</v>
      </c>
      <c r="B54" s="521">
        <v>973.65600000000006</v>
      </c>
      <c r="C54" s="521">
        <v>705.31999999999994</v>
      </c>
      <c r="D54" s="521">
        <v>9386.0229999999992</v>
      </c>
      <c r="E54" s="521">
        <v>10711.740000000002</v>
      </c>
    </row>
    <row r="55" spans="1:5" ht="14.25" x14ac:dyDescent="0.2">
      <c r="A55" s="461" t="s">
        <v>113</v>
      </c>
      <c r="B55" s="521">
        <v>455.86800000000005</v>
      </c>
      <c r="C55" s="521">
        <v>286.00799999999998</v>
      </c>
      <c r="D55" s="521">
        <v>4307.8679999999995</v>
      </c>
      <c r="E55" s="521">
        <v>4896.9409999999998</v>
      </c>
    </row>
    <row r="56" spans="1:5" ht="14.25" x14ac:dyDescent="0.2">
      <c r="A56" s="307"/>
      <c r="B56" s="523"/>
      <c r="C56" s="523"/>
      <c r="D56" s="523"/>
      <c r="E56" s="523"/>
    </row>
    <row r="57" spans="1:5" ht="14.25" x14ac:dyDescent="0.2">
      <c r="A57" s="516" t="s">
        <v>21</v>
      </c>
      <c r="B57" s="517">
        <v>12746.880999999999</v>
      </c>
      <c r="C57" s="517">
        <v>9875.3140000000003</v>
      </c>
      <c r="D57" s="517">
        <v>122802.30299999999</v>
      </c>
      <c r="E57" s="517">
        <v>140185.73700000002</v>
      </c>
    </row>
    <row r="58" spans="1:5" ht="14.25" x14ac:dyDescent="0.2">
      <c r="A58" s="459" t="s">
        <v>114</v>
      </c>
      <c r="B58" s="519">
        <v>254.21</v>
      </c>
      <c r="C58" s="519">
        <v>190.73600000000002</v>
      </c>
      <c r="D58" s="519">
        <v>3274.5440000000003</v>
      </c>
      <c r="E58" s="519">
        <v>3554.0939999999996</v>
      </c>
    </row>
    <row r="59" spans="1:5" ht="14.25" x14ac:dyDescent="0.2">
      <c r="A59" s="461" t="s">
        <v>115</v>
      </c>
      <c r="B59" s="521">
        <v>5449.1919999999991</v>
      </c>
      <c r="C59" s="521">
        <v>4916.6610000000001</v>
      </c>
      <c r="D59" s="521">
        <v>55454.307000000001</v>
      </c>
      <c r="E59" s="521">
        <v>63226.044000000009</v>
      </c>
    </row>
    <row r="60" spans="1:5" ht="14.25" x14ac:dyDescent="0.2">
      <c r="A60" s="461" t="s">
        <v>116</v>
      </c>
      <c r="B60" s="521">
        <v>1554.748</v>
      </c>
      <c r="C60" s="521">
        <v>1203.384</v>
      </c>
      <c r="D60" s="521">
        <v>14804.993</v>
      </c>
      <c r="E60" s="521">
        <v>16857.490000000002</v>
      </c>
    </row>
    <row r="61" spans="1:5" ht="14.25" x14ac:dyDescent="0.2">
      <c r="A61" s="461" t="s">
        <v>117</v>
      </c>
      <c r="B61" s="521">
        <v>851.38200000000006</v>
      </c>
      <c r="C61" s="521">
        <v>462.52799999999996</v>
      </c>
      <c r="D61" s="521">
        <v>6425.2409999999991</v>
      </c>
      <c r="E61" s="521">
        <v>7644.05</v>
      </c>
    </row>
    <row r="62" spans="1:5" ht="14.25" x14ac:dyDescent="0.2">
      <c r="A62" s="461" t="s">
        <v>118</v>
      </c>
      <c r="B62" s="521">
        <v>802.75200000000007</v>
      </c>
      <c r="C62" s="521">
        <v>514.46100000000001</v>
      </c>
      <c r="D62" s="521">
        <v>7291.6540000000005</v>
      </c>
      <c r="E62" s="521">
        <v>8320.9</v>
      </c>
    </row>
    <row r="63" spans="1:5" ht="14.25" x14ac:dyDescent="0.2">
      <c r="A63" s="461" t="s">
        <v>119</v>
      </c>
      <c r="B63" s="521">
        <v>404.47199999999998</v>
      </c>
      <c r="C63" s="521">
        <v>277.95600000000002</v>
      </c>
      <c r="D63" s="521">
        <v>3809.7359999999999</v>
      </c>
      <c r="E63" s="521">
        <v>4330.143</v>
      </c>
    </row>
    <row r="64" spans="1:5" ht="14.25" x14ac:dyDescent="0.2">
      <c r="A64" s="520" t="s">
        <v>120</v>
      </c>
      <c r="B64" s="521">
        <v>1038.4380000000001</v>
      </c>
      <c r="C64" s="521">
        <v>570.76800000000003</v>
      </c>
      <c r="D64" s="521">
        <v>8859.4159999999993</v>
      </c>
      <c r="E64" s="521">
        <v>10200</v>
      </c>
    </row>
    <row r="65" spans="1:5" ht="14.25" x14ac:dyDescent="0.2">
      <c r="A65" s="520" t="s">
        <v>121</v>
      </c>
      <c r="B65" s="521">
        <v>1918.8210000000001</v>
      </c>
      <c r="C65" s="521">
        <v>1239.4199999999998</v>
      </c>
      <c r="D65" s="521">
        <v>17165.189999999999</v>
      </c>
      <c r="E65" s="521">
        <v>19626.5</v>
      </c>
    </row>
    <row r="66" spans="1:5" ht="14.25" x14ac:dyDescent="0.2">
      <c r="A66" s="520" t="s">
        <v>122</v>
      </c>
      <c r="B66" s="521">
        <v>472.86599999999999</v>
      </c>
      <c r="C66" s="521">
        <v>499.4</v>
      </c>
      <c r="D66" s="521">
        <v>5717.2219999999998</v>
      </c>
      <c r="E66" s="521">
        <v>6426.5159999999996</v>
      </c>
    </row>
    <row r="67" spans="1:5" ht="14.25" x14ac:dyDescent="0.2">
      <c r="A67" s="307"/>
      <c r="B67" s="523"/>
      <c r="C67" s="523"/>
      <c r="D67" s="523"/>
      <c r="E67" s="523"/>
    </row>
    <row r="68" spans="1:5" ht="14.25" x14ac:dyDescent="0.2">
      <c r="A68" s="516" t="s">
        <v>476</v>
      </c>
      <c r="B68" s="517">
        <v>12481.514000000003</v>
      </c>
      <c r="C68" s="517">
        <v>11442.581</v>
      </c>
      <c r="D68" s="517">
        <v>130813.38400000001</v>
      </c>
      <c r="E68" s="517">
        <v>150077.24199999997</v>
      </c>
    </row>
    <row r="69" spans="1:5" ht="14.25" x14ac:dyDescent="0.2">
      <c r="A69" s="459" t="s">
        <v>74</v>
      </c>
      <c r="B69" s="519">
        <v>570.10300000000007</v>
      </c>
      <c r="C69" s="519">
        <v>289.16999999999996</v>
      </c>
      <c r="D69" s="519">
        <v>4783.7789999999995</v>
      </c>
      <c r="E69" s="519">
        <v>5514.6</v>
      </c>
    </row>
    <row r="70" spans="1:5" ht="14.25" x14ac:dyDescent="0.2">
      <c r="A70" s="461" t="s">
        <v>75</v>
      </c>
      <c r="B70" s="521">
        <v>156.04</v>
      </c>
      <c r="C70" s="521">
        <v>131.64800000000002</v>
      </c>
      <c r="D70" s="521">
        <v>2044.7680000000003</v>
      </c>
      <c r="E70" s="521">
        <v>2258.7840000000001</v>
      </c>
    </row>
    <row r="71" spans="1:5" ht="14.25" x14ac:dyDescent="0.2">
      <c r="A71" s="461" t="s">
        <v>69</v>
      </c>
      <c r="B71" s="521">
        <v>1162.3499999999999</v>
      </c>
      <c r="C71" s="521">
        <v>652.49600000000009</v>
      </c>
      <c r="D71" s="521">
        <v>13467.584000000001</v>
      </c>
      <c r="E71" s="521">
        <v>15022.289999999999</v>
      </c>
    </row>
    <row r="72" spans="1:5" ht="14.25" x14ac:dyDescent="0.2">
      <c r="A72" s="461" t="s">
        <v>76</v>
      </c>
      <c r="B72" s="521">
        <v>129.17600000000002</v>
      </c>
      <c r="C72" s="521">
        <v>60.32</v>
      </c>
      <c r="D72" s="521">
        <v>989.44</v>
      </c>
      <c r="E72" s="521">
        <v>1129.037</v>
      </c>
    </row>
    <row r="73" spans="1:5" ht="14.25" x14ac:dyDescent="0.2">
      <c r="A73" s="461" t="s">
        <v>70</v>
      </c>
      <c r="B73" s="521">
        <v>628.79999999999995</v>
      </c>
      <c r="C73" s="521">
        <v>419.44499999999999</v>
      </c>
      <c r="D73" s="521">
        <v>7613.97</v>
      </c>
      <c r="E73" s="521">
        <v>8423.3510000000006</v>
      </c>
    </row>
    <row r="74" spans="1:5" ht="14.25" x14ac:dyDescent="0.2">
      <c r="A74" s="461" t="s">
        <v>77</v>
      </c>
      <c r="B74" s="521">
        <v>175.20500000000001</v>
      </c>
      <c r="C74" s="521">
        <v>99.2</v>
      </c>
      <c r="D74" s="521">
        <v>1554.2</v>
      </c>
      <c r="E74" s="521">
        <v>1773.7660000000001</v>
      </c>
    </row>
    <row r="75" spans="1:5" ht="14.25" x14ac:dyDescent="0.2">
      <c r="A75" s="461" t="s">
        <v>78</v>
      </c>
      <c r="B75" s="521">
        <v>1096.1000000000001</v>
      </c>
      <c r="C75" s="521">
        <v>861.38099999999997</v>
      </c>
      <c r="D75" s="521">
        <v>10403.549999999999</v>
      </c>
      <c r="E75" s="521">
        <v>12104.455</v>
      </c>
    </row>
    <row r="76" spans="1:5" ht="14.25" x14ac:dyDescent="0.2">
      <c r="A76" s="461" t="s">
        <v>79</v>
      </c>
      <c r="B76" s="521">
        <v>307.38499999999999</v>
      </c>
      <c r="C76" s="521">
        <v>169.05400000000003</v>
      </c>
      <c r="D76" s="521">
        <v>2842.9670000000006</v>
      </c>
      <c r="E76" s="521">
        <v>3205.5</v>
      </c>
    </row>
    <row r="77" spans="1:5" ht="14.25" x14ac:dyDescent="0.2">
      <c r="A77" s="461" t="s">
        <v>80</v>
      </c>
      <c r="B77" s="521">
        <v>438.29199999999997</v>
      </c>
      <c r="C77" s="521">
        <v>182.90300000000002</v>
      </c>
      <c r="D77" s="521">
        <v>4228.6930000000002</v>
      </c>
      <c r="E77" s="521">
        <v>4729.8279999999995</v>
      </c>
    </row>
    <row r="78" spans="1:5" ht="14.25" x14ac:dyDescent="0.2">
      <c r="A78" s="461" t="s">
        <v>81</v>
      </c>
      <c r="B78" s="521">
        <v>126.41799999999999</v>
      </c>
      <c r="C78" s="521">
        <v>78.431999999999988</v>
      </c>
      <c r="D78" s="521">
        <v>1191.0999999999999</v>
      </c>
      <c r="E78" s="521">
        <v>1347.0600000000002</v>
      </c>
    </row>
    <row r="79" spans="1:5" ht="14.25" x14ac:dyDescent="0.2">
      <c r="A79" s="461" t="s">
        <v>82</v>
      </c>
      <c r="B79" s="521">
        <v>211.24199999999999</v>
      </c>
      <c r="C79" s="521">
        <v>239.97799999999998</v>
      </c>
      <c r="D79" s="521">
        <v>2702.6139999999996</v>
      </c>
      <c r="E79" s="521">
        <v>3012.36</v>
      </c>
    </row>
    <row r="80" spans="1:5" ht="14.25" x14ac:dyDescent="0.2">
      <c r="A80" s="461" t="s">
        <v>83</v>
      </c>
      <c r="B80" s="521">
        <v>74.00800000000001</v>
      </c>
      <c r="C80" s="521">
        <v>38.351999999999997</v>
      </c>
      <c r="D80" s="521">
        <v>715.22399999999993</v>
      </c>
      <c r="E80" s="521">
        <v>789.08999999999992</v>
      </c>
    </row>
    <row r="81" spans="1:5" ht="14.25" x14ac:dyDescent="0.2">
      <c r="A81" s="461" t="s">
        <v>84</v>
      </c>
      <c r="B81" s="521">
        <v>132.38600000000002</v>
      </c>
      <c r="C81" s="521">
        <v>62.417999999999992</v>
      </c>
      <c r="D81" s="521">
        <v>1216.848</v>
      </c>
      <c r="E81" s="521">
        <v>1380.74</v>
      </c>
    </row>
    <row r="82" spans="1:5" ht="14.25" x14ac:dyDescent="0.2">
      <c r="A82" s="461" t="s">
        <v>85</v>
      </c>
      <c r="B82" s="521">
        <v>228.30500000000001</v>
      </c>
      <c r="C82" s="521">
        <v>128.20500000000001</v>
      </c>
      <c r="D82" s="521">
        <v>2397.9699999999998</v>
      </c>
      <c r="E82" s="521">
        <v>2688.7060000000001</v>
      </c>
    </row>
    <row r="83" spans="1:5" ht="14.25" x14ac:dyDescent="0.2">
      <c r="A83" s="461" t="s">
        <v>71</v>
      </c>
      <c r="B83" s="521">
        <v>1922.9400000000003</v>
      </c>
      <c r="C83" s="521">
        <v>2036.3219999999999</v>
      </c>
      <c r="D83" s="521">
        <v>23059.697999999997</v>
      </c>
      <c r="E83" s="521">
        <v>26076.799999999999</v>
      </c>
    </row>
    <row r="84" spans="1:5" ht="14.25" x14ac:dyDescent="0.2">
      <c r="A84" s="461" t="s">
        <v>86</v>
      </c>
      <c r="B84" s="521">
        <v>173.50199999999998</v>
      </c>
      <c r="C84" s="521">
        <v>98.091999999999999</v>
      </c>
      <c r="D84" s="521">
        <v>2100.7439999999997</v>
      </c>
      <c r="E84" s="521">
        <v>2305.8420000000001</v>
      </c>
    </row>
    <row r="85" spans="1:5" ht="14.25" x14ac:dyDescent="0.2">
      <c r="A85" s="461" t="s">
        <v>72</v>
      </c>
      <c r="B85" s="521">
        <v>1766.68</v>
      </c>
      <c r="C85" s="521">
        <v>2154.2849999999999</v>
      </c>
      <c r="D85" s="521">
        <v>15756.195</v>
      </c>
      <c r="E85" s="521">
        <v>19090.805</v>
      </c>
    </row>
    <row r="86" spans="1:5" ht="14.25" x14ac:dyDescent="0.2">
      <c r="A86" s="461" t="s">
        <v>87</v>
      </c>
      <c r="B86" s="521">
        <v>163.35</v>
      </c>
      <c r="C86" s="521">
        <v>61.05</v>
      </c>
      <c r="D86" s="521">
        <v>1320.345</v>
      </c>
      <c r="E86" s="521">
        <v>1503.684</v>
      </c>
    </row>
    <row r="87" spans="1:5" ht="14.25" x14ac:dyDescent="0.2">
      <c r="A87" s="461" t="s">
        <v>88</v>
      </c>
      <c r="B87" s="521">
        <v>385.3</v>
      </c>
      <c r="C87" s="521">
        <v>441.98</v>
      </c>
      <c r="D87" s="521">
        <v>4434.8919999999998</v>
      </c>
      <c r="E87" s="521">
        <v>5083.7280000000001</v>
      </c>
    </row>
    <row r="88" spans="1:5" ht="14.25" x14ac:dyDescent="0.2">
      <c r="A88" s="461" t="s">
        <v>73</v>
      </c>
      <c r="B88" s="521">
        <v>687.39</v>
      </c>
      <c r="C88" s="521">
        <v>446.20000000000005</v>
      </c>
      <c r="D88" s="521">
        <v>6793.2000000000007</v>
      </c>
      <c r="E88" s="521">
        <v>7597.7560000000003</v>
      </c>
    </row>
    <row r="89" spans="1:5" ht="14.25" x14ac:dyDescent="0.2">
      <c r="A89" s="461" t="s">
        <v>89</v>
      </c>
      <c r="B89" s="521">
        <v>134.078</v>
      </c>
      <c r="C89" s="521">
        <v>71.630999999999986</v>
      </c>
      <c r="D89" s="521">
        <v>1328.6699999999998</v>
      </c>
      <c r="E89" s="521">
        <v>1479.4780000000001</v>
      </c>
    </row>
    <row r="90" spans="1:5" ht="14.25" x14ac:dyDescent="0.2">
      <c r="A90" s="461" t="s">
        <v>90</v>
      </c>
      <c r="B90" s="521">
        <v>1627.8500000000001</v>
      </c>
      <c r="C90" s="521">
        <v>2625.6179999999999</v>
      </c>
      <c r="D90" s="521">
        <v>17953.464</v>
      </c>
      <c r="E90" s="521">
        <v>21430.512000000002</v>
      </c>
    </row>
    <row r="91" spans="1:5" ht="14.25" x14ac:dyDescent="0.2">
      <c r="A91" s="461" t="s">
        <v>91</v>
      </c>
      <c r="B91" s="521">
        <v>63.558</v>
      </c>
      <c r="C91" s="521">
        <v>28.726000000000003</v>
      </c>
      <c r="D91" s="521">
        <v>670.45400000000006</v>
      </c>
      <c r="E91" s="521">
        <v>728.17200000000003</v>
      </c>
    </row>
    <row r="92" spans="1:5" ht="14.25" x14ac:dyDescent="0.2">
      <c r="A92" s="461" t="s">
        <v>92</v>
      </c>
      <c r="B92" s="521">
        <v>121.05600000000001</v>
      </c>
      <c r="C92" s="521">
        <v>65.674999999999997</v>
      </c>
      <c r="D92" s="521">
        <v>1243.0149999999999</v>
      </c>
      <c r="E92" s="521">
        <v>1400.8979999999999</v>
      </c>
    </row>
    <row r="93" spans="1:5" ht="14.25" x14ac:dyDescent="0.2">
      <c r="A93" s="307"/>
      <c r="B93" s="523"/>
      <c r="C93" s="523"/>
      <c r="D93" s="523"/>
      <c r="E93" s="523"/>
    </row>
    <row r="94" spans="1:5" ht="14.25" x14ac:dyDescent="0.2">
      <c r="A94" s="516" t="s">
        <v>541</v>
      </c>
      <c r="B94" s="517">
        <v>10901.285000000002</v>
      </c>
      <c r="C94" s="517">
        <v>9190.6869999999999</v>
      </c>
      <c r="D94" s="517">
        <v>122437.94900000004</v>
      </c>
      <c r="E94" s="517">
        <v>138416.149</v>
      </c>
    </row>
    <row r="95" spans="1:5" ht="14.25" x14ac:dyDescent="0.2">
      <c r="A95" s="459" t="s">
        <v>123</v>
      </c>
      <c r="B95" s="519">
        <v>376.80500000000001</v>
      </c>
      <c r="C95" s="519">
        <v>268.86199999999997</v>
      </c>
      <c r="D95" s="519">
        <v>4465.6139999999996</v>
      </c>
      <c r="E95" s="519">
        <v>4906.8180000000002</v>
      </c>
    </row>
    <row r="96" spans="1:5" ht="14.25" x14ac:dyDescent="0.2">
      <c r="A96" s="461" t="s">
        <v>124</v>
      </c>
      <c r="B96" s="521">
        <v>175.13399999999999</v>
      </c>
      <c r="C96" s="521">
        <v>92.72</v>
      </c>
      <c r="D96" s="521">
        <v>1477.9079999999999</v>
      </c>
      <c r="E96" s="521">
        <v>1712.34</v>
      </c>
    </row>
    <row r="97" spans="1:5" ht="14.25" x14ac:dyDescent="0.2">
      <c r="A97" s="461" t="s">
        <v>125</v>
      </c>
      <c r="B97" s="521">
        <v>340.00200000000001</v>
      </c>
      <c r="C97" s="521">
        <v>209.50799999999998</v>
      </c>
      <c r="D97" s="521">
        <v>3551.4449999999997</v>
      </c>
      <c r="E97" s="521">
        <v>4005.1440000000002</v>
      </c>
    </row>
    <row r="98" spans="1:5" ht="14.25" x14ac:dyDescent="0.2">
      <c r="A98" s="461" t="s">
        <v>126</v>
      </c>
      <c r="B98" s="521">
        <v>197.125</v>
      </c>
      <c r="C98" s="521">
        <v>154.10499999999999</v>
      </c>
      <c r="D98" s="521">
        <v>2634.73</v>
      </c>
      <c r="E98" s="521">
        <v>2847.9059999999999</v>
      </c>
    </row>
    <row r="99" spans="1:5" ht="14.25" x14ac:dyDescent="0.2">
      <c r="A99" s="461" t="s">
        <v>127</v>
      </c>
      <c r="B99" s="521">
        <v>2273.13</v>
      </c>
      <c r="C99" s="521">
        <v>1526.3730000000003</v>
      </c>
      <c r="D99" s="521">
        <v>27255.704000000002</v>
      </c>
      <c r="E99" s="521">
        <v>30166.799999999999</v>
      </c>
    </row>
    <row r="100" spans="1:5" ht="14.25" x14ac:dyDescent="0.2">
      <c r="A100" s="461" t="s">
        <v>128</v>
      </c>
      <c r="B100" s="521">
        <v>678.63300000000004</v>
      </c>
      <c r="C100" s="521">
        <v>701.29599999999994</v>
      </c>
      <c r="D100" s="521">
        <v>9985.1999999999989</v>
      </c>
      <c r="E100" s="521">
        <v>11023.990000000002</v>
      </c>
    </row>
    <row r="101" spans="1:5" ht="14.25" x14ac:dyDescent="0.2">
      <c r="A101" s="461" t="s">
        <v>129</v>
      </c>
      <c r="B101" s="521">
        <v>322.322</v>
      </c>
      <c r="C101" s="521">
        <v>190.21</v>
      </c>
      <c r="D101" s="521">
        <v>3248.75</v>
      </c>
      <c r="E101" s="521">
        <v>3674.4960000000001</v>
      </c>
    </row>
    <row r="102" spans="1:5" ht="14.25" x14ac:dyDescent="0.2">
      <c r="A102" s="461" t="s">
        <v>130</v>
      </c>
      <c r="B102" s="521">
        <v>146.23699999999999</v>
      </c>
      <c r="C102" s="521">
        <v>74.927999999999997</v>
      </c>
      <c r="D102" s="521">
        <v>1228.0609999999999</v>
      </c>
      <c r="E102" s="521">
        <v>1415.5</v>
      </c>
    </row>
    <row r="103" spans="1:5" ht="14.25" x14ac:dyDescent="0.2">
      <c r="A103" s="461" t="s">
        <v>131</v>
      </c>
      <c r="B103" s="521">
        <v>115.27200000000002</v>
      </c>
      <c r="C103" s="521">
        <v>73.943999999999988</v>
      </c>
      <c r="D103" s="521">
        <v>1099.8</v>
      </c>
      <c r="E103" s="521">
        <v>1257.23</v>
      </c>
    </row>
    <row r="104" spans="1:5" ht="14.25" x14ac:dyDescent="0.2">
      <c r="A104" s="461" t="s">
        <v>132</v>
      </c>
      <c r="B104" s="521">
        <v>514.745</v>
      </c>
      <c r="C104" s="521">
        <v>346.28800000000001</v>
      </c>
      <c r="D104" s="521">
        <v>6009.2560000000003</v>
      </c>
      <c r="E104" s="521">
        <v>6716.7</v>
      </c>
    </row>
    <row r="105" spans="1:5" ht="14.25" x14ac:dyDescent="0.2">
      <c r="A105" s="461" t="s">
        <v>133</v>
      </c>
      <c r="B105" s="521">
        <v>1199.616</v>
      </c>
      <c r="C105" s="521">
        <v>688.65499999999997</v>
      </c>
      <c r="D105" s="521">
        <v>12323.475999999999</v>
      </c>
      <c r="E105" s="521">
        <v>13851.513000000001</v>
      </c>
    </row>
    <row r="106" spans="1:5" ht="14.25" x14ac:dyDescent="0.2">
      <c r="A106" s="461" t="s">
        <v>134</v>
      </c>
      <c r="B106" s="521">
        <v>497.90700000000004</v>
      </c>
      <c r="C106" s="521">
        <v>929.94899999999996</v>
      </c>
      <c r="D106" s="521">
        <v>5385.6260000000002</v>
      </c>
      <c r="E106" s="521">
        <v>6579.5439999999999</v>
      </c>
    </row>
    <row r="107" spans="1:5" ht="14.25" x14ac:dyDescent="0.2">
      <c r="A107" s="461" t="s">
        <v>135</v>
      </c>
      <c r="B107" s="521">
        <v>531.36</v>
      </c>
      <c r="C107" s="521">
        <v>287.01400000000001</v>
      </c>
      <c r="D107" s="521">
        <v>4409.4439999999995</v>
      </c>
      <c r="E107" s="521">
        <v>5106.192</v>
      </c>
    </row>
    <row r="108" spans="1:5" ht="14.25" x14ac:dyDescent="0.2">
      <c r="A108" s="461" t="s">
        <v>136</v>
      </c>
      <c r="B108" s="521">
        <v>189.95199999999997</v>
      </c>
      <c r="C108" s="521">
        <v>230.69499999999999</v>
      </c>
      <c r="D108" s="521">
        <v>2222.59</v>
      </c>
      <c r="E108" s="521">
        <v>2531.2559999999999</v>
      </c>
    </row>
    <row r="109" spans="1:5" ht="14.25" x14ac:dyDescent="0.2">
      <c r="A109" s="461" t="s">
        <v>137</v>
      </c>
      <c r="B109" s="521">
        <v>420.02499999999998</v>
      </c>
      <c r="C109" s="521">
        <v>297.387</v>
      </c>
      <c r="D109" s="521">
        <v>4924.7439999999997</v>
      </c>
      <c r="E109" s="521">
        <v>5466.23</v>
      </c>
    </row>
    <row r="110" spans="1:5" ht="14.25" customHeight="1" x14ac:dyDescent="0.2">
      <c r="A110" s="461" t="s">
        <v>138</v>
      </c>
      <c r="B110" s="521">
        <v>163.68100000000001</v>
      </c>
      <c r="C110" s="521">
        <v>73.92</v>
      </c>
      <c r="D110" s="521">
        <v>1717.248</v>
      </c>
      <c r="E110" s="521">
        <v>1895.2920000000001</v>
      </c>
    </row>
    <row r="111" spans="1:5" ht="14.25" customHeight="1" x14ac:dyDescent="0.2">
      <c r="A111" s="461" t="s">
        <v>139</v>
      </c>
      <c r="B111" s="521">
        <v>267.08000000000004</v>
      </c>
      <c r="C111" s="521">
        <v>123.39400000000001</v>
      </c>
      <c r="D111" s="521">
        <v>2255.7000000000003</v>
      </c>
      <c r="E111" s="521">
        <v>2581.3679999999999</v>
      </c>
    </row>
    <row r="112" spans="1:5" ht="14.25" x14ac:dyDescent="0.2">
      <c r="A112" s="461" t="s">
        <v>140</v>
      </c>
      <c r="B112" s="521">
        <v>647.78400000000011</v>
      </c>
      <c r="C112" s="521">
        <v>453.12</v>
      </c>
      <c r="D112" s="521">
        <v>7172.7359999999999</v>
      </c>
      <c r="E112" s="521">
        <v>8015.67</v>
      </c>
    </row>
    <row r="113" spans="1:8" ht="14.25" x14ac:dyDescent="0.2">
      <c r="A113" s="461" t="s">
        <v>141</v>
      </c>
      <c r="B113" s="521">
        <v>252.82199999999997</v>
      </c>
      <c r="C113" s="521">
        <v>130.29499999999999</v>
      </c>
      <c r="D113" s="521">
        <v>2088.2620000000002</v>
      </c>
      <c r="E113" s="521">
        <v>2416.7249999999999</v>
      </c>
    </row>
    <row r="114" spans="1:8" ht="14.25" x14ac:dyDescent="0.2">
      <c r="A114" s="461" t="s">
        <v>142</v>
      </c>
      <c r="B114" s="521">
        <v>314.75400000000002</v>
      </c>
      <c r="C114" s="521">
        <v>261.51199999999994</v>
      </c>
      <c r="D114" s="521">
        <v>3265.7959999999998</v>
      </c>
      <c r="E114" s="521">
        <v>3763.9639999999995</v>
      </c>
    </row>
    <row r="115" spans="1:8" ht="14.25" x14ac:dyDescent="0.2">
      <c r="A115" s="461" t="s">
        <v>143</v>
      </c>
      <c r="B115" s="521">
        <v>359.04599999999999</v>
      </c>
      <c r="C115" s="521">
        <v>1422.1719999999998</v>
      </c>
      <c r="D115" s="521">
        <v>4995.4709999999995</v>
      </c>
      <c r="E115" s="521">
        <v>6558.6200000000008</v>
      </c>
    </row>
    <row r="116" spans="1:8" ht="14.25" x14ac:dyDescent="0.2">
      <c r="A116" s="461" t="s">
        <v>144</v>
      </c>
      <c r="B116" s="521">
        <v>718.27199999999993</v>
      </c>
      <c r="C116" s="521">
        <v>546.97500000000002</v>
      </c>
      <c r="D116" s="521">
        <v>8798.85</v>
      </c>
      <c r="E116" s="521">
        <v>9759.7010000000009</v>
      </c>
    </row>
    <row r="117" spans="1:8" ht="14.25" x14ac:dyDescent="0.2">
      <c r="A117" s="461" t="s">
        <v>145</v>
      </c>
      <c r="B117" s="521">
        <v>199.58099999999999</v>
      </c>
      <c r="C117" s="521">
        <v>107.36499999999999</v>
      </c>
      <c r="D117" s="521">
        <v>1921.5379999999998</v>
      </c>
      <c r="E117" s="521">
        <v>2163.15</v>
      </c>
    </row>
    <row r="118" spans="1:8" ht="14.25" x14ac:dyDescent="0.2">
      <c r="A118" s="307"/>
      <c r="B118" s="523"/>
      <c r="C118" s="523"/>
      <c r="D118" s="523"/>
      <c r="E118" s="523"/>
    </row>
    <row r="119" spans="1:8" ht="14.25" x14ac:dyDescent="0.2">
      <c r="A119" s="522" t="s">
        <v>298</v>
      </c>
      <c r="B119" s="523">
        <v>107892.69299999998</v>
      </c>
      <c r="C119" s="523">
        <v>81651.627999999982</v>
      </c>
      <c r="D119" s="523">
        <v>1105491.2709999995</v>
      </c>
      <c r="E119" s="523">
        <v>1248532.2829999998</v>
      </c>
    </row>
    <row r="120" spans="1:8" ht="14.25" x14ac:dyDescent="0.2">
      <c r="A120" s="457"/>
      <c r="B120" s="457"/>
      <c r="C120" s="457"/>
      <c r="D120" s="457"/>
      <c r="E120" s="457"/>
    </row>
    <row r="121" spans="1:8" ht="30" customHeight="1" x14ac:dyDescent="0.2">
      <c r="A121" s="565" t="s">
        <v>534</v>
      </c>
      <c r="B121" s="565"/>
      <c r="C121" s="565"/>
      <c r="D121" s="565"/>
      <c r="E121" s="565"/>
    </row>
    <row r="122" spans="1:8" ht="30" customHeight="1" x14ac:dyDescent="0.2">
      <c r="A122" s="565" t="s">
        <v>535</v>
      </c>
      <c r="B122" s="565"/>
      <c r="C122" s="565"/>
      <c r="D122" s="565"/>
      <c r="E122" s="565"/>
      <c r="F122" s="246"/>
      <c r="G122" s="246"/>
      <c r="H122" s="246"/>
    </row>
    <row r="123" spans="1:8" ht="50.1" customHeight="1" x14ac:dyDescent="0.2">
      <c r="A123" s="565" t="s">
        <v>536</v>
      </c>
      <c r="B123" s="565"/>
      <c r="C123" s="565"/>
      <c r="D123" s="565"/>
      <c r="E123" s="565"/>
      <c r="F123" s="246"/>
      <c r="G123" s="246"/>
      <c r="H123" s="246"/>
    </row>
  </sheetData>
  <sheetProtection sheet="1" objects="1" scenarios="1" pivotTables="0"/>
  <mergeCells count="3">
    <mergeCell ref="A121:E121"/>
    <mergeCell ref="A122:E122"/>
    <mergeCell ref="A123:E123"/>
  </mergeCells>
  <printOptions horizontalCentered="1"/>
  <pageMargins left="0.3" right="0.3" top="0.5" bottom="0.5" header="0.3" footer="0.3"/>
  <pageSetup scale="75" fitToHeight="2" orientation="portrait" r:id="rId2"/>
  <headerFooter>
    <oddFooter>&amp;LNC DHHS DMH/DD/SAS QM Section - MSchwartz&amp;R&amp;F</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U111"/>
  <sheetViews>
    <sheetView showGridLines="0" zoomScale="80" zoomScaleNormal="80" workbookViewId="0">
      <pane xSplit="1" ySplit="5" topLeftCell="B6" activePane="bottomRight" state="frozen"/>
      <selection activeCell="D4" sqref="D4"/>
      <selection pane="topRight" activeCell="D4" sqref="D4"/>
      <selection pane="bottomLeft" activeCell="D4" sqref="D4"/>
      <selection pane="bottomRight" activeCell="D68" sqref="D68"/>
    </sheetView>
  </sheetViews>
  <sheetFormatPr defaultRowHeight="14.25" x14ac:dyDescent="0.2"/>
  <cols>
    <col min="1" max="1" width="17.85546875" style="247" customWidth="1"/>
    <col min="2" max="2" width="43.5703125" style="246" customWidth="1"/>
    <col min="3" max="3" width="12.42578125" style="289" customWidth="1"/>
    <col min="4" max="19" width="15" style="246" customWidth="1"/>
    <col min="20" max="20" width="9.140625" style="246"/>
    <col min="21" max="21" width="11" style="246" bestFit="1" customWidth="1"/>
    <col min="22" max="16384" width="9.140625" style="246"/>
  </cols>
  <sheetData>
    <row r="1" spans="1:21" ht="24.95" customHeight="1" x14ac:dyDescent="0.2">
      <c r="A1" s="463" t="s">
        <v>524</v>
      </c>
      <c r="B1" s="464"/>
      <c r="C1" s="464"/>
      <c r="D1" s="465" t="s">
        <v>489</v>
      </c>
      <c r="E1" s="465" t="s">
        <v>489</v>
      </c>
      <c r="F1" s="465" t="s">
        <v>489</v>
      </c>
      <c r="G1" s="465"/>
      <c r="H1" s="465"/>
      <c r="I1" s="465" t="s">
        <v>489</v>
      </c>
      <c r="J1" s="496" t="s">
        <v>525</v>
      </c>
      <c r="K1" s="465" t="s">
        <v>489</v>
      </c>
      <c r="L1" s="465" t="s">
        <v>489</v>
      </c>
      <c r="M1" s="465" t="s">
        <v>489</v>
      </c>
      <c r="N1" s="496" t="s">
        <v>525</v>
      </c>
      <c r="O1" s="496" t="s">
        <v>525</v>
      </c>
      <c r="P1" s="496" t="s">
        <v>525</v>
      </c>
      <c r="Q1" s="496" t="s">
        <v>525</v>
      </c>
      <c r="R1" s="496" t="s">
        <v>525</v>
      </c>
      <c r="S1" s="496" t="s">
        <v>525</v>
      </c>
    </row>
    <row r="2" spans="1:21" ht="18" x14ac:dyDescent="0.2">
      <c r="A2" s="244" t="s">
        <v>549</v>
      </c>
      <c r="B2" s="245"/>
      <c r="C2" s="245"/>
      <c r="D2" s="245"/>
      <c r="E2" s="245"/>
      <c r="F2" s="245"/>
      <c r="G2" s="245"/>
      <c r="H2" s="245"/>
      <c r="I2" s="245"/>
      <c r="J2" s="245"/>
      <c r="K2" s="245"/>
      <c r="L2" s="245"/>
      <c r="M2" s="245"/>
      <c r="N2" s="245"/>
      <c r="O2" s="245"/>
      <c r="P2" s="244"/>
      <c r="Q2" s="244"/>
      <c r="R2" s="244"/>
      <c r="S2" s="245"/>
    </row>
    <row r="3" spans="1:21" s="455" customFormat="1" ht="24.95" customHeight="1" thickBot="1" x14ac:dyDescent="0.25">
      <c r="A3" s="454">
        <v>1</v>
      </c>
      <c r="B3" s="454">
        <v>2</v>
      </c>
      <c r="C3" s="454">
        <v>3</v>
      </c>
      <c r="D3" s="454">
        <v>4</v>
      </c>
      <c r="E3" s="454">
        <v>5</v>
      </c>
      <c r="F3" s="454">
        <v>6</v>
      </c>
      <c r="G3" s="454">
        <v>7</v>
      </c>
      <c r="H3" s="454">
        <v>8</v>
      </c>
      <c r="I3" s="454">
        <v>9</v>
      </c>
      <c r="J3" s="454">
        <v>10</v>
      </c>
      <c r="K3" s="454">
        <v>11</v>
      </c>
      <c r="L3" s="454">
        <v>12</v>
      </c>
      <c r="M3" s="454">
        <v>13</v>
      </c>
      <c r="N3" s="454">
        <v>14</v>
      </c>
      <c r="O3" s="454">
        <v>15</v>
      </c>
      <c r="P3" s="454">
        <v>16</v>
      </c>
      <c r="Q3" s="454">
        <v>17</v>
      </c>
      <c r="R3" s="497">
        <v>18</v>
      </c>
      <c r="S3" s="454">
        <v>19</v>
      </c>
    </row>
    <row r="4" spans="1:21" ht="20.100000000000001" customHeight="1" thickTop="1" x14ac:dyDescent="0.2">
      <c r="B4" s="245"/>
      <c r="C4" s="245"/>
      <c r="D4" s="248" t="s">
        <v>550</v>
      </c>
      <c r="E4" s="249"/>
      <c r="F4" s="250"/>
      <c r="G4" s="250"/>
      <c r="H4" s="250"/>
      <c r="I4" s="250"/>
      <c r="J4" s="251"/>
      <c r="K4" s="456" t="s">
        <v>551</v>
      </c>
      <c r="L4" s="250"/>
      <c r="M4" s="251"/>
      <c r="N4" s="252" t="s">
        <v>552</v>
      </c>
      <c r="O4" s="253"/>
      <c r="P4" s="253"/>
      <c r="Q4" s="253"/>
      <c r="R4" s="253"/>
      <c r="S4" s="254"/>
    </row>
    <row r="5" spans="1:21" ht="71.25" customHeight="1" thickBot="1" x14ac:dyDescent="0.25">
      <c r="A5" s="255" t="s">
        <v>268</v>
      </c>
      <c r="B5" s="255" t="s">
        <v>293</v>
      </c>
      <c r="C5" s="255" t="s">
        <v>269</v>
      </c>
      <c r="D5" s="256" t="s">
        <v>480</v>
      </c>
      <c r="E5" s="257" t="s">
        <v>271</v>
      </c>
      <c r="F5" s="257" t="s">
        <v>272</v>
      </c>
      <c r="G5" s="257" t="s">
        <v>281</v>
      </c>
      <c r="H5" s="257" t="s">
        <v>275</v>
      </c>
      <c r="I5" s="258" t="s">
        <v>276</v>
      </c>
      <c r="J5" s="259" t="s">
        <v>277</v>
      </c>
      <c r="K5" s="466" t="s">
        <v>491</v>
      </c>
      <c r="L5" s="467" t="s">
        <v>492</v>
      </c>
      <c r="M5" s="262" t="s">
        <v>493</v>
      </c>
      <c r="N5" s="263" t="s">
        <v>271</v>
      </c>
      <c r="O5" s="264" t="s">
        <v>272</v>
      </c>
      <c r="P5" s="266" t="s">
        <v>281</v>
      </c>
      <c r="Q5" s="266" t="s">
        <v>282</v>
      </c>
      <c r="R5" s="266" t="s">
        <v>283</v>
      </c>
      <c r="S5" s="267" t="s">
        <v>284</v>
      </c>
    </row>
    <row r="6" spans="1:21" ht="24.95" customHeight="1" thickTop="1" x14ac:dyDescent="0.2">
      <c r="A6" s="268" t="s">
        <v>50</v>
      </c>
      <c r="B6" s="269" t="s">
        <v>14</v>
      </c>
      <c r="C6" s="270" t="s">
        <v>285</v>
      </c>
      <c r="D6" s="271">
        <v>161309</v>
      </c>
      <c r="E6" s="271">
        <v>5448</v>
      </c>
      <c r="F6" s="271">
        <v>30121</v>
      </c>
      <c r="G6" s="271">
        <v>8181</v>
      </c>
      <c r="H6" s="271">
        <v>90585</v>
      </c>
      <c r="I6" s="271">
        <v>26974</v>
      </c>
      <c r="J6" s="271">
        <f t="shared" ref="J6:J69" si="0">SUM(F6:H6)</f>
        <v>128887</v>
      </c>
      <c r="K6" s="468">
        <v>4.4999999999999998E-2</v>
      </c>
      <c r="L6" s="468">
        <v>0.17899999999999999</v>
      </c>
      <c r="M6" s="469">
        <v>0.14099999999999999</v>
      </c>
      <c r="N6" s="274">
        <f>E6*K6</f>
        <v>245.16</v>
      </c>
      <c r="O6" s="275">
        <f>F6*K6</f>
        <v>1355.4449999999999</v>
      </c>
      <c r="P6" s="275">
        <f>G6*L6</f>
        <v>1464.3989999999999</v>
      </c>
      <c r="Q6" s="275">
        <f>H6*L6</f>
        <v>16214.715</v>
      </c>
      <c r="R6" s="275">
        <f>SUM(P6:Q6)</f>
        <v>17679.114000000001</v>
      </c>
      <c r="S6" s="275">
        <f>J6*M6</f>
        <v>18173.066999999999</v>
      </c>
      <c r="U6" s="498"/>
    </row>
    <row r="7" spans="1:21" ht="24.95" customHeight="1" x14ac:dyDescent="0.2">
      <c r="A7" s="276" t="s">
        <v>123</v>
      </c>
      <c r="B7" s="277" t="s">
        <v>541</v>
      </c>
      <c r="C7" s="278" t="s">
        <v>285</v>
      </c>
      <c r="D7" s="279">
        <v>38151</v>
      </c>
      <c r="E7" s="279">
        <v>1092</v>
      </c>
      <c r="F7" s="279">
        <v>6605</v>
      </c>
      <c r="G7" s="279">
        <v>1301</v>
      </c>
      <c r="H7" s="279">
        <v>21761</v>
      </c>
      <c r="I7" s="279">
        <v>7392</v>
      </c>
      <c r="J7" s="279">
        <f t="shared" si="0"/>
        <v>29667</v>
      </c>
      <c r="K7" s="470">
        <v>4.7E-2</v>
      </c>
      <c r="L7" s="470">
        <v>0.14300000000000002</v>
      </c>
      <c r="M7" s="471">
        <v>0.11699999999999999</v>
      </c>
      <c r="N7" s="282">
        <f t="shared" ref="N7:N70" si="1">E7*K7</f>
        <v>51.323999999999998</v>
      </c>
      <c r="O7" s="283">
        <f t="shared" ref="O7:P70" si="2">F7*K7</f>
        <v>310.435</v>
      </c>
      <c r="P7" s="283">
        <f t="shared" si="2"/>
        <v>186.04300000000003</v>
      </c>
      <c r="Q7" s="283">
        <f t="shared" ref="Q7:Q70" si="3">H7*L7</f>
        <v>3111.8230000000003</v>
      </c>
      <c r="R7" s="283">
        <f t="shared" ref="R7:R70" si="4">SUM(P7:Q7)</f>
        <v>3297.8660000000004</v>
      </c>
      <c r="S7" s="283">
        <f t="shared" ref="S7:S70" si="5">J7*M7</f>
        <v>3471.0389999999998</v>
      </c>
      <c r="U7" s="498"/>
    </row>
    <row r="8" spans="1:21" ht="24.95" customHeight="1" x14ac:dyDescent="0.2">
      <c r="A8" s="276" t="s">
        <v>124</v>
      </c>
      <c r="B8" s="277" t="s">
        <v>541</v>
      </c>
      <c r="C8" s="278" t="s">
        <v>286</v>
      </c>
      <c r="D8" s="279">
        <v>11321</v>
      </c>
      <c r="E8" s="279">
        <v>302</v>
      </c>
      <c r="F8" s="279">
        <v>1698</v>
      </c>
      <c r="G8" s="279">
        <v>378</v>
      </c>
      <c r="H8" s="279">
        <v>6105</v>
      </c>
      <c r="I8" s="279">
        <v>2838</v>
      </c>
      <c r="J8" s="279">
        <f t="shared" si="0"/>
        <v>8181</v>
      </c>
      <c r="K8" s="470">
        <v>8.5000000000000006E-2</v>
      </c>
      <c r="L8" s="470">
        <v>0.21299999999999999</v>
      </c>
      <c r="M8" s="471">
        <v>0.182</v>
      </c>
      <c r="N8" s="282">
        <f t="shared" si="1"/>
        <v>25.67</v>
      </c>
      <c r="O8" s="283">
        <f t="shared" si="2"/>
        <v>144.33000000000001</v>
      </c>
      <c r="P8" s="283">
        <f t="shared" si="2"/>
        <v>80.513999999999996</v>
      </c>
      <c r="Q8" s="283">
        <f t="shared" si="3"/>
        <v>1300.365</v>
      </c>
      <c r="R8" s="283">
        <f t="shared" si="4"/>
        <v>1380.8789999999999</v>
      </c>
      <c r="S8" s="283">
        <f t="shared" si="5"/>
        <v>1488.942</v>
      </c>
      <c r="U8" s="498"/>
    </row>
    <row r="9" spans="1:21" ht="24.95" customHeight="1" x14ac:dyDescent="0.2">
      <c r="A9" s="276" t="s">
        <v>114</v>
      </c>
      <c r="B9" s="277" t="s">
        <v>21</v>
      </c>
      <c r="C9" s="278" t="s">
        <v>286</v>
      </c>
      <c r="D9" s="279">
        <v>26156</v>
      </c>
      <c r="E9" s="279">
        <v>742</v>
      </c>
      <c r="F9" s="279">
        <v>4543</v>
      </c>
      <c r="G9" s="279">
        <v>916</v>
      </c>
      <c r="H9" s="279">
        <v>15506</v>
      </c>
      <c r="I9" s="279">
        <v>4449</v>
      </c>
      <c r="J9" s="279">
        <f t="shared" si="0"/>
        <v>20965</v>
      </c>
      <c r="K9" s="470">
        <v>4.4999999999999998E-2</v>
      </c>
      <c r="L9" s="470">
        <v>0.17</v>
      </c>
      <c r="M9" s="471">
        <v>0.13699999999999998</v>
      </c>
      <c r="N9" s="282">
        <f t="shared" si="1"/>
        <v>33.39</v>
      </c>
      <c r="O9" s="283">
        <f t="shared" si="2"/>
        <v>204.435</v>
      </c>
      <c r="P9" s="283">
        <f t="shared" si="2"/>
        <v>155.72</v>
      </c>
      <c r="Q9" s="283">
        <f t="shared" si="3"/>
        <v>2636.02</v>
      </c>
      <c r="R9" s="283">
        <f t="shared" si="4"/>
        <v>2791.74</v>
      </c>
      <c r="S9" s="283">
        <f t="shared" si="5"/>
        <v>2872.2049999999995</v>
      </c>
      <c r="U9" s="498"/>
    </row>
    <row r="10" spans="1:21" ht="24.95" customHeight="1" x14ac:dyDescent="0.2">
      <c r="A10" s="276" t="s">
        <v>125</v>
      </c>
      <c r="B10" s="277" t="s">
        <v>541</v>
      </c>
      <c r="C10" s="278" t="s">
        <v>286</v>
      </c>
      <c r="D10" s="279">
        <v>27255</v>
      </c>
      <c r="E10" s="279">
        <v>696</v>
      </c>
      <c r="F10" s="279">
        <v>4253</v>
      </c>
      <c r="G10" s="279">
        <v>902</v>
      </c>
      <c r="H10" s="279">
        <v>14739</v>
      </c>
      <c r="I10" s="279">
        <v>6665</v>
      </c>
      <c r="J10" s="279">
        <f t="shared" si="0"/>
        <v>19894</v>
      </c>
      <c r="K10" s="470">
        <v>6.7000000000000004E-2</v>
      </c>
      <c r="L10" s="470">
        <v>0.20699999999999999</v>
      </c>
      <c r="M10" s="471">
        <v>0.17300000000000001</v>
      </c>
      <c r="N10" s="282">
        <f t="shared" si="1"/>
        <v>46.632000000000005</v>
      </c>
      <c r="O10" s="283">
        <f t="shared" si="2"/>
        <v>284.95100000000002</v>
      </c>
      <c r="P10" s="283">
        <f t="shared" si="2"/>
        <v>186.714</v>
      </c>
      <c r="Q10" s="283">
        <f t="shared" si="3"/>
        <v>3050.973</v>
      </c>
      <c r="R10" s="283">
        <f t="shared" si="4"/>
        <v>3237.6869999999999</v>
      </c>
      <c r="S10" s="283">
        <f t="shared" si="5"/>
        <v>3441.6620000000003</v>
      </c>
      <c r="U10" s="498"/>
    </row>
    <row r="11" spans="1:21" ht="24.95" customHeight="1" x14ac:dyDescent="0.2">
      <c r="A11" s="276" t="s">
        <v>126</v>
      </c>
      <c r="B11" s="277" t="s">
        <v>541</v>
      </c>
      <c r="C11" s="278" t="s">
        <v>286</v>
      </c>
      <c r="D11" s="279">
        <v>17855</v>
      </c>
      <c r="E11" s="279">
        <v>425</v>
      </c>
      <c r="F11" s="279">
        <v>2349</v>
      </c>
      <c r="G11" s="279">
        <v>618</v>
      </c>
      <c r="H11" s="279">
        <v>10676</v>
      </c>
      <c r="I11" s="279">
        <v>3787</v>
      </c>
      <c r="J11" s="279">
        <f t="shared" si="0"/>
        <v>13643</v>
      </c>
      <c r="K11" s="470">
        <v>7.9000000000000001E-2</v>
      </c>
      <c r="L11" s="470">
        <v>0.20499999999999999</v>
      </c>
      <c r="M11" s="471">
        <v>0.17600000000000002</v>
      </c>
      <c r="N11" s="282">
        <f t="shared" si="1"/>
        <v>33.575000000000003</v>
      </c>
      <c r="O11" s="283">
        <f t="shared" si="2"/>
        <v>185.571</v>
      </c>
      <c r="P11" s="283">
        <f t="shared" si="2"/>
        <v>126.69</v>
      </c>
      <c r="Q11" s="283">
        <f t="shared" si="3"/>
        <v>2188.58</v>
      </c>
      <c r="R11" s="283">
        <f t="shared" si="4"/>
        <v>2315.27</v>
      </c>
      <c r="S11" s="283">
        <f t="shared" si="5"/>
        <v>2401.1680000000001</v>
      </c>
      <c r="U11" s="498"/>
    </row>
    <row r="12" spans="1:21" ht="24.95" customHeight="1" x14ac:dyDescent="0.2">
      <c r="A12" s="276" t="s">
        <v>74</v>
      </c>
      <c r="B12" s="277" t="s">
        <v>476</v>
      </c>
      <c r="C12" s="278" t="s">
        <v>286</v>
      </c>
      <c r="D12" s="279">
        <v>47826</v>
      </c>
      <c r="E12" s="279">
        <v>1441</v>
      </c>
      <c r="F12" s="279">
        <v>8396</v>
      </c>
      <c r="G12" s="279">
        <v>1532</v>
      </c>
      <c r="H12" s="279">
        <v>25151</v>
      </c>
      <c r="I12" s="279">
        <v>11306</v>
      </c>
      <c r="J12" s="279">
        <f t="shared" si="0"/>
        <v>35079</v>
      </c>
      <c r="K12" s="470">
        <v>0.05</v>
      </c>
      <c r="L12" s="470">
        <v>0.16500000000000001</v>
      </c>
      <c r="M12" s="471">
        <v>0.13400000000000001</v>
      </c>
      <c r="N12" s="282">
        <f t="shared" si="1"/>
        <v>72.05</v>
      </c>
      <c r="O12" s="283">
        <f t="shared" si="2"/>
        <v>419.8</v>
      </c>
      <c r="P12" s="283">
        <f t="shared" si="2"/>
        <v>252.78</v>
      </c>
      <c r="Q12" s="283">
        <f t="shared" si="3"/>
        <v>4149.915</v>
      </c>
      <c r="R12" s="283">
        <f t="shared" si="4"/>
        <v>4402.6949999999997</v>
      </c>
      <c r="S12" s="283">
        <f t="shared" si="5"/>
        <v>4700.5860000000002</v>
      </c>
      <c r="U12" s="498"/>
    </row>
    <row r="13" spans="1:21" ht="24.95" customHeight="1" x14ac:dyDescent="0.2">
      <c r="A13" s="284" t="s">
        <v>75</v>
      </c>
      <c r="B13" s="285" t="s">
        <v>476</v>
      </c>
      <c r="C13" s="286" t="s">
        <v>286</v>
      </c>
      <c r="D13" s="279">
        <v>20312</v>
      </c>
      <c r="E13" s="279">
        <v>580</v>
      </c>
      <c r="F13" s="279">
        <v>3293</v>
      </c>
      <c r="G13" s="279">
        <v>718</v>
      </c>
      <c r="H13" s="279">
        <v>11710</v>
      </c>
      <c r="I13" s="279">
        <v>4011</v>
      </c>
      <c r="J13" s="279">
        <f t="shared" si="0"/>
        <v>15721</v>
      </c>
      <c r="K13" s="470">
        <v>4.4000000000000004E-2</v>
      </c>
      <c r="L13" s="470">
        <v>0.153</v>
      </c>
      <c r="M13" s="471">
        <v>0.126</v>
      </c>
      <c r="N13" s="282">
        <f t="shared" si="1"/>
        <v>25.520000000000003</v>
      </c>
      <c r="O13" s="283">
        <f t="shared" si="2"/>
        <v>144.89200000000002</v>
      </c>
      <c r="P13" s="283">
        <f t="shared" si="2"/>
        <v>109.854</v>
      </c>
      <c r="Q13" s="283">
        <f t="shared" si="3"/>
        <v>1791.6299999999999</v>
      </c>
      <c r="R13" s="283">
        <f t="shared" si="4"/>
        <v>1901.4839999999999</v>
      </c>
      <c r="S13" s="283">
        <f t="shared" si="5"/>
        <v>1980.846</v>
      </c>
      <c r="U13" s="498"/>
    </row>
    <row r="14" spans="1:21" ht="24.95" customHeight="1" x14ac:dyDescent="0.2">
      <c r="A14" s="284" t="s">
        <v>93</v>
      </c>
      <c r="B14" s="285" t="s">
        <v>18</v>
      </c>
      <c r="C14" s="286" t="s">
        <v>286</v>
      </c>
      <c r="D14" s="279">
        <v>35012</v>
      </c>
      <c r="E14" s="279">
        <v>1109</v>
      </c>
      <c r="F14" s="279">
        <v>6252</v>
      </c>
      <c r="G14" s="279">
        <v>1293</v>
      </c>
      <c r="H14" s="279">
        <v>19465</v>
      </c>
      <c r="I14" s="279">
        <v>6893</v>
      </c>
      <c r="J14" s="279">
        <f t="shared" si="0"/>
        <v>27010</v>
      </c>
      <c r="K14" s="470">
        <v>0.06</v>
      </c>
      <c r="L14" s="470">
        <v>0.20399999999999999</v>
      </c>
      <c r="M14" s="471">
        <v>0.16600000000000001</v>
      </c>
      <c r="N14" s="282">
        <f t="shared" si="1"/>
        <v>66.539999999999992</v>
      </c>
      <c r="O14" s="283">
        <f t="shared" si="2"/>
        <v>375.12</v>
      </c>
      <c r="P14" s="283">
        <f t="shared" si="2"/>
        <v>263.77199999999999</v>
      </c>
      <c r="Q14" s="283">
        <f t="shared" si="3"/>
        <v>3970.8599999999997</v>
      </c>
      <c r="R14" s="283">
        <f t="shared" si="4"/>
        <v>4234.6319999999996</v>
      </c>
      <c r="S14" s="283">
        <f t="shared" si="5"/>
        <v>4483.66</v>
      </c>
      <c r="U14" s="498"/>
    </row>
    <row r="15" spans="1:21" ht="24.95" customHeight="1" x14ac:dyDescent="0.2">
      <c r="A15" s="284" t="s">
        <v>69</v>
      </c>
      <c r="B15" s="285" t="s">
        <v>476</v>
      </c>
      <c r="C15" s="286" t="s">
        <v>285</v>
      </c>
      <c r="D15" s="279">
        <v>128891</v>
      </c>
      <c r="E15" s="279">
        <v>3305</v>
      </c>
      <c r="F15" s="279">
        <v>18729</v>
      </c>
      <c r="G15" s="279">
        <v>3319</v>
      </c>
      <c r="H15" s="279">
        <v>66122</v>
      </c>
      <c r="I15" s="279">
        <v>37416</v>
      </c>
      <c r="J15" s="279">
        <f t="shared" si="0"/>
        <v>88170</v>
      </c>
      <c r="K15" s="470">
        <v>5.2000000000000005E-2</v>
      </c>
      <c r="L15" s="470">
        <v>0.17600000000000002</v>
      </c>
      <c r="M15" s="471">
        <v>0.14699999999999999</v>
      </c>
      <c r="N15" s="282">
        <f t="shared" si="1"/>
        <v>171.86</v>
      </c>
      <c r="O15" s="283">
        <f t="shared" si="2"/>
        <v>973.90800000000013</v>
      </c>
      <c r="P15" s="283">
        <f t="shared" si="2"/>
        <v>584.14400000000001</v>
      </c>
      <c r="Q15" s="283">
        <f t="shared" si="3"/>
        <v>11637.472000000002</v>
      </c>
      <c r="R15" s="283">
        <f t="shared" si="4"/>
        <v>12221.616000000002</v>
      </c>
      <c r="S15" s="283">
        <f t="shared" si="5"/>
        <v>12960.99</v>
      </c>
      <c r="U15" s="498"/>
    </row>
    <row r="16" spans="1:21" ht="24.95" customHeight="1" x14ac:dyDescent="0.2">
      <c r="A16" s="284" t="s">
        <v>127</v>
      </c>
      <c r="B16" s="285" t="s">
        <v>541</v>
      </c>
      <c r="C16" s="286" t="s">
        <v>285</v>
      </c>
      <c r="D16" s="279">
        <v>261031</v>
      </c>
      <c r="E16" s="279">
        <v>7949</v>
      </c>
      <c r="F16" s="279">
        <v>42196</v>
      </c>
      <c r="G16" s="279">
        <v>8670</v>
      </c>
      <c r="H16" s="279">
        <v>151812</v>
      </c>
      <c r="I16" s="279">
        <v>50404</v>
      </c>
      <c r="J16" s="279">
        <f t="shared" si="0"/>
        <v>202678</v>
      </c>
      <c r="K16" s="470">
        <v>4.2000000000000003E-2</v>
      </c>
      <c r="L16" s="470">
        <v>0.16399999999999998</v>
      </c>
      <c r="M16" s="471">
        <v>0.13400000000000001</v>
      </c>
      <c r="N16" s="282">
        <f t="shared" si="1"/>
        <v>333.858</v>
      </c>
      <c r="O16" s="283">
        <f t="shared" si="2"/>
        <v>1772.2320000000002</v>
      </c>
      <c r="P16" s="283">
        <f t="shared" si="2"/>
        <v>1421.8799999999999</v>
      </c>
      <c r="Q16" s="283">
        <f t="shared" si="3"/>
        <v>24897.167999999998</v>
      </c>
      <c r="R16" s="283">
        <f t="shared" si="4"/>
        <v>26319.047999999999</v>
      </c>
      <c r="S16" s="283">
        <f t="shared" si="5"/>
        <v>27158.852000000003</v>
      </c>
      <c r="U16" s="498"/>
    </row>
    <row r="17" spans="1:21" ht="24.95" customHeight="1" x14ac:dyDescent="0.2">
      <c r="A17" s="284" t="s">
        <v>106</v>
      </c>
      <c r="B17" s="285" t="s">
        <v>20</v>
      </c>
      <c r="C17" s="286" t="s">
        <v>285</v>
      </c>
      <c r="D17" s="279">
        <v>89416</v>
      </c>
      <c r="E17" s="279">
        <v>2664</v>
      </c>
      <c r="F17" s="279">
        <v>15414</v>
      </c>
      <c r="G17" s="279">
        <v>4277</v>
      </c>
      <c r="H17" s="279">
        <v>49683</v>
      </c>
      <c r="I17" s="279">
        <v>17378</v>
      </c>
      <c r="J17" s="279">
        <f t="shared" si="0"/>
        <v>69374</v>
      </c>
      <c r="K17" s="470">
        <v>4.2999999999999997E-2</v>
      </c>
      <c r="L17" s="470">
        <v>0.19</v>
      </c>
      <c r="M17" s="471">
        <v>0.154</v>
      </c>
      <c r="N17" s="282">
        <f t="shared" si="1"/>
        <v>114.55199999999999</v>
      </c>
      <c r="O17" s="283">
        <f t="shared" si="2"/>
        <v>662.80199999999991</v>
      </c>
      <c r="P17" s="283">
        <f t="shared" si="2"/>
        <v>812.63</v>
      </c>
      <c r="Q17" s="283">
        <f t="shared" si="3"/>
        <v>9439.77</v>
      </c>
      <c r="R17" s="283">
        <f t="shared" si="4"/>
        <v>10252.4</v>
      </c>
      <c r="S17" s="283">
        <f t="shared" si="5"/>
        <v>10683.596</v>
      </c>
      <c r="U17" s="498"/>
    </row>
    <row r="18" spans="1:21" ht="24.95" customHeight="1" x14ac:dyDescent="0.2">
      <c r="A18" s="284" t="s">
        <v>51</v>
      </c>
      <c r="B18" s="285" t="s">
        <v>14</v>
      </c>
      <c r="C18" s="286" t="s">
        <v>285</v>
      </c>
      <c r="D18" s="279">
        <v>205097</v>
      </c>
      <c r="E18" s="279">
        <v>7596</v>
      </c>
      <c r="F18" s="279">
        <v>43710</v>
      </c>
      <c r="G18" s="279">
        <v>8086</v>
      </c>
      <c r="H18" s="279">
        <v>118904</v>
      </c>
      <c r="I18" s="279">
        <v>26801</v>
      </c>
      <c r="J18" s="279">
        <f t="shared" si="0"/>
        <v>170700</v>
      </c>
      <c r="K18" s="470">
        <v>4.5999999999999999E-2</v>
      </c>
      <c r="L18" s="470">
        <v>0.13800000000000001</v>
      </c>
      <c r="M18" s="471">
        <v>0.11</v>
      </c>
      <c r="N18" s="282">
        <f t="shared" si="1"/>
        <v>349.416</v>
      </c>
      <c r="O18" s="283">
        <f t="shared" si="2"/>
        <v>2010.6599999999999</v>
      </c>
      <c r="P18" s="283">
        <f t="shared" si="2"/>
        <v>1115.8680000000002</v>
      </c>
      <c r="Q18" s="283">
        <f t="shared" si="3"/>
        <v>16408.752</v>
      </c>
      <c r="R18" s="283">
        <f t="shared" si="4"/>
        <v>17524.62</v>
      </c>
      <c r="S18" s="283">
        <f t="shared" si="5"/>
        <v>18777</v>
      </c>
      <c r="U18" s="498"/>
    </row>
    <row r="19" spans="1:21" ht="24.95" customHeight="1" x14ac:dyDescent="0.2">
      <c r="A19" s="284" t="s">
        <v>128</v>
      </c>
      <c r="B19" s="285" t="s">
        <v>541</v>
      </c>
      <c r="C19" s="286" t="s">
        <v>285</v>
      </c>
      <c r="D19" s="279">
        <v>82815</v>
      </c>
      <c r="E19" s="279">
        <v>2442</v>
      </c>
      <c r="F19" s="279">
        <v>14220</v>
      </c>
      <c r="G19" s="279">
        <v>3391</v>
      </c>
      <c r="H19" s="279">
        <v>47240</v>
      </c>
      <c r="I19" s="279">
        <v>15522</v>
      </c>
      <c r="J19" s="279">
        <f t="shared" si="0"/>
        <v>64851</v>
      </c>
      <c r="K19" s="470">
        <v>4.4999999999999998E-2</v>
      </c>
      <c r="L19" s="470">
        <v>0.188</v>
      </c>
      <c r="M19" s="471">
        <v>0.151</v>
      </c>
      <c r="N19" s="282">
        <f t="shared" si="1"/>
        <v>109.89</v>
      </c>
      <c r="O19" s="283">
        <f t="shared" si="2"/>
        <v>639.9</v>
      </c>
      <c r="P19" s="283">
        <f t="shared" si="2"/>
        <v>637.50800000000004</v>
      </c>
      <c r="Q19" s="283">
        <f t="shared" si="3"/>
        <v>8881.1200000000008</v>
      </c>
      <c r="R19" s="283">
        <f t="shared" si="4"/>
        <v>9518.6280000000006</v>
      </c>
      <c r="S19" s="283">
        <f t="shared" si="5"/>
        <v>9792.5010000000002</v>
      </c>
      <c r="U19" s="498"/>
    </row>
    <row r="20" spans="1:21" ht="24.95" customHeight="1" x14ac:dyDescent="0.2">
      <c r="A20" s="284" t="s">
        <v>76</v>
      </c>
      <c r="B20" s="285" t="s">
        <v>476</v>
      </c>
      <c r="C20" s="286" t="s">
        <v>286</v>
      </c>
      <c r="D20" s="279">
        <v>10223</v>
      </c>
      <c r="E20" s="279">
        <v>304</v>
      </c>
      <c r="F20" s="279">
        <v>1809</v>
      </c>
      <c r="G20" s="279">
        <v>369</v>
      </c>
      <c r="H20" s="279">
        <v>6081</v>
      </c>
      <c r="I20" s="279">
        <v>1660</v>
      </c>
      <c r="J20" s="279">
        <f t="shared" si="0"/>
        <v>8259</v>
      </c>
      <c r="K20" s="470">
        <v>5.9000000000000004E-2</v>
      </c>
      <c r="L20" s="470">
        <v>0.127</v>
      </c>
      <c r="M20" s="471">
        <v>0.10800000000000001</v>
      </c>
      <c r="N20" s="282">
        <f t="shared" si="1"/>
        <v>17.936</v>
      </c>
      <c r="O20" s="283">
        <f t="shared" si="2"/>
        <v>106.73100000000001</v>
      </c>
      <c r="P20" s="283">
        <f t="shared" si="2"/>
        <v>46.863</v>
      </c>
      <c r="Q20" s="283">
        <f t="shared" si="3"/>
        <v>772.28700000000003</v>
      </c>
      <c r="R20" s="283">
        <f t="shared" si="4"/>
        <v>819.15000000000009</v>
      </c>
      <c r="S20" s="283">
        <f t="shared" si="5"/>
        <v>891.97200000000009</v>
      </c>
      <c r="U20" s="498"/>
    </row>
    <row r="21" spans="1:21" ht="24.95" customHeight="1" x14ac:dyDescent="0.2">
      <c r="A21" s="284" t="s">
        <v>70</v>
      </c>
      <c r="B21" s="285" t="s">
        <v>476</v>
      </c>
      <c r="C21" s="286" t="s">
        <v>286</v>
      </c>
      <c r="D21" s="279">
        <v>70401</v>
      </c>
      <c r="E21" s="279">
        <v>1851</v>
      </c>
      <c r="F21" s="279">
        <v>10468</v>
      </c>
      <c r="G21" s="279">
        <v>2189</v>
      </c>
      <c r="H21" s="279">
        <v>39113</v>
      </c>
      <c r="I21" s="279">
        <v>16780</v>
      </c>
      <c r="J21" s="279">
        <f t="shared" si="0"/>
        <v>51770</v>
      </c>
      <c r="K21" s="470">
        <v>0.05</v>
      </c>
      <c r="L21" s="470">
        <v>0.159</v>
      </c>
      <c r="M21" s="471">
        <v>0.13300000000000001</v>
      </c>
      <c r="N21" s="282">
        <f t="shared" si="1"/>
        <v>92.550000000000011</v>
      </c>
      <c r="O21" s="283">
        <f t="shared" si="2"/>
        <v>523.4</v>
      </c>
      <c r="P21" s="283">
        <f t="shared" si="2"/>
        <v>348.05099999999999</v>
      </c>
      <c r="Q21" s="283">
        <f t="shared" si="3"/>
        <v>6218.9669999999996</v>
      </c>
      <c r="R21" s="283">
        <f t="shared" si="4"/>
        <v>6567.018</v>
      </c>
      <c r="S21" s="283">
        <f t="shared" si="5"/>
        <v>6885.4100000000008</v>
      </c>
      <c r="U21" s="498"/>
    </row>
    <row r="22" spans="1:21" ht="24.95" customHeight="1" x14ac:dyDescent="0.2">
      <c r="A22" s="284" t="s">
        <v>52</v>
      </c>
      <c r="B22" s="285" t="s">
        <v>14</v>
      </c>
      <c r="C22" s="286" t="s">
        <v>286</v>
      </c>
      <c r="D22" s="279">
        <v>23611</v>
      </c>
      <c r="E22" s="279">
        <v>641</v>
      </c>
      <c r="F22" s="279">
        <v>3676</v>
      </c>
      <c r="G22" s="279">
        <v>741</v>
      </c>
      <c r="H22" s="279">
        <v>13856</v>
      </c>
      <c r="I22" s="279">
        <v>4697</v>
      </c>
      <c r="J22" s="279">
        <f t="shared" si="0"/>
        <v>18273</v>
      </c>
      <c r="K22" s="470">
        <v>5.0999999999999997E-2</v>
      </c>
      <c r="L22" s="470">
        <v>0.156</v>
      </c>
      <c r="M22" s="471">
        <v>0.129</v>
      </c>
      <c r="N22" s="282">
        <f t="shared" si="1"/>
        <v>32.690999999999995</v>
      </c>
      <c r="O22" s="283">
        <f t="shared" si="2"/>
        <v>187.476</v>
      </c>
      <c r="P22" s="283">
        <f t="shared" si="2"/>
        <v>115.596</v>
      </c>
      <c r="Q22" s="283">
        <f t="shared" si="3"/>
        <v>2161.5360000000001</v>
      </c>
      <c r="R22" s="283">
        <f t="shared" si="4"/>
        <v>2277.1320000000001</v>
      </c>
      <c r="S22" s="283">
        <f t="shared" si="5"/>
        <v>2357.2170000000001</v>
      </c>
      <c r="U22" s="498"/>
    </row>
    <row r="23" spans="1:21" ht="24.95" customHeight="1" x14ac:dyDescent="0.2">
      <c r="A23" s="284" t="s">
        <v>107</v>
      </c>
      <c r="B23" s="285" t="s">
        <v>20</v>
      </c>
      <c r="C23" s="286" t="s">
        <v>285</v>
      </c>
      <c r="D23" s="279">
        <v>156381</v>
      </c>
      <c r="E23" s="279">
        <v>5312</v>
      </c>
      <c r="F23" s="279">
        <v>29446</v>
      </c>
      <c r="G23" s="279">
        <v>6165</v>
      </c>
      <c r="H23" s="279">
        <v>88745</v>
      </c>
      <c r="I23" s="279">
        <v>26713</v>
      </c>
      <c r="J23" s="279">
        <f t="shared" si="0"/>
        <v>124356</v>
      </c>
      <c r="K23" s="470">
        <v>4.4999999999999998E-2</v>
      </c>
      <c r="L23" s="470">
        <v>0.17600000000000002</v>
      </c>
      <c r="M23" s="471">
        <v>0.13900000000000001</v>
      </c>
      <c r="N23" s="282">
        <f t="shared" si="1"/>
        <v>239.04</v>
      </c>
      <c r="O23" s="283">
        <f t="shared" si="2"/>
        <v>1325.07</v>
      </c>
      <c r="P23" s="283">
        <f t="shared" si="2"/>
        <v>1085.0400000000002</v>
      </c>
      <c r="Q23" s="283">
        <f t="shared" si="3"/>
        <v>15619.12</v>
      </c>
      <c r="R23" s="283">
        <f t="shared" si="4"/>
        <v>16704.16</v>
      </c>
      <c r="S23" s="283">
        <f t="shared" si="5"/>
        <v>17285.484</v>
      </c>
      <c r="U23" s="498"/>
    </row>
    <row r="24" spans="1:21" ht="24.95" customHeight="1" x14ac:dyDescent="0.2">
      <c r="A24" s="284" t="s">
        <v>53</v>
      </c>
      <c r="B24" s="285" t="s">
        <v>14</v>
      </c>
      <c r="C24" s="286" t="s">
        <v>285</v>
      </c>
      <c r="D24" s="279">
        <v>74538</v>
      </c>
      <c r="E24" s="279">
        <v>2020</v>
      </c>
      <c r="F24" s="279">
        <v>12162</v>
      </c>
      <c r="G24" s="279">
        <v>2179</v>
      </c>
      <c r="H24" s="279">
        <v>39747</v>
      </c>
      <c r="I24" s="279">
        <v>18430</v>
      </c>
      <c r="J24" s="279">
        <f t="shared" si="0"/>
        <v>54088</v>
      </c>
      <c r="K24" s="470">
        <v>8.3000000000000004E-2</v>
      </c>
      <c r="L24" s="470">
        <v>0.17600000000000002</v>
      </c>
      <c r="M24" s="471">
        <v>0.151</v>
      </c>
      <c r="N24" s="282">
        <f t="shared" si="1"/>
        <v>167.66</v>
      </c>
      <c r="O24" s="283">
        <f t="shared" si="2"/>
        <v>1009.446</v>
      </c>
      <c r="P24" s="283">
        <f t="shared" si="2"/>
        <v>383.50400000000002</v>
      </c>
      <c r="Q24" s="283">
        <f t="shared" si="3"/>
        <v>6995.4720000000007</v>
      </c>
      <c r="R24" s="283">
        <f t="shared" si="4"/>
        <v>7378.9760000000006</v>
      </c>
      <c r="S24" s="283">
        <f t="shared" si="5"/>
        <v>8167.2879999999996</v>
      </c>
      <c r="U24" s="498"/>
    </row>
    <row r="25" spans="1:21" ht="24.95" customHeight="1" x14ac:dyDescent="0.2">
      <c r="A25" s="284" t="s">
        <v>129</v>
      </c>
      <c r="B25" s="285" t="s">
        <v>541</v>
      </c>
      <c r="C25" s="286" t="s">
        <v>286</v>
      </c>
      <c r="D25" s="279">
        <v>27935</v>
      </c>
      <c r="E25" s="279">
        <v>713</v>
      </c>
      <c r="F25" s="279">
        <v>4155</v>
      </c>
      <c r="G25" s="279">
        <v>819</v>
      </c>
      <c r="H25" s="279">
        <v>14271</v>
      </c>
      <c r="I25" s="279">
        <v>7977</v>
      </c>
      <c r="J25" s="279">
        <f t="shared" si="0"/>
        <v>19245</v>
      </c>
      <c r="K25" s="470">
        <v>5.7000000000000002E-2</v>
      </c>
      <c r="L25" s="470">
        <v>0.18100000000000002</v>
      </c>
      <c r="M25" s="471">
        <v>0.15</v>
      </c>
      <c r="N25" s="282">
        <f t="shared" si="1"/>
        <v>40.640999999999998</v>
      </c>
      <c r="O25" s="283">
        <f t="shared" si="2"/>
        <v>236.83500000000001</v>
      </c>
      <c r="P25" s="283">
        <f t="shared" si="2"/>
        <v>148.239</v>
      </c>
      <c r="Q25" s="283">
        <f t="shared" si="3"/>
        <v>2583.0510000000004</v>
      </c>
      <c r="R25" s="283">
        <f t="shared" si="4"/>
        <v>2731.2900000000004</v>
      </c>
      <c r="S25" s="283">
        <f t="shared" si="5"/>
        <v>2886.75</v>
      </c>
      <c r="U25" s="498"/>
    </row>
    <row r="26" spans="1:21" ht="24.95" customHeight="1" x14ac:dyDescent="0.2">
      <c r="A26" s="284" t="s">
        <v>77</v>
      </c>
      <c r="B26" s="285" t="s">
        <v>476</v>
      </c>
      <c r="C26" s="286" t="s">
        <v>286</v>
      </c>
      <c r="D26" s="279">
        <v>14297</v>
      </c>
      <c r="E26" s="279">
        <v>475</v>
      </c>
      <c r="F26" s="279">
        <v>2510</v>
      </c>
      <c r="G26" s="279">
        <v>474</v>
      </c>
      <c r="H26" s="279">
        <v>7465</v>
      </c>
      <c r="I26" s="279">
        <v>3373</v>
      </c>
      <c r="J26" s="279">
        <f t="shared" si="0"/>
        <v>10449</v>
      </c>
      <c r="K26" s="470">
        <v>0.06</v>
      </c>
      <c r="L26" s="470">
        <v>0.16899999999999998</v>
      </c>
      <c r="M26" s="471">
        <v>0.13900000000000001</v>
      </c>
      <c r="N26" s="282">
        <f t="shared" si="1"/>
        <v>28.5</v>
      </c>
      <c r="O26" s="283">
        <f t="shared" si="2"/>
        <v>150.6</v>
      </c>
      <c r="P26" s="283">
        <f t="shared" si="2"/>
        <v>80.105999999999995</v>
      </c>
      <c r="Q26" s="283">
        <f t="shared" si="3"/>
        <v>1261.5849999999998</v>
      </c>
      <c r="R26" s="283">
        <f t="shared" si="4"/>
        <v>1341.6909999999998</v>
      </c>
      <c r="S26" s="283">
        <f t="shared" si="5"/>
        <v>1452.4110000000001</v>
      </c>
      <c r="U26" s="498"/>
    </row>
    <row r="27" spans="1:21" ht="24.95" customHeight="1" x14ac:dyDescent="0.2">
      <c r="A27" s="284" t="s">
        <v>130</v>
      </c>
      <c r="B27" s="285" t="s">
        <v>541</v>
      </c>
      <c r="C27" s="286" t="s">
        <v>286</v>
      </c>
      <c r="D27" s="279">
        <v>11140</v>
      </c>
      <c r="E27" s="279">
        <v>269</v>
      </c>
      <c r="F27" s="279">
        <v>1649</v>
      </c>
      <c r="G27" s="279">
        <v>320</v>
      </c>
      <c r="H27" s="279">
        <v>5602</v>
      </c>
      <c r="I27" s="279">
        <v>3300</v>
      </c>
      <c r="J27" s="279">
        <f t="shared" si="0"/>
        <v>7571</v>
      </c>
      <c r="K27" s="470">
        <v>7.400000000000001E-2</v>
      </c>
      <c r="L27" s="470">
        <v>0.17699999999999999</v>
      </c>
      <c r="M27" s="471">
        <v>0.151</v>
      </c>
      <c r="N27" s="282">
        <f t="shared" si="1"/>
        <v>19.906000000000002</v>
      </c>
      <c r="O27" s="283">
        <f t="shared" si="2"/>
        <v>122.02600000000001</v>
      </c>
      <c r="P27" s="283">
        <f t="shared" si="2"/>
        <v>56.64</v>
      </c>
      <c r="Q27" s="283">
        <f t="shared" si="3"/>
        <v>991.55399999999997</v>
      </c>
      <c r="R27" s="283">
        <f t="shared" si="4"/>
        <v>1048.194</v>
      </c>
      <c r="S27" s="283">
        <f t="shared" si="5"/>
        <v>1143.221</v>
      </c>
      <c r="U27" s="498"/>
    </row>
    <row r="28" spans="1:21" ht="24.95" customHeight="1" x14ac:dyDescent="0.2">
      <c r="A28" s="284" t="s">
        <v>108</v>
      </c>
      <c r="B28" s="285" t="s">
        <v>20</v>
      </c>
      <c r="C28" s="286" t="s">
        <v>286</v>
      </c>
      <c r="D28" s="279">
        <v>98101</v>
      </c>
      <c r="E28" s="279">
        <v>3248</v>
      </c>
      <c r="F28" s="279">
        <v>17863</v>
      </c>
      <c r="G28" s="279">
        <v>4324</v>
      </c>
      <c r="H28" s="279">
        <v>54974</v>
      </c>
      <c r="I28" s="279">
        <v>17692</v>
      </c>
      <c r="J28" s="279">
        <f t="shared" si="0"/>
        <v>77161</v>
      </c>
      <c r="K28" s="470">
        <v>3.9E-2</v>
      </c>
      <c r="L28" s="470">
        <v>0.16699999999999998</v>
      </c>
      <c r="M28" s="471">
        <v>0.13200000000000001</v>
      </c>
      <c r="N28" s="282">
        <f t="shared" si="1"/>
        <v>126.672</v>
      </c>
      <c r="O28" s="283">
        <f t="shared" si="2"/>
        <v>696.65700000000004</v>
      </c>
      <c r="P28" s="283">
        <f t="shared" si="2"/>
        <v>722.10799999999995</v>
      </c>
      <c r="Q28" s="283">
        <f t="shared" si="3"/>
        <v>9180.6579999999994</v>
      </c>
      <c r="R28" s="283">
        <f t="shared" si="4"/>
        <v>9902.7659999999996</v>
      </c>
      <c r="S28" s="283">
        <f t="shared" si="5"/>
        <v>10185.252</v>
      </c>
      <c r="U28" s="498"/>
    </row>
    <row r="29" spans="1:21" ht="24.95" customHeight="1" x14ac:dyDescent="0.2">
      <c r="A29" s="284" t="s">
        <v>94</v>
      </c>
      <c r="B29" s="285" t="s">
        <v>18</v>
      </c>
      <c r="C29" s="286" t="s">
        <v>286</v>
      </c>
      <c r="D29" s="279">
        <v>57089</v>
      </c>
      <c r="E29" s="279">
        <v>1851</v>
      </c>
      <c r="F29" s="279">
        <v>10377</v>
      </c>
      <c r="G29" s="279">
        <v>2229</v>
      </c>
      <c r="H29" s="279">
        <v>32151</v>
      </c>
      <c r="I29" s="279">
        <v>10481</v>
      </c>
      <c r="J29" s="279">
        <f t="shared" si="0"/>
        <v>44757</v>
      </c>
      <c r="K29" s="470">
        <v>5.7999999999999996E-2</v>
      </c>
      <c r="L29" s="470">
        <v>0.191</v>
      </c>
      <c r="M29" s="471">
        <v>0.153</v>
      </c>
      <c r="N29" s="282">
        <f t="shared" si="1"/>
        <v>107.35799999999999</v>
      </c>
      <c r="O29" s="283">
        <f t="shared" si="2"/>
        <v>601.86599999999999</v>
      </c>
      <c r="P29" s="283">
        <f t="shared" si="2"/>
        <v>425.73900000000003</v>
      </c>
      <c r="Q29" s="283">
        <f t="shared" si="3"/>
        <v>6140.8410000000003</v>
      </c>
      <c r="R29" s="283">
        <f t="shared" si="4"/>
        <v>6566.58</v>
      </c>
      <c r="S29" s="283">
        <f t="shared" si="5"/>
        <v>6847.8209999999999</v>
      </c>
      <c r="U29" s="498"/>
    </row>
    <row r="30" spans="1:21" ht="24.95" customHeight="1" x14ac:dyDescent="0.2">
      <c r="A30" s="284" t="s">
        <v>78</v>
      </c>
      <c r="B30" s="285" t="s">
        <v>476</v>
      </c>
      <c r="C30" s="286" t="s">
        <v>285</v>
      </c>
      <c r="D30" s="279">
        <v>102826</v>
      </c>
      <c r="E30" s="279">
        <v>4424</v>
      </c>
      <c r="F30" s="279">
        <v>21919</v>
      </c>
      <c r="G30" s="279">
        <v>4746</v>
      </c>
      <c r="H30" s="279">
        <v>54410</v>
      </c>
      <c r="I30" s="279">
        <v>17327</v>
      </c>
      <c r="J30" s="279">
        <f t="shared" si="0"/>
        <v>81075</v>
      </c>
      <c r="K30" s="470">
        <v>4.5999999999999999E-2</v>
      </c>
      <c r="L30" s="470">
        <v>0.14599999999999999</v>
      </c>
      <c r="M30" s="471">
        <v>0.11800000000000001</v>
      </c>
      <c r="N30" s="282">
        <f t="shared" si="1"/>
        <v>203.50399999999999</v>
      </c>
      <c r="O30" s="283">
        <f t="shared" si="2"/>
        <v>1008.274</v>
      </c>
      <c r="P30" s="283">
        <f t="shared" si="2"/>
        <v>692.91599999999994</v>
      </c>
      <c r="Q30" s="283">
        <f t="shared" si="3"/>
        <v>7943.86</v>
      </c>
      <c r="R30" s="283">
        <f t="shared" si="4"/>
        <v>8636.7759999999998</v>
      </c>
      <c r="S30" s="283">
        <f t="shared" si="5"/>
        <v>9566.85</v>
      </c>
      <c r="U30" s="498"/>
    </row>
    <row r="31" spans="1:21" ht="24.95" customHeight="1" x14ac:dyDescent="0.2">
      <c r="A31" s="284" t="s">
        <v>46</v>
      </c>
      <c r="B31" s="285" t="s">
        <v>13</v>
      </c>
      <c r="C31" s="286" t="s">
        <v>285</v>
      </c>
      <c r="D31" s="279">
        <v>327021</v>
      </c>
      <c r="E31" s="279">
        <v>16003</v>
      </c>
      <c r="F31" s="279">
        <v>70863</v>
      </c>
      <c r="G31" s="279">
        <v>14982</v>
      </c>
      <c r="H31" s="279">
        <v>185227</v>
      </c>
      <c r="I31" s="279">
        <v>39946</v>
      </c>
      <c r="J31" s="279">
        <f t="shared" si="0"/>
        <v>271072</v>
      </c>
      <c r="K31" s="470">
        <v>3.7000000000000005E-2</v>
      </c>
      <c r="L31" s="470">
        <v>0.13800000000000001</v>
      </c>
      <c r="M31" s="471">
        <v>0.10800000000000001</v>
      </c>
      <c r="N31" s="282">
        <f t="shared" si="1"/>
        <v>592.1110000000001</v>
      </c>
      <c r="O31" s="283">
        <f t="shared" si="2"/>
        <v>2621.9310000000005</v>
      </c>
      <c r="P31" s="283">
        <f t="shared" si="2"/>
        <v>2067.5160000000001</v>
      </c>
      <c r="Q31" s="283">
        <f t="shared" si="3"/>
        <v>25561.326000000001</v>
      </c>
      <c r="R31" s="283">
        <f t="shared" si="4"/>
        <v>27628.842000000001</v>
      </c>
      <c r="S31" s="283">
        <f t="shared" si="5"/>
        <v>29275.776000000002</v>
      </c>
      <c r="U31" s="498"/>
    </row>
    <row r="32" spans="1:21" ht="24.95" customHeight="1" x14ac:dyDescent="0.2">
      <c r="A32" s="284" t="s">
        <v>79</v>
      </c>
      <c r="B32" s="285" t="s">
        <v>476</v>
      </c>
      <c r="C32" s="286" t="s">
        <v>285</v>
      </c>
      <c r="D32" s="279">
        <v>26764</v>
      </c>
      <c r="E32" s="279">
        <v>837</v>
      </c>
      <c r="F32" s="279">
        <v>4773</v>
      </c>
      <c r="G32" s="279">
        <v>940</v>
      </c>
      <c r="H32" s="279">
        <v>16030</v>
      </c>
      <c r="I32" s="279">
        <v>4184</v>
      </c>
      <c r="J32" s="279">
        <f t="shared" si="0"/>
        <v>21743</v>
      </c>
      <c r="K32" s="470">
        <v>5.5E-2</v>
      </c>
      <c r="L32" s="470">
        <v>0.14699999999999999</v>
      </c>
      <c r="M32" s="471">
        <v>0.122</v>
      </c>
      <c r="N32" s="282">
        <f t="shared" si="1"/>
        <v>46.035000000000004</v>
      </c>
      <c r="O32" s="283">
        <f t="shared" si="2"/>
        <v>262.51499999999999</v>
      </c>
      <c r="P32" s="283">
        <f t="shared" si="2"/>
        <v>138.17999999999998</v>
      </c>
      <c r="Q32" s="283">
        <f t="shared" si="3"/>
        <v>2356.41</v>
      </c>
      <c r="R32" s="283">
        <f t="shared" si="4"/>
        <v>2494.5899999999997</v>
      </c>
      <c r="S32" s="283">
        <f t="shared" si="5"/>
        <v>2652.6459999999997</v>
      </c>
      <c r="U32" s="498"/>
    </row>
    <row r="33" spans="1:21" ht="24.95" customHeight="1" x14ac:dyDescent="0.2">
      <c r="A33" s="284" t="s">
        <v>80</v>
      </c>
      <c r="B33" s="285" t="s">
        <v>476</v>
      </c>
      <c r="C33" s="286" t="s">
        <v>286</v>
      </c>
      <c r="D33" s="279">
        <v>36791</v>
      </c>
      <c r="E33" s="279">
        <v>1120</v>
      </c>
      <c r="F33" s="279">
        <v>5869</v>
      </c>
      <c r="G33" s="279">
        <v>904</v>
      </c>
      <c r="H33" s="279">
        <v>21382</v>
      </c>
      <c r="I33" s="279">
        <v>7516</v>
      </c>
      <c r="J33" s="279">
        <f t="shared" si="0"/>
        <v>28155</v>
      </c>
      <c r="K33" s="470">
        <v>6.8000000000000005E-2</v>
      </c>
      <c r="L33" s="470">
        <v>0.17199999999999999</v>
      </c>
      <c r="M33" s="471">
        <v>0.14699999999999999</v>
      </c>
      <c r="N33" s="282">
        <f t="shared" si="1"/>
        <v>76.160000000000011</v>
      </c>
      <c r="O33" s="283">
        <f t="shared" si="2"/>
        <v>399.09200000000004</v>
      </c>
      <c r="P33" s="283">
        <f t="shared" si="2"/>
        <v>155.488</v>
      </c>
      <c r="Q33" s="283">
        <f t="shared" si="3"/>
        <v>3677.7039999999997</v>
      </c>
      <c r="R33" s="283">
        <f t="shared" si="4"/>
        <v>3833.1919999999996</v>
      </c>
      <c r="S33" s="283">
        <f t="shared" si="5"/>
        <v>4138.7849999999999</v>
      </c>
      <c r="U33" s="498"/>
    </row>
    <row r="34" spans="1:21" ht="24.95" customHeight="1" x14ac:dyDescent="0.2">
      <c r="A34" s="284" t="s">
        <v>54</v>
      </c>
      <c r="B34" s="285" t="s">
        <v>14</v>
      </c>
      <c r="C34" s="286" t="s">
        <v>285</v>
      </c>
      <c r="D34" s="279">
        <v>166753</v>
      </c>
      <c r="E34" s="279">
        <v>5438</v>
      </c>
      <c r="F34" s="279">
        <v>30696</v>
      </c>
      <c r="G34" s="279">
        <v>6052</v>
      </c>
      <c r="H34" s="279">
        <v>95685</v>
      </c>
      <c r="I34" s="279">
        <v>28882</v>
      </c>
      <c r="J34" s="279">
        <f t="shared" si="0"/>
        <v>132433</v>
      </c>
      <c r="K34" s="470">
        <v>0.05</v>
      </c>
      <c r="L34" s="470">
        <v>0.16500000000000001</v>
      </c>
      <c r="M34" s="471">
        <v>0.13300000000000001</v>
      </c>
      <c r="N34" s="282">
        <f t="shared" si="1"/>
        <v>271.90000000000003</v>
      </c>
      <c r="O34" s="283">
        <f t="shared" si="2"/>
        <v>1534.8000000000002</v>
      </c>
      <c r="P34" s="283">
        <f t="shared" si="2"/>
        <v>998.58</v>
      </c>
      <c r="Q34" s="283">
        <f t="shared" si="3"/>
        <v>15788.025000000001</v>
      </c>
      <c r="R34" s="283">
        <f t="shared" si="4"/>
        <v>16786.605000000003</v>
      </c>
      <c r="S34" s="283">
        <f t="shared" si="5"/>
        <v>17613.589</v>
      </c>
      <c r="U34" s="498"/>
    </row>
    <row r="35" spans="1:21" ht="24.95" customHeight="1" x14ac:dyDescent="0.2">
      <c r="A35" s="284" t="s">
        <v>65</v>
      </c>
      <c r="B35" s="285" t="s">
        <v>14</v>
      </c>
      <c r="C35" s="286" t="s">
        <v>285</v>
      </c>
      <c r="D35" s="279">
        <v>42234</v>
      </c>
      <c r="E35" s="279">
        <v>1224</v>
      </c>
      <c r="F35" s="279">
        <v>7346</v>
      </c>
      <c r="G35" s="279">
        <v>1510</v>
      </c>
      <c r="H35" s="279">
        <v>23740</v>
      </c>
      <c r="I35" s="279">
        <v>8414</v>
      </c>
      <c r="J35" s="279">
        <f t="shared" si="0"/>
        <v>32596</v>
      </c>
      <c r="K35" s="470">
        <v>5.9000000000000004E-2</v>
      </c>
      <c r="L35" s="470">
        <v>0.156</v>
      </c>
      <c r="M35" s="471">
        <v>0.13</v>
      </c>
      <c r="N35" s="282">
        <f t="shared" si="1"/>
        <v>72.216000000000008</v>
      </c>
      <c r="O35" s="283">
        <f t="shared" si="2"/>
        <v>433.41400000000004</v>
      </c>
      <c r="P35" s="283">
        <f t="shared" si="2"/>
        <v>235.56</v>
      </c>
      <c r="Q35" s="283">
        <f t="shared" si="3"/>
        <v>3703.44</v>
      </c>
      <c r="R35" s="283">
        <f t="shared" si="4"/>
        <v>3939</v>
      </c>
      <c r="S35" s="283">
        <f t="shared" si="5"/>
        <v>4237.4800000000005</v>
      </c>
      <c r="U35" s="498"/>
    </row>
    <row r="36" spans="1:21" ht="24.95" customHeight="1" x14ac:dyDescent="0.2">
      <c r="A36" s="284" t="s">
        <v>95</v>
      </c>
      <c r="B36" s="285" t="s">
        <v>18</v>
      </c>
      <c r="C36" s="286" t="s">
        <v>286</v>
      </c>
      <c r="D36" s="279">
        <v>59864</v>
      </c>
      <c r="E36" s="279">
        <v>2266</v>
      </c>
      <c r="F36" s="279">
        <v>12205</v>
      </c>
      <c r="G36" s="279">
        <v>2425</v>
      </c>
      <c r="H36" s="279">
        <v>32716</v>
      </c>
      <c r="I36" s="279">
        <v>10252</v>
      </c>
      <c r="J36" s="279">
        <f t="shared" si="0"/>
        <v>47346</v>
      </c>
      <c r="K36" s="470">
        <v>7.0000000000000007E-2</v>
      </c>
      <c r="L36" s="470">
        <v>0.27399999999999997</v>
      </c>
      <c r="M36" s="471">
        <v>0.214</v>
      </c>
      <c r="N36" s="282">
        <f t="shared" si="1"/>
        <v>158.62</v>
      </c>
      <c r="O36" s="283">
        <f t="shared" si="2"/>
        <v>854.35000000000014</v>
      </c>
      <c r="P36" s="283">
        <f t="shared" si="2"/>
        <v>664.44999999999993</v>
      </c>
      <c r="Q36" s="283">
        <f t="shared" si="3"/>
        <v>8964.1839999999993</v>
      </c>
      <c r="R36" s="283">
        <f t="shared" si="4"/>
        <v>9628.634</v>
      </c>
      <c r="S36" s="283">
        <f t="shared" si="5"/>
        <v>10132.044</v>
      </c>
      <c r="U36" s="498"/>
    </row>
    <row r="37" spans="1:21" ht="24.95" customHeight="1" x14ac:dyDescent="0.2">
      <c r="A37" s="284" t="s">
        <v>47</v>
      </c>
      <c r="B37" s="285" t="s">
        <v>13</v>
      </c>
      <c r="C37" s="286" t="s">
        <v>285</v>
      </c>
      <c r="D37" s="279">
        <v>307438</v>
      </c>
      <c r="E37" s="279">
        <v>13237</v>
      </c>
      <c r="F37" s="279">
        <v>59030</v>
      </c>
      <c r="G37" s="279">
        <v>14323</v>
      </c>
      <c r="H37" s="279">
        <v>183670</v>
      </c>
      <c r="I37" s="279">
        <v>37178</v>
      </c>
      <c r="J37" s="279">
        <f t="shared" si="0"/>
        <v>257023</v>
      </c>
      <c r="K37" s="470">
        <v>4.9000000000000002E-2</v>
      </c>
      <c r="L37" s="470">
        <v>0.16800000000000001</v>
      </c>
      <c r="M37" s="471">
        <v>0.13699999999999998</v>
      </c>
      <c r="N37" s="282">
        <f t="shared" si="1"/>
        <v>648.61300000000006</v>
      </c>
      <c r="O37" s="283">
        <f t="shared" si="2"/>
        <v>2892.4700000000003</v>
      </c>
      <c r="P37" s="283">
        <f t="shared" si="2"/>
        <v>2406.2640000000001</v>
      </c>
      <c r="Q37" s="283">
        <f t="shared" si="3"/>
        <v>30856.560000000001</v>
      </c>
      <c r="R37" s="283">
        <f t="shared" si="4"/>
        <v>33262.824000000001</v>
      </c>
      <c r="S37" s="283">
        <f t="shared" si="5"/>
        <v>35212.150999999998</v>
      </c>
      <c r="U37" s="498"/>
    </row>
    <row r="38" spans="1:21" ht="24.95" customHeight="1" x14ac:dyDescent="0.2">
      <c r="A38" s="284" t="s">
        <v>96</v>
      </c>
      <c r="B38" s="285" t="s">
        <v>18</v>
      </c>
      <c r="C38" s="286" t="s">
        <v>285</v>
      </c>
      <c r="D38" s="279">
        <v>54133</v>
      </c>
      <c r="E38" s="279">
        <v>1853</v>
      </c>
      <c r="F38" s="279">
        <v>10645</v>
      </c>
      <c r="G38" s="279">
        <v>1974</v>
      </c>
      <c r="H38" s="279">
        <v>29587</v>
      </c>
      <c r="I38" s="279">
        <v>10074</v>
      </c>
      <c r="J38" s="279">
        <f t="shared" si="0"/>
        <v>42206</v>
      </c>
      <c r="K38" s="470">
        <v>3.5000000000000003E-2</v>
      </c>
      <c r="L38" s="470">
        <v>0.156</v>
      </c>
      <c r="M38" s="471">
        <v>0.122</v>
      </c>
      <c r="N38" s="282">
        <f t="shared" si="1"/>
        <v>64.855000000000004</v>
      </c>
      <c r="O38" s="283">
        <f t="shared" si="2"/>
        <v>372.57500000000005</v>
      </c>
      <c r="P38" s="283">
        <f t="shared" si="2"/>
        <v>307.94400000000002</v>
      </c>
      <c r="Q38" s="283">
        <f t="shared" si="3"/>
        <v>4615.5720000000001</v>
      </c>
      <c r="R38" s="283">
        <f t="shared" si="4"/>
        <v>4923.5160000000005</v>
      </c>
      <c r="S38" s="283">
        <f t="shared" si="5"/>
        <v>5149.1319999999996</v>
      </c>
      <c r="U38" s="498"/>
    </row>
    <row r="39" spans="1:21" ht="24.95" customHeight="1" x14ac:dyDescent="0.2">
      <c r="A39" s="284" t="s">
        <v>66</v>
      </c>
      <c r="B39" s="285" t="s">
        <v>14</v>
      </c>
      <c r="C39" s="286" t="s">
        <v>285</v>
      </c>
      <c r="D39" s="279">
        <v>373145</v>
      </c>
      <c r="E39" s="279">
        <v>13694</v>
      </c>
      <c r="F39" s="279">
        <v>73598</v>
      </c>
      <c r="G39" s="279">
        <v>15640</v>
      </c>
      <c r="H39" s="279">
        <v>212985</v>
      </c>
      <c r="I39" s="279">
        <v>57228</v>
      </c>
      <c r="J39" s="279">
        <f t="shared" si="0"/>
        <v>302223</v>
      </c>
      <c r="K39" s="470">
        <v>0.04</v>
      </c>
      <c r="L39" s="470">
        <v>0.16800000000000001</v>
      </c>
      <c r="M39" s="471">
        <v>0.13100000000000001</v>
      </c>
      <c r="N39" s="282">
        <f t="shared" si="1"/>
        <v>547.76</v>
      </c>
      <c r="O39" s="283">
        <f t="shared" si="2"/>
        <v>2943.92</v>
      </c>
      <c r="P39" s="283">
        <f t="shared" si="2"/>
        <v>2627.52</v>
      </c>
      <c r="Q39" s="283">
        <f t="shared" si="3"/>
        <v>35781.480000000003</v>
      </c>
      <c r="R39" s="283">
        <f t="shared" si="4"/>
        <v>38409</v>
      </c>
      <c r="S39" s="283">
        <f t="shared" si="5"/>
        <v>39591.213000000003</v>
      </c>
      <c r="U39" s="498"/>
    </row>
    <row r="40" spans="1:21" ht="24.95" customHeight="1" x14ac:dyDescent="0.2">
      <c r="A40" s="284" t="s">
        <v>55</v>
      </c>
      <c r="B40" s="285" t="s">
        <v>14</v>
      </c>
      <c r="C40" s="286" t="s">
        <v>285</v>
      </c>
      <c r="D40" s="279">
        <v>65736</v>
      </c>
      <c r="E40" s="279">
        <v>2179</v>
      </c>
      <c r="F40" s="279">
        <v>12414</v>
      </c>
      <c r="G40" s="279">
        <v>2499</v>
      </c>
      <c r="H40" s="279">
        <v>37923</v>
      </c>
      <c r="I40" s="279">
        <v>10721</v>
      </c>
      <c r="J40" s="279">
        <f t="shared" si="0"/>
        <v>52836</v>
      </c>
      <c r="K40" s="470">
        <v>5.5E-2</v>
      </c>
      <c r="L40" s="470">
        <v>0.17499999999999999</v>
      </c>
      <c r="M40" s="471">
        <v>0.14099999999999999</v>
      </c>
      <c r="N40" s="282">
        <f t="shared" si="1"/>
        <v>119.845</v>
      </c>
      <c r="O40" s="283">
        <f t="shared" si="2"/>
        <v>682.77</v>
      </c>
      <c r="P40" s="283">
        <f t="shared" si="2"/>
        <v>437.32499999999999</v>
      </c>
      <c r="Q40" s="283">
        <f t="shared" si="3"/>
        <v>6636.5249999999996</v>
      </c>
      <c r="R40" s="283">
        <f t="shared" si="4"/>
        <v>7073.8499999999995</v>
      </c>
      <c r="S40" s="283">
        <f t="shared" si="5"/>
        <v>7449.8759999999993</v>
      </c>
      <c r="U40" s="498"/>
    </row>
    <row r="41" spans="1:21" ht="24.95" customHeight="1" x14ac:dyDescent="0.2">
      <c r="A41" s="284" t="s">
        <v>109</v>
      </c>
      <c r="B41" s="285" t="s">
        <v>20</v>
      </c>
      <c r="C41" s="286" t="s">
        <v>285</v>
      </c>
      <c r="D41" s="279">
        <v>216693</v>
      </c>
      <c r="E41" s="279">
        <v>7637</v>
      </c>
      <c r="F41" s="279">
        <v>41496</v>
      </c>
      <c r="G41" s="279">
        <v>8421</v>
      </c>
      <c r="H41" s="279">
        <v>124990</v>
      </c>
      <c r="I41" s="279">
        <v>34149</v>
      </c>
      <c r="J41" s="279">
        <f t="shared" si="0"/>
        <v>174907</v>
      </c>
      <c r="K41" s="470">
        <v>4.4000000000000004E-2</v>
      </c>
      <c r="L41" s="470">
        <v>0.16300000000000001</v>
      </c>
      <c r="M41" s="471">
        <v>0.13</v>
      </c>
      <c r="N41" s="282">
        <f t="shared" si="1"/>
        <v>336.02800000000002</v>
      </c>
      <c r="O41" s="283">
        <f t="shared" si="2"/>
        <v>1825.8240000000001</v>
      </c>
      <c r="P41" s="283">
        <f t="shared" si="2"/>
        <v>1372.623</v>
      </c>
      <c r="Q41" s="283">
        <f t="shared" si="3"/>
        <v>20373.37</v>
      </c>
      <c r="R41" s="283">
        <f t="shared" si="4"/>
        <v>21745.992999999999</v>
      </c>
      <c r="S41" s="283">
        <f t="shared" si="5"/>
        <v>22737.91</v>
      </c>
      <c r="U41" s="498"/>
    </row>
    <row r="42" spans="1:21" ht="24.95" customHeight="1" x14ac:dyDescent="0.2">
      <c r="A42" s="284" t="s">
        <v>81</v>
      </c>
      <c r="B42" s="285" t="s">
        <v>476</v>
      </c>
      <c r="C42" s="286" t="s">
        <v>285</v>
      </c>
      <c r="D42" s="279">
        <v>11678</v>
      </c>
      <c r="E42" s="279">
        <v>344</v>
      </c>
      <c r="F42" s="279">
        <v>1915</v>
      </c>
      <c r="G42" s="279">
        <v>436</v>
      </c>
      <c r="H42" s="279">
        <v>6781</v>
      </c>
      <c r="I42" s="279">
        <v>2202</v>
      </c>
      <c r="J42" s="279">
        <f t="shared" si="0"/>
        <v>9132</v>
      </c>
      <c r="K42" s="470">
        <v>5.4000000000000006E-2</v>
      </c>
      <c r="L42" s="470">
        <v>0.13100000000000001</v>
      </c>
      <c r="M42" s="471">
        <v>0.111</v>
      </c>
      <c r="N42" s="282">
        <f t="shared" si="1"/>
        <v>18.576000000000001</v>
      </c>
      <c r="O42" s="283">
        <f t="shared" si="2"/>
        <v>103.41000000000001</v>
      </c>
      <c r="P42" s="283">
        <f t="shared" si="2"/>
        <v>57.116</v>
      </c>
      <c r="Q42" s="283">
        <f t="shared" si="3"/>
        <v>888.31100000000004</v>
      </c>
      <c r="R42" s="283">
        <f t="shared" si="4"/>
        <v>945.42700000000002</v>
      </c>
      <c r="S42" s="283">
        <f t="shared" si="5"/>
        <v>1013.652</v>
      </c>
      <c r="U42" s="498"/>
    </row>
    <row r="43" spans="1:21" ht="24.95" customHeight="1" x14ac:dyDescent="0.2">
      <c r="A43" s="284" t="s">
        <v>131</v>
      </c>
      <c r="B43" s="285" t="s">
        <v>541</v>
      </c>
      <c r="C43" s="286" t="s">
        <v>286</v>
      </c>
      <c r="D43" s="279">
        <v>8684</v>
      </c>
      <c r="E43" s="279">
        <v>270</v>
      </c>
      <c r="F43" s="279">
        <v>1538</v>
      </c>
      <c r="G43" s="279">
        <v>314</v>
      </c>
      <c r="H43" s="279">
        <v>4506</v>
      </c>
      <c r="I43" s="279">
        <v>2056</v>
      </c>
      <c r="J43" s="279">
        <f t="shared" si="0"/>
        <v>6358</v>
      </c>
      <c r="K43" s="470">
        <v>6.7000000000000004E-2</v>
      </c>
      <c r="L43" s="470">
        <v>0.20600000000000002</v>
      </c>
      <c r="M43" s="471">
        <v>0.16800000000000001</v>
      </c>
      <c r="N43" s="282">
        <f t="shared" si="1"/>
        <v>18.09</v>
      </c>
      <c r="O43" s="283">
        <f t="shared" si="2"/>
        <v>103.04600000000001</v>
      </c>
      <c r="P43" s="283">
        <f t="shared" si="2"/>
        <v>64.684000000000012</v>
      </c>
      <c r="Q43" s="283">
        <f t="shared" si="3"/>
        <v>928.2360000000001</v>
      </c>
      <c r="R43" s="283">
        <f t="shared" si="4"/>
        <v>992.92000000000007</v>
      </c>
      <c r="S43" s="283">
        <f t="shared" si="5"/>
        <v>1068.144</v>
      </c>
      <c r="U43" s="498"/>
    </row>
    <row r="44" spans="1:21" ht="24.95" customHeight="1" x14ac:dyDescent="0.2">
      <c r="A44" s="284" t="s">
        <v>56</v>
      </c>
      <c r="B44" s="285" t="s">
        <v>14</v>
      </c>
      <c r="C44" s="286" t="s">
        <v>286</v>
      </c>
      <c r="D44" s="279">
        <v>59315</v>
      </c>
      <c r="E44" s="279">
        <v>1744</v>
      </c>
      <c r="F44" s="279">
        <v>10048</v>
      </c>
      <c r="G44" s="279">
        <v>2579</v>
      </c>
      <c r="H44" s="279">
        <v>35346</v>
      </c>
      <c r="I44" s="279">
        <v>9598</v>
      </c>
      <c r="J44" s="279">
        <f t="shared" si="0"/>
        <v>47973</v>
      </c>
      <c r="K44" s="470">
        <v>5.2000000000000005E-2</v>
      </c>
      <c r="L44" s="470">
        <v>0.13100000000000001</v>
      </c>
      <c r="M44" s="471">
        <v>0.11</v>
      </c>
      <c r="N44" s="282">
        <f t="shared" si="1"/>
        <v>90.688000000000002</v>
      </c>
      <c r="O44" s="283">
        <f t="shared" si="2"/>
        <v>522.49600000000009</v>
      </c>
      <c r="P44" s="283">
        <f t="shared" si="2"/>
        <v>337.84899999999999</v>
      </c>
      <c r="Q44" s="283">
        <f t="shared" si="3"/>
        <v>4630.326</v>
      </c>
      <c r="R44" s="283">
        <f t="shared" si="4"/>
        <v>4968.1750000000002</v>
      </c>
      <c r="S44" s="283">
        <f t="shared" si="5"/>
        <v>5277.03</v>
      </c>
      <c r="U44" s="498"/>
    </row>
    <row r="45" spans="1:21" ht="24.95" customHeight="1" x14ac:dyDescent="0.2">
      <c r="A45" s="284" t="s">
        <v>97</v>
      </c>
      <c r="B45" s="285" t="s">
        <v>18</v>
      </c>
      <c r="C45" s="286" t="s">
        <v>286</v>
      </c>
      <c r="D45" s="279">
        <v>21072</v>
      </c>
      <c r="E45" s="279">
        <v>638</v>
      </c>
      <c r="F45" s="279">
        <v>3874</v>
      </c>
      <c r="G45" s="279">
        <v>793</v>
      </c>
      <c r="H45" s="279">
        <v>12480</v>
      </c>
      <c r="I45" s="279">
        <v>3287</v>
      </c>
      <c r="J45" s="279">
        <f t="shared" si="0"/>
        <v>17147</v>
      </c>
      <c r="K45" s="470">
        <v>8.1000000000000003E-2</v>
      </c>
      <c r="L45" s="470">
        <v>0.221</v>
      </c>
      <c r="M45" s="471">
        <v>0.18100000000000002</v>
      </c>
      <c r="N45" s="282">
        <f t="shared" si="1"/>
        <v>51.678000000000004</v>
      </c>
      <c r="O45" s="283">
        <f t="shared" si="2"/>
        <v>313.79399999999998</v>
      </c>
      <c r="P45" s="283">
        <f t="shared" si="2"/>
        <v>175.25300000000001</v>
      </c>
      <c r="Q45" s="283">
        <f t="shared" si="3"/>
        <v>2758.08</v>
      </c>
      <c r="R45" s="283">
        <f t="shared" si="4"/>
        <v>2933.3330000000001</v>
      </c>
      <c r="S45" s="283">
        <f t="shared" si="5"/>
        <v>3103.6070000000004</v>
      </c>
      <c r="U45" s="498"/>
    </row>
    <row r="46" spans="1:21" ht="24.95" customHeight="1" x14ac:dyDescent="0.2">
      <c r="A46" s="284" t="s">
        <v>115</v>
      </c>
      <c r="B46" s="285" t="s">
        <v>21</v>
      </c>
      <c r="C46" s="286" t="s">
        <v>285</v>
      </c>
      <c r="D46" s="279">
        <v>525464</v>
      </c>
      <c r="E46" s="279">
        <v>18603</v>
      </c>
      <c r="F46" s="279">
        <v>97266</v>
      </c>
      <c r="G46" s="279">
        <v>26965</v>
      </c>
      <c r="H46" s="279">
        <v>304797</v>
      </c>
      <c r="I46" s="279">
        <v>77833</v>
      </c>
      <c r="J46" s="279">
        <f t="shared" si="0"/>
        <v>429028</v>
      </c>
      <c r="K46" s="470">
        <v>4.4999999999999998E-2</v>
      </c>
      <c r="L46" s="470">
        <v>0.16500000000000001</v>
      </c>
      <c r="M46" s="471">
        <v>0.13200000000000001</v>
      </c>
      <c r="N46" s="282">
        <f t="shared" si="1"/>
        <v>837.13499999999999</v>
      </c>
      <c r="O46" s="283">
        <f t="shared" si="2"/>
        <v>4376.97</v>
      </c>
      <c r="P46" s="283">
        <f t="shared" si="2"/>
        <v>4449.2250000000004</v>
      </c>
      <c r="Q46" s="283">
        <f t="shared" si="3"/>
        <v>50291.505000000005</v>
      </c>
      <c r="R46" s="283">
        <f t="shared" si="4"/>
        <v>54740.73</v>
      </c>
      <c r="S46" s="283">
        <f t="shared" si="5"/>
        <v>56631.696000000004</v>
      </c>
      <c r="U46" s="498"/>
    </row>
    <row r="47" spans="1:21" ht="24.95" customHeight="1" x14ac:dyDescent="0.2">
      <c r="A47" s="284" t="s">
        <v>57</v>
      </c>
      <c r="B47" s="285" t="s">
        <v>14</v>
      </c>
      <c r="C47" s="286" t="s">
        <v>286</v>
      </c>
      <c r="D47" s="279">
        <v>51702</v>
      </c>
      <c r="E47" s="279">
        <v>1752</v>
      </c>
      <c r="F47" s="279">
        <v>9396</v>
      </c>
      <c r="G47" s="279">
        <v>1753</v>
      </c>
      <c r="H47" s="279">
        <v>28633</v>
      </c>
      <c r="I47" s="279">
        <v>10168</v>
      </c>
      <c r="J47" s="279">
        <f t="shared" si="0"/>
        <v>39782</v>
      </c>
      <c r="K47" s="470">
        <v>4.0999999999999995E-2</v>
      </c>
      <c r="L47" s="470">
        <v>0.16800000000000001</v>
      </c>
      <c r="M47" s="471">
        <v>0.13400000000000001</v>
      </c>
      <c r="N47" s="282">
        <f t="shared" si="1"/>
        <v>71.831999999999994</v>
      </c>
      <c r="O47" s="283">
        <f t="shared" si="2"/>
        <v>385.23599999999993</v>
      </c>
      <c r="P47" s="283">
        <f t="shared" si="2"/>
        <v>294.50400000000002</v>
      </c>
      <c r="Q47" s="283">
        <f t="shared" si="3"/>
        <v>4810.3440000000001</v>
      </c>
      <c r="R47" s="283">
        <f t="shared" si="4"/>
        <v>5104.848</v>
      </c>
      <c r="S47" s="283">
        <f t="shared" si="5"/>
        <v>5330.7880000000005</v>
      </c>
      <c r="U47" s="498"/>
    </row>
    <row r="48" spans="1:21" ht="24.95" customHeight="1" x14ac:dyDescent="0.2">
      <c r="A48" s="284" t="s">
        <v>116</v>
      </c>
      <c r="B48" s="285" t="s">
        <v>21</v>
      </c>
      <c r="C48" s="286" t="s">
        <v>286</v>
      </c>
      <c r="D48" s="279">
        <v>129996</v>
      </c>
      <c r="E48" s="279">
        <v>5620</v>
      </c>
      <c r="F48" s="279">
        <v>29681</v>
      </c>
      <c r="G48" s="279">
        <v>6011</v>
      </c>
      <c r="H48" s="279">
        <v>72513</v>
      </c>
      <c r="I48" s="279">
        <v>16171</v>
      </c>
      <c r="J48" s="279">
        <f t="shared" si="0"/>
        <v>108205</v>
      </c>
      <c r="K48" s="470">
        <v>3.9E-2</v>
      </c>
      <c r="L48" s="470">
        <v>0.17300000000000001</v>
      </c>
      <c r="M48" s="471">
        <v>0.13100000000000001</v>
      </c>
      <c r="N48" s="282">
        <f t="shared" si="1"/>
        <v>219.18</v>
      </c>
      <c r="O48" s="283">
        <f t="shared" si="2"/>
        <v>1157.559</v>
      </c>
      <c r="P48" s="283">
        <f t="shared" si="2"/>
        <v>1039.903</v>
      </c>
      <c r="Q48" s="283">
        <f t="shared" si="3"/>
        <v>12544.749000000002</v>
      </c>
      <c r="R48" s="283">
        <f t="shared" si="4"/>
        <v>13584.652000000002</v>
      </c>
      <c r="S48" s="283">
        <f t="shared" si="5"/>
        <v>14174.855000000001</v>
      </c>
      <c r="U48" s="498"/>
    </row>
    <row r="49" spans="1:21" ht="24.95" customHeight="1" x14ac:dyDescent="0.2">
      <c r="A49" s="284" t="s">
        <v>132</v>
      </c>
      <c r="B49" s="285" t="s">
        <v>541</v>
      </c>
      <c r="C49" s="286" t="s">
        <v>285</v>
      </c>
      <c r="D49" s="279">
        <v>61623</v>
      </c>
      <c r="E49" s="279">
        <v>1787</v>
      </c>
      <c r="F49" s="279">
        <v>9413</v>
      </c>
      <c r="G49" s="279">
        <v>1925</v>
      </c>
      <c r="H49" s="279">
        <v>33187</v>
      </c>
      <c r="I49" s="279">
        <v>15311</v>
      </c>
      <c r="J49" s="279">
        <f t="shared" si="0"/>
        <v>44525</v>
      </c>
      <c r="K49" s="470">
        <v>4.2999999999999997E-2</v>
      </c>
      <c r="L49" s="470">
        <v>0.14400000000000002</v>
      </c>
      <c r="M49" s="471">
        <v>0.12</v>
      </c>
      <c r="N49" s="282">
        <f t="shared" si="1"/>
        <v>76.840999999999994</v>
      </c>
      <c r="O49" s="283">
        <f t="shared" si="2"/>
        <v>404.75899999999996</v>
      </c>
      <c r="P49" s="283">
        <f t="shared" si="2"/>
        <v>277.20000000000005</v>
      </c>
      <c r="Q49" s="283">
        <f t="shared" si="3"/>
        <v>4778.9280000000008</v>
      </c>
      <c r="R49" s="283">
        <f t="shared" si="4"/>
        <v>5056.1280000000006</v>
      </c>
      <c r="S49" s="283">
        <f t="shared" si="5"/>
        <v>5343</v>
      </c>
      <c r="U49" s="498"/>
    </row>
    <row r="50" spans="1:21" ht="24.95" customHeight="1" x14ac:dyDescent="0.2">
      <c r="A50" s="284" t="s">
        <v>133</v>
      </c>
      <c r="B50" s="285" t="s">
        <v>541</v>
      </c>
      <c r="C50" s="286" t="s">
        <v>285</v>
      </c>
      <c r="D50" s="279">
        <v>115082</v>
      </c>
      <c r="E50" s="279">
        <v>3322</v>
      </c>
      <c r="F50" s="279">
        <v>18784</v>
      </c>
      <c r="G50" s="279">
        <v>3398</v>
      </c>
      <c r="H50" s="279">
        <v>59574</v>
      </c>
      <c r="I50" s="279">
        <v>30004</v>
      </c>
      <c r="J50" s="279">
        <f t="shared" si="0"/>
        <v>81756</v>
      </c>
      <c r="K50" s="470">
        <v>5.5E-2</v>
      </c>
      <c r="L50" s="470">
        <v>0.17800000000000002</v>
      </c>
      <c r="M50" s="471">
        <v>0.14599999999999999</v>
      </c>
      <c r="N50" s="282">
        <f t="shared" si="1"/>
        <v>182.71</v>
      </c>
      <c r="O50" s="283">
        <f t="shared" si="2"/>
        <v>1033.1200000000001</v>
      </c>
      <c r="P50" s="283">
        <f t="shared" si="2"/>
        <v>604.84400000000005</v>
      </c>
      <c r="Q50" s="283">
        <f t="shared" si="3"/>
        <v>10604.172</v>
      </c>
      <c r="R50" s="283">
        <f t="shared" si="4"/>
        <v>11209.016</v>
      </c>
      <c r="S50" s="283">
        <f t="shared" si="5"/>
        <v>11936.375999999998</v>
      </c>
      <c r="U50" s="498"/>
    </row>
    <row r="51" spans="1:21" ht="24.95" customHeight="1" x14ac:dyDescent="0.2">
      <c r="A51" s="284" t="s">
        <v>82</v>
      </c>
      <c r="B51" s="285" t="s">
        <v>476</v>
      </c>
      <c r="C51" s="286" t="s">
        <v>286</v>
      </c>
      <c r="D51" s="279">
        <v>24379</v>
      </c>
      <c r="E51" s="279">
        <v>713</v>
      </c>
      <c r="F51" s="279">
        <v>4099</v>
      </c>
      <c r="G51" s="279">
        <v>1262</v>
      </c>
      <c r="H51" s="279">
        <v>13839</v>
      </c>
      <c r="I51" s="279">
        <v>4466</v>
      </c>
      <c r="J51" s="279">
        <f t="shared" si="0"/>
        <v>19200</v>
      </c>
      <c r="K51" s="470">
        <v>0.04</v>
      </c>
      <c r="L51" s="470">
        <v>0.159</v>
      </c>
      <c r="M51" s="471">
        <v>0.127</v>
      </c>
      <c r="N51" s="282">
        <f t="shared" si="1"/>
        <v>28.52</v>
      </c>
      <c r="O51" s="283">
        <f t="shared" si="2"/>
        <v>163.96</v>
      </c>
      <c r="P51" s="283">
        <f t="shared" si="2"/>
        <v>200.65800000000002</v>
      </c>
      <c r="Q51" s="283">
        <f t="shared" si="3"/>
        <v>2200.4009999999998</v>
      </c>
      <c r="R51" s="283">
        <f t="shared" si="4"/>
        <v>2401.0589999999997</v>
      </c>
      <c r="S51" s="283">
        <f t="shared" si="5"/>
        <v>2438.4</v>
      </c>
      <c r="U51" s="498"/>
    </row>
    <row r="52" spans="1:21" ht="24.95" customHeight="1" x14ac:dyDescent="0.2">
      <c r="A52" s="284" t="s">
        <v>117</v>
      </c>
      <c r="B52" s="285" t="s">
        <v>21</v>
      </c>
      <c r="C52" s="286" t="s">
        <v>285</v>
      </c>
      <c r="D52" s="279">
        <v>54161</v>
      </c>
      <c r="E52" s="279">
        <v>2825</v>
      </c>
      <c r="F52" s="279">
        <v>13810</v>
      </c>
      <c r="G52" s="279">
        <v>2249</v>
      </c>
      <c r="H52" s="279">
        <v>30270</v>
      </c>
      <c r="I52" s="279">
        <v>5007</v>
      </c>
      <c r="J52" s="279">
        <f t="shared" si="0"/>
        <v>46329</v>
      </c>
      <c r="K52" s="470">
        <v>5.2999999999999999E-2</v>
      </c>
      <c r="L52" s="470">
        <v>0.218</v>
      </c>
      <c r="M52" s="471">
        <v>0.16600000000000001</v>
      </c>
      <c r="N52" s="282">
        <f t="shared" si="1"/>
        <v>149.72499999999999</v>
      </c>
      <c r="O52" s="283">
        <f t="shared" si="2"/>
        <v>731.93</v>
      </c>
      <c r="P52" s="283">
        <f t="shared" si="2"/>
        <v>490.28199999999998</v>
      </c>
      <c r="Q52" s="283">
        <f t="shared" si="3"/>
        <v>6598.86</v>
      </c>
      <c r="R52" s="283">
        <f t="shared" si="4"/>
        <v>7089.1419999999998</v>
      </c>
      <c r="S52" s="283">
        <f t="shared" si="5"/>
        <v>7690.6140000000005</v>
      </c>
      <c r="U52" s="498"/>
    </row>
    <row r="53" spans="1:21" ht="24.95" customHeight="1" x14ac:dyDescent="0.2">
      <c r="A53" s="284" t="s">
        <v>83</v>
      </c>
      <c r="B53" s="285" t="s">
        <v>476</v>
      </c>
      <c r="C53" s="286" t="s">
        <v>286</v>
      </c>
      <c r="D53" s="279">
        <v>5665</v>
      </c>
      <c r="E53" s="279">
        <v>138</v>
      </c>
      <c r="F53" s="279">
        <v>837</v>
      </c>
      <c r="G53" s="279">
        <v>167</v>
      </c>
      <c r="H53" s="279">
        <v>3443</v>
      </c>
      <c r="I53" s="279">
        <v>1080</v>
      </c>
      <c r="J53" s="279">
        <f t="shared" si="0"/>
        <v>4447</v>
      </c>
      <c r="K53" s="470">
        <v>8.3000000000000004E-2</v>
      </c>
      <c r="L53" s="470">
        <v>0.184</v>
      </c>
      <c r="M53" s="471">
        <v>0.158</v>
      </c>
      <c r="N53" s="282">
        <f t="shared" si="1"/>
        <v>11.454000000000001</v>
      </c>
      <c r="O53" s="283">
        <f t="shared" si="2"/>
        <v>69.471000000000004</v>
      </c>
      <c r="P53" s="283">
        <f t="shared" si="2"/>
        <v>30.727999999999998</v>
      </c>
      <c r="Q53" s="283">
        <f t="shared" si="3"/>
        <v>633.51199999999994</v>
      </c>
      <c r="R53" s="283">
        <f t="shared" si="4"/>
        <v>664.2399999999999</v>
      </c>
      <c r="S53" s="283">
        <f t="shared" si="5"/>
        <v>702.62599999999998</v>
      </c>
      <c r="U53" s="498"/>
    </row>
    <row r="54" spans="1:21" ht="24.95" customHeight="1" x14ac:dyDescent="0.2">
      <c r="A54" s="284" t="s">
        <v>110</v>
      </c>
      <c r="B54" s="285" t="s">
        <v>20</v>
      </c>
      <c r="C54" s="286" t="s">
        <v>285</v>
      </c>
      <c r="D54" s="279">
        <v>176191</v>
      </c>
      <c r="E54" s="279">
        <v>5803</v>
      </c>
      <c r="F54" s="279">
        <v>33617</v>
      </c>
      <c r="G54" s="279">
        <v>7081</v>
      </c>
      <c r="H54" s="279">
        <v>102581</v>
      </c>
      <c r="I54" s="279">
        <v>27109</v>
      </c>
      <c r="J54" s="279">
        <f t="shared" si="0"/>
        <v>143279</v>
      </c>
      <c r="K54" s="470">
        <v>4.7E-2</v>
      </c>
      <c r="L54" s="470">
        <v>0.14599999999999999</v>
      </c>
      <c r="M54" s="471">
        <v>0.11800000000000001</v>
      </c>
      <c r="N54" s="282">
        <f t="shared" si="1"/>
        <v>272.74099999999999</v>
      </c>
      <c r="O54" s="283">
        <f t="shared" si="2"/>
        <v>1579.999</v>
      </c>
      <c r="P54" s="283">
        <f t="shared" si="2"/>
        <v>1033.826</v>
      </c>
      <c r="Q54" s="283">
        <f t="shared" si="3"/>
        <v>14976.825999999999</v>
      </c>
      <c r="R54" s="283">
        <f t="shared" si="4"/>
        <v>16010.651999999998</v>
      </c>
      <c r="S54" s="283">
        <f t="shared" si="5"/>
        <v>16906.922000000002</v>
      </c>
      <c r="U54" s="498"/>
    </row>
    <row r="55" spans="1:21" ht="24.95" customHeight="1" x14ac:dyDescent="0.2">
      <c r="A55" s="284" t="s">
        <v>134</v>
      </c>
      <c r="B55" s="285" t="s">
        <v>541</v>
      </c>
      <c r="C55" s="286" t="s">
        <v>286</v>
      </c>
      <c r="D55" s="279">
        <v>42221</v>
      </c>
      <c r="E55" s="279">
        <v>1191</v>
      </c>
      <c r="F55" s="279">
        <v>6177</v>
      </c>
      <c r="G55" s="279">
        <v>3971</v>
      </c>
      <c r="H55" s="279">
        <v>22791</v>
      </c>
      <c r="I55" s="279">
        <v>8091</v>
      </c>
      <c r="J55" s="279">
        <f t="shared" si="0"/>
        <v>32939</v>
      </c>
      <c r="K55" s="470">
        <v>7.0000000000000007E-2</v>
      </c>
      <c r="L55" s="470">
        <v>0.215</v>
      </c>
      <c r="M55" s="471">
        <v>0.18100000000000002</v>
      </c>
      <c r="N55" s="282">
        <f t="shared" si="1"/>
        <v>83.37</v>
      </c>
      <c r="O55" s="283">
        <f t="shared" si="2"/>
        <v>432.39000000000004</v>
      </c>
      <c r="P55" s="283">
        <f t="shared" si="2"/>
        <v>853.76499999999999</v>
      </c>
      <c r="Q55" s="283">
        <f t="shared" si="3"/>
        <v>4900.0649999999996</v>
      </c>
      <c r="R55" s="283">
        <f t="shared" si="4"/>
        <v>5753.83</v>
      </c>
      <c r="S55" s="283">
        <f t="shared" si="5"/>
        <v>5961.9590000000007</v>
      </c>
      <c r="U55" s="498"/>
    </row>
    <row r="56" spans="1:21" ht="24.95" customHeight="1" x14ac:dyDescent="0.2">
      <c r="A56" s="284" t="s">
        <v>48</v>
      </c>
      <c r="B56" s="285" t="s">
        <v>13</v>
      </c>
      <c r="C56" s="286" t="s">
        <v>285</v>
      </c>
      <c r="D56" s="279">
        <v>193035</v>
      </c>
      <c r="E56" s="279">
        <v>7177</v>
      </c>
      <c r="F56" s="279">
        <v>41558</v>
      </c>
      <c r="G56" s="279">
        <v>7706</v>
      </c>
      <c r="H56" s="279">
        <v>111469</v>
      </c>
      <c r="I56" s="279">
        <v>25125</v>
      </c>
      <c r="J56" s="279">
        <f t="shared" si="0"/>
        <v>160733</v>
      </c>
      <c r="K56" s="470">
        <v>4.7E-2</v>
      </c>
      <c r="L56" s="470">
        <v>0.17699999999999999</v>
      </c>
      <c r="M56" s="471">
        <v>0.13699999999999998</v>
      </c>
      <c r="N56" s="282">
        <f t="shared" si="1"/>
        <v>337.31900000000002</v>
      </c>
      <c r="O56" s="283">
        <f t="shared" si="2"/>
        <v>1953.2260000000001</v>
      </c>
      <c r="P56" s="283">
        <f t="shared" si="2"/>
        <v>1363.962</v>
      </c>
      <c r="Q56" s="283">
        <f t="shared" si="3"/>
        <v>19730.012999999999</v>
      </c>
      <c r="R56" s="283">
        <f t="shared" si="4"/>
        <v>21093.974999999999</v>
      </c>
      <c r="S56" s="283">
        <f t="shared" si="5"/>
        <v>22020.420999999998</v>
      </c>
      <c r="U56" s="498"/>
    </row>
    <row r="57" spans="1:21" ht="24.95" customHeight="1" x14ac:dyDescent="0.2">
      <c r="A57" s="284" t="s">
        <v>84</v>
      </c>
      <c r="B57" s="285" t="s">
        <v>476</v>
      </c>
      <c r="C57" s="286" t="s">
        <v>285</v>
      </c>
      <c r="D57" s="279">
        <v>10426</v>
      </c>
      <c r="E57" s="279">
        <v>326</v>
      </c>
      <c r="F57" s="279">
        <v>1749</v>
      </c>
      <c r="G57" s="279">
        <v>323</v>
      </c>
      <c r="H57" s="279">
        <v>5923</v>
      </c>
      <c r="I57" s="279">
        <v>2105</v>
      </c>
      <c r="J57" s="279">
        <f t="shared" si="0"/>
        <v>7995</v>
      </c>
      <c r="K57" s="470">
        <v>6.8000000000000005E-2</v>
      </c>
      <c r="L57" s="470">
        <v>0.17300000000000001</v>
      </c>
      <c r="M57" s="471">
        <v>0.14699999999999999</v>
      </c>
      <c r="N57" s="282">
        <f t="shared" si="1"/>
        <v>22.168000000000003</v>
      </c>
      <c r="O57" s="283">
        <f t="shared" si="2"/>
        <v>118.932</v>
      </c>
      <c r="P57" s="283">
        <f t="shared" si="2"/>
        <v>55.879000000000005</v>
      </c>
      <c r="Q57" s="283">
        <f t="shared" si="3"/>
        <v>1024.6790000000001</v>
      </c>
      <c r="R57" s="283">
        <f t="shared" si="4"/>
        <v>1080.558</v>
      </c>
      <c r="S57" s="283">
        <f t="shared" si="5"/>
        <v>1175.2649999999999</v>
      </c>
      <c r="U57" s="498"/>
    </row>
    <row r="58" spans="1:21" ht="24.95" customHeight="1" x14ac:dyDescent="0.2">
      <c r="A58" s="284" t="s">
        <v>118</v>
      </c>
      <c r="B58" s="285" t="s">
        <v>21</v>
      </c>
      <c r="C58" s="286" t="s">
        <v>286</v>
      </c>
      <c r="D58" s="279">
        <v>58907</v>
      </c>
      <c r="E58" s="279">
        <v>2326</v>
      </c>
      <c r="F58" s="279">
        <v>12418</v>
      </c>
      <c r="G58" s="279">
        <v>2356</v>
      </c>
      <c r="H58" s="279">
        <v>32426</v>
      </c>
      <c r="I58" s="279">
        <v>9381</v>
      </c>
      <c r="J58" s="279">
        <f t="shared" si="0"/>
        <v>47200</v>
      </c>
      <c r="K58" s="470">
        <v>6.3E-2</v>
      </c>
      <c r="L58" s="470">
        <v>0.19800000000000001</v>
      </c>
      <c r="M58" s="471">
        <v>0.158</v>
      </c>
      <c r="N58" s="282">
        <f t="shared" si="1"/>
        <v>146.53800000000001</v>
      </c>
      <c r="O58" s="283">
        <f t="shared" si="2"/>
        <v>782.33400000000006</v>
      </c>
      <c r="P58" s="283">
        <f t="shared" si="2"/>
        <v>466.488</v>
      </c>
      <c r="Q58" s="283">
        <f t="shared" si="3"/>
        <v>6420.348</v>
      </c>
      <c r="R58" s="283">
        <f t="shared" si="4"/>
        <v>6886.8360000000002</v>
      </c>
      <c r="S58" s="283">
        <f t="shared" si="5"/>
        <v>7457.6</v>
      </c>
      <c r="U58" s="498"/>
    </row>
    <row r="59" spans="1:21" ht="24.95" customHeight="1" x14ac:dyDescent="0.2">
      <c r="A59" s="284" t="s">
        <v>98</v>
      </c>
      <c r="B59" s="285" t="s">
        <v>18</v>
      </c>
      <c r="C59" s="286" t="s">
        <v>286</v>
      </c>
      <c r="D59" s="279">
        <v>58209</v>
      </c>
      <c r="E59" s="279">
        <v>2021</v>
      </c>
      <c r="F59" s="279">
        <v>10934</v>
      </c>
      <c r="G59" s="279">
        <v>2177</v>
      </c>
      <c r="H59" s="279">
        <v>32075</v>
      </c>
      <c r="I59" s="279">
        <v>11002</v>
      </c>
      <c r="J59" s="279">
        <f t="shared" si="0"/>
        <v>45186</v>
      </c>
      <c r="K59" s="470">
        <v>4.4000000000000004E-2</v>
      </c>
      <c r="L59" s="470">
        <v>0.187</v>
      </c>
      <c r="M59" s="471">
        <v>0.14800000000000002</v>
      </c>
      <c r="N59" s="282">
        <f t="shared" si="1"/>
        <v>88.924000000000007</v>
      </c>
      <c r="O59" s="283">
        <f t="shared" si="2"/>
        <v>481.09600000000006</v>
      </c>
      <c r="P59" s="283">
        <f t="shared" si="2"/>
        <v>407.09899999999999</v>
      </c>
      <c r="Q59" s="283">
        <f t="shared" si="3"/>
        <v>5998.0249999999996</v>
      </c>
      <c r="R59" s="283">
        <f t="shared" si="4"/>
        <v>6405.1239999999998</v>
      </c>
      <c r="S59" s="283">
        <f t="shared" si="5"/>
        <v>6687.5280000000012</v>
      </c>
      <c r="U59" s="498"/>
    </row>
    <row r="60" spans="1:21" ht="24.95" customHeight="1" x14ac:dyDescent="0.2">
      <c r="A60" s="284" t="s">
        <v>111</v>
      </c>
      <c r="B60" s="285" t="s">
        <v>20</v>
      </c>
      <c r="C60" s="286" t="s">
        <v>285</v>
      </c>
      <c r="D60" s="279">
        <v>83554</v>
      </c>
      <c r="E60" s="279">
        <v>2463</v>
      </c>
      <c r="F60" s="279">
        <v>14871</v>
      </c>
      <c r="G60" s="279">
        <v>3004</v>
      </c>
      <c r="H60" s="279">
        <v>48947</v>
      </c>
      <c r="I60" s="279">
        <v>14269</v>
      </c>
      <c r="J60" s="279">
        <f t="shared" si="0"/>
        <v>66822</v>
      </c>
      <c r="K60" s="470">
        <v>4.5999999999999999E-2</v>
      </c>
      <c r="L60" s="470">
        <v>0.16800000000000001</v>
      </c>
      <c r="M60" s="471">
        <v>0.13600000000000001</v>
      </c>
      <c r="N60" s="282">
        <f t="shared" si="1"/>
        <v>113.298</v>
      </c>
      <c r="O60" s="283">
        <f t="shared" si="2"/>
        <v>684.06600000000003</v>
      </c>
      <c r="P60" s="283">
        <f t="shared" si="2"/>
        <v>504.67200000000003</v>
      </c>
      <c r="Q60" s="283">
        <f t="shared" si="3"/>
        <v>8223.0960000000014</v>
      </c>
      <c r="R60" s="283">
        <f t="shared" si="4"/>
        <v>8727.7680000000018</v>
      </c>
      <c r="S60" s="283">
        <f t="shared" si="5"/>
        <v>9087.7920000000013</v>
      </c>
      <c r="U60" s="498"/>
    </row>
    <row r="61" spans="1:21" ht="24.95" customHeight="1" x14ac:dyDescent="0.2">
      <c r="A61" s="284" t="s">
        <v>135</v>
      </c>
      <c r="B61" s="285" t="s">
        <v>541</v>
      </c>
      <c r="C61" s="286" t="s">
        <v>286</v>
      </c>
      <c r="D61" s="279">
        <v>35411</v>
      </c>
      <c r="E61" s="279">
        <v>1092</v>
      </c>
      <c r="F61" s="279">
        <v>5488</v>
      </c>
      <c r="G61" s="279">
        <v>1205</v>
      </c>
      <c r="H61" s="279">
        <v>17661</v>
      </c>
      <c r="I61" s="279">
        <v>9965</v>
      </c>
      <c r="J61" s="279">
        <f t="shared" si="0"/>
        <v>24354</v>
      </c>
      <c r="K61" s="470">
        <v>7.9000000000000001E-2</v>
      </c>
      <c r="L61" s="470">
        <v>0.21199999999999999</v>
      </c>
      <c r="M61" s="471">
        <v>0.17699999999999999</v>
      </c>
      <c r="N61" s="282">
        <f t="shared" si="1"/>
        <v>86.268000000000001</v>
      </c>
      <c r="O61" s="283">
        <f t="shared" si="2"/>
        <v>433.55200000000002</v>
      </c>
      <c r="P61" s="283">
        <f t="shared" si="2"/>
        <v>255.45999999999998</v>
      </c>
      <c r="Q61" s="283">
        <f t="shared" si="3"/>
        <v>3744.1320000000001</v>
      </c>
      <c r="R61" s="283">
        <f t="shared" si="4"/>
        <v>3999.5920000000001</v>
      </c>
      <c r="S61" s="283">
        <f t="shared" si="5"/>
        <v>4310.6579999999994</v>
      </c>
      <c r="U61" s="498"/>
    </row>
    <row r="62" spans="1:21" ht="24.95" customHeight="1" x14ac:dyDescent="0.2">
      <c r="A62" s="284" t="s">
        <v>136</v>
      </c>
      <c r="B62" s="285" t="s">
        <v>541</v>
      </c>
      <c r="C62" s="286" t="s">
        <v>285</v>
      </c>
      <c r="D62" s="279">
        <v>21971</v>
      </c>
      <c r="E62" s="279">
        <v>631</v>
      </c>
      <c r="F62" s="279">
        <v>3347</v>
      </c>
      <c r="G62" s="279">
        <v>1252</v>
      </c>
      <c r="H62" s="279">
        <v>11935</v>
      </c>
      <c r="I62" s="279">
        <v>4806</v>
      </c>
      <c r="J62" s="279">
        <f t="shared" si="0"/>
        <v>16534</v>
      </c>
      <c r="K62" s="470">
        <v>4.8000000000000001E-2</v>
      </c>
      <c r="L62" s="470">
        <v>0.14699999999999999</v>
      </c>
      <c r="M62" s="471">
        <v>0.12300000000000001</v>
      </c>
      <c r="N62" s="282">
        <f t="shared" si="1"/>
        <v>30.288</v>
      </c>
      <c r="O62" s="283">
        <f t="shared" si="2"/>
        <v>160.65600000000001</v>
      </c>
      <c r="P62" s="283">
        <f t="shared" si="2"/>
        <v>184.04399999999998</v>
      </c>
      <c r="Q62" s="283">
        <f t="shared" si="3"/>
        <v>1754.4449999999999</v>
      </c>
      <c r="R62" s="283">
        <f t="shared" si="4"/>
        <v>1938.489</v>
      </c>
      <c r="S62" s="283">
        <f t="shared" si="5"/>
        <v>2033.6820000000002</v>
      </c>
      <c r="U62" s="498"/>
    </row>
    <row r="63" spans="1:21" ht="24.95" customHeight="1" x14ac:dyDescent="0.2">
      <c r="A63" s="284" t="s">
        <v>85</v>
      </c>
      <c r="B63" s="285" t="s">
        <v>476</v>
      </c>
      <c r="C63" s="286" t="s">
        <v>286</v>
      </c>
      <c r="D63" s="279">
        <v>23555</v>
      </c>
      <c r="E63" s="279">
        <v>808</v>
      </c>
      <c r="F63" s="279">
        <v>4074</v>
      </c>
      <c r="G63" s="279">
        <v>725</v>
      </c>
      <c r="H63" s="279">
        <v>12869</v>
      </c>
      <c r="I63" s="279">
        <v>5079</v>
      </c>
      <c r="J63" s="279">
        <f t="shared" si="0"/>
        <v>17668</v>
      </c>
      <c r="K63" s="470">
        <v>4.7E-2</v>
      </c>
      <c r="L63" s="470">
        <v>0.15</v>
      </c>
      <c r="M63" s="471">
        <v>0.12300000000000001</v>
      </c>
      <c r="N63" s="282">
        <f t="shared" si="1"/>
        <v>37.975999999999999</v>
      </c>
      <c r="O63" s="283">
        <f t="shared" si="2"/>
        <v>191.47800000000001</v>
      </c>
      <c r="P63" s="283">
        <f t="shared" si="2"/>
        <v>108.75</v>
      </c>
      <c r="Q63" s="283">
        <f t="shared" si="3"/>
        <v>1930.35</v>
      </c>
      <c r="R63" s="283">
        <f t="shared" si="4"/>
        <v>2039.1</v>
      </c>
      <c r="S63" s="283">
        <f t="shared" si="5"/>
        <v>2173.1640000000002</v>
      </c>
      <c r="U63" s="498"/>
    </row>
    <row r="64" spans="1:21" ht="24.95" customHeight="1" x14ac:dyDescent="0.2">
      <c r="A64" s="284" t="s">
        <v>137</v>
      </c>
      <c r="B64" s="285" t="s">
        <v>541</v>
      </c>
      <c r="C64" s="286" t="s">
        <v>286</v>
      </c>
      <c r="D64" s="279">
        <v>45623</v>
      </c>
      <c r="E64" s="279">
        <v>1392</v>
      </c>
      <c r="F64" s="279">
        <v>7808</v>
      </c>
      <c r="G64" s="279">
        <v>1592</v>
      </c>
      <c r="H64" s="279">
        <v>25702</v>
      </c>
      <c r="I64" s="279">
        <v>9129</v>
      </c>
      <c r="J64" s="279">
        <f t="shared" si="0"/>
        <v>35102</v>
      </c>
      <c r="K64" s="470">
        <v>4.4000000000000004E-2</v>
      </c>
      <c r="L64" s="470">
        <v>0.155</v>
      </c>
      <c r="M64" s="471">
        <v>0.126</v>
      </c>
      <c r="N64" s="282">
        <f t="shared" si="1"/>
        <v>61.248000000000005</v>
      </c>
      <c r="O64" s="283">
        <f t="shared" si="2"/>
        <v>343.55200000000002</v>
      </c>
      <c r="P64" s="283">
        <f t="shared" si="2"/>
        <v>246.76</v>
      </c>
      <c r="Q64" s="283">
        <f t="shared" si="3"/>
        <v>3983.81</v>
      </c>
      <c r="R64" s="283">
        <f t="shared" si="4"/>
        <v>4230.57</v>
      </c>
      <c r="S64" s="283">
        <f t="shared" si="5"/>
        <v>4422.8519999999999</v>
      </c>
      <c r="U64" s="498"/>
    </row>
    <row r="65" spans="1:21" ht="24.95" customHeight="1" x14ac:dyDescent="0.2">
      <c r="A65" s="284" t="s">
        <v>105</v>
      </c>
      <c r="B65" s="285" t="s">
        <v>14</v>
      </c>
      <c r="C65" s="286" t="s">
        <v>285</v>
      </c>
      <c r="D65" s="279">
        <v>1077874</v>
      </c>
      <c r="E65" s="279">
        <v>44533</v>
      </c>
      <c r="F65" s="279">
        <v>214445</v>
      </c>
      <c r="G65" s="279">
        <v>37880</v>
      </c>
      <c r="H65" s="279">
        <v>663223</v>
      </c>
      <c r="I65" s="279">
        <v>117793</v>
      </c>
      <c r="J65" s="279">
        <f t="shared" si="0"/>
        <v>915548</v>
      </c>
      <c r="K65" s="470">
        <v>4.2999999999999997E-2</v>
      </c>
      <c r="L65" s="470">
        <v>0.16200000000000001</v>
      </c>
      <c r="M65" s="471">
        <v>0.129</v>
      </c>
      <c r="N65" s="282">
        <f t="shared" si="1"/>
        <v>1914.9189999999999</v>
      </c>
      <c r="O65" s="283">
        <f t="shared" si="2"/>
        <v>9221.1349999999984</v>
      </c>
      <c r="P65" s="283">
        <f t="shared" si="2"/>
        <v>6136.56</v>
      </c>
      <c r="Q65" s="283">
        <f t="shared" si="3"/>
        <v>107442.126</v>
      </c>
      <c r="R65" s="283">
        <f t="shared" si="4"/>
        <v>113578.686</v>
      </c>
      <c r="S65" s="283">
        <f t="shared" si="5"/>
        <v>118105.69200000001</v>
      </c>
      <c r="U65" s="498"/>
    </row>
    <row r="66" spans="1:21" ht="24.95" customHeight="1" x14ac:dyDescent="0.2">
      <c r="A66" s="284" t="s">
        <v>138</v>
      </c>
      <c r="B66" s="285" t="s">
        <v>541</v>
      </c>
      <c r="C66" s="286" t="s">
        <v>286</v>
      </c>
      <c r="D66" s="279">
        <v>15314</v>
      </c>
      <c r="E66" s="279">
        <v>470</v>
      </c>
      <c r="F66" s="279">
        <v>2340</v>
      </c>
      <c r="G66" s="279">
        <v>376</v>
      </c>
      <c r="H66" s="279">
        <v>8476</v>
      </c>
      <c r="I66" s="279">
        <v>3652</v>
      </c>
      <c r="J66" s="279">
        <f t="shared" si="0"/>
        <v>11192</v>
      </c>
      <c r="K66" s="470">
        <v>5.4000000000000006E-2</v>
      </c>
      <c r="L66" s="470">
        <v>0.17399999999999999</v>
      </c>
      <c r="M66" s="471">
        <v>0.14499999999999999</v>
      </c>
      <c r="N66" s="282">
        <f t="shared" si="1"/>
        <v>25.380000000000003</v>
      </c>
      <c r="O66" s="283">
        <f t="shared" si="2"/>
        <v>126.36000000000001</v>
      </c>
      <c r="P66" s="283">
        <f t="shared" si="2"/>
        <v>65.423999999999992</v>
      </c>
      <c r="Q66" s="283">
        <f t="shared" si="3"/>
        <v>1474.8239999999998</v>
      </c>
      <c r="R66" s="283">
        <f t="shared" si="4"/>
        <v>1540.2479999999998</v>
      </c>
      <c r="S66" s="283">
        <f t="shared" si="5"/>
        <v>1622.84</v>
      </c>
      <c r="U66" s="498"/>
    </row>
    <row r="67" spans="1:21" ht="24.95" customHeight="1" x14ac:dyDescent="0.2">
      <c r="A67" s="284" t="s">
        <v>119</v>
      </c>
      <c r="B67" s="285" t="s">
        <v>21</v>
      </c>
      <c r="C67" s="286" t="s">
        <v>286</v>
      </c>
      <c r="D67" s="279">
        <v>27962</v>
      </c>
      <c r="E67" s="279">
        <v>959</v>
      </c>
      <c r="F67" s="279">
        <v>5246</v>
      </c>
      <c r="G67" s="279">
        <v>1108</v>
      </c>
      <c r="H67" s="279">
        <v>15085</v>
      </c>
      <c r="I67" s="279">
        <v>5564</v>
      </c>
      <c r="J67" s="279">
        <f t="shared" si="0"/>
        <v>21439</v>
      </c>
      <c r="K67" s="470">
        <v>6.0999999999999999E-2</v>
      </c>
      <c r="L67" s="470">
        <v>0.215</v>
      </c>
      <c r="M67" s="471">
        <v>0.17</v>
      </c>
      <c r="N67" s="282">
        <f t="shared" si="1"/>
        <v>58.498999999999995</v>
      </c>
      <c r="O67" s="283">
        <f t="shared" si="2"/>
        <v>320.00599999999997</v>
      </c>
      <c r="P67" s="283">
        <f t="shared" si="2"/>
        <v>238.22</v>
      </c>
      <c r="Q67" s="283">
        <f t="shared" si="3"/>
        <v>3243.2750000000001</v>
      </c>
      <c r="R67" s="283">
        <f t="shared" si="4"/>
        <v>3481.4949999999999</v>
      </c>
      <c r="S67" s="283">
        <f t="shared" si="5"/>
        <v>3644.63</v>
      </c>
      <c r="U67" s="498"/>
    </row>
    <row r="68" spans="1:21" ht="24.95" customHeight="1" x14ac:dyDescent="0.2">
      <c r="A68" s="284" t="s">
        <v>120</v>
      </c>
      <c r="B68" s="285" t="s">
        <v>21</v>
      </c>
      <c r="C68" s="286" t="s">
        <v>286</v>
      </c>
      <c r="D68" s="279">
        <v>97081</v>
      </c>
      <c r="E68" s="279">
        <v>3223</v>
      </c>
      <c r="F68" s="279">
        <v>16836</v>
      </c>
      <c r="G68" s="279">
        <v>3232</v>
      </c>
      <c r="H68" s="279">
        <v>48677</v>
      </c>
      <c r="I68" s="279">
        <v>25113</v>
      </c>
      <c r="J68" s="279">
        <f t="shared" si="0"/>
        <v>68745</v>
      </c>
      <c r="K68" s="470">
        <v>5.5E-2</v>
      </c>
      <c r="L68" s="470">
        <v>0.152</v>
      </c>
      <c r="M68" s="471">
        <v>0.125</v>
      </c>
      <c r="N68" s="282">
        <f t="shared" si="1"/>
        <v>177.26500000000001</v>
      </c>
      <c r="O68" s="283">
        <f t="shared" si="2"/>
        <v>925.98</v>
      </c>
      <c r="P68" s="283">
        <f t="shared" si="2"/>
        <v>491.26400000000001</v>
      </c>
      <c r="Q68" s="283">
        <f t="shared" si="3"/>
        <v>7398.9039999999995</v>
      </c>
      <c r="R68" s="283">
        <f t="shared" si="4"/>
        <v>7890.1679999999997</v>
      </c>
      <c r="S68" s="283">
        <f t="shared" si="5"/>
        <v>8593.125</v>
      </c>
      <c r="U68" s="498"/>
    </row>
    <row r="69" spans="1:21" ht="24.95" customHeight="1" x14ac:dyDescent="0.2">
      <c r="A69" s="284" t="s">
        <v>99</v>
      </c>
      <c r="B69" s="285" t="s">
        <v>476</v>
      </c>
      <c r="C69" s="286" t="s">
        <v>285</v>
      </c>
      <c r="D69" s="279">
        <v>94188</v>
      </c>
      <c r="E69" s="279">
        <v>3205</v>
      </c>
      <c r="F69" s="279">
        <v>17111</v>
      </c>
      <c r="G69" s="279">
        <v>3502</v>
      </c>
      <c r="H69" s="279">
        <v>53414</v>
      </c>
      <c r="I69" s="279">
        <v>16956</v>
      </c>
      <c r="J69" s="279">
        <f t="shared" si="0"/>
        <v>74027</v>
      </c>
      <c r="K69" s="470">
        <v>4.2000000000000003E-2</v>
      </c>
      <c r="L69" s="470">
        <v>0.156</v>
      </c>
      <c r="M69" s="471">
        <v>0.124</v>
      </c>
      <c r="N69" s="282">
        <f t="shared" si="1"/>
        <v>134.61000000000001</v>
      </c>
      <c r="O69" s="283">
        <f t="shared" si="2"/>
        <v>718.66200000000003</v>
      </c>
      <c r="P69" s="283">
        <f t="shared" si="2"/>
        <v>546.31200000000001</v>
      </c>
      <c r="Q69" s="283">
        <f t="shared" si="3"/>
        <v>8332.5840000000007</v>
      </c>
      <c r="R69" s="283">
        <f t="shared" si="4"/>
        <v>8878.8960000000006</v>
      </c>
      <c r="S69" s="283">
        <f t="shared" si="5"/>
        <v>9179.348</v>
      </c>
      <c r="U69" s="498"/>
    </row>
    <row r="70" spans="1:21" ht="24.95" customHeight="1" x14ac:dyDescent="0.2">
      <c r="A70" s="284" t="s">
        <v>71</v>
      </c>
      <c r="B70" s="285" t="s">
        <v>476</v>
      </c>
      <c r="C70" s="286" t="s">
        <v>285</v>
      </c>
      <c r="D70" s="279">
        <v>226069</v>
      </c>
      <c r="E70" s="279">
        <v>6982</v>
      </c>
      <c r="F70" s="279">
        <v>35794</v>
      </c>
      <c r="G70" s="279">
        <v>11801</v>
      </c>
      <c r="H70" s="279">
        <v>133471</v>
      </c>
      <c r="I70" s="279">
        <v>38021</v>
      </c>
      <c r="J70" s="279">
        <f t="shared" ref="J70:J105" si="6">SUM(F70:H70)</f>
        <v>181066</v>
      </c>
      <c r="K70" s="470">
        <v>0.04</v>
      </c>
      <c r="L70" s="470">
        <v>0.15</v>
      </c>
      <c r="M70" s="471">
        <v>0.124</v>
      </c>
      <c r="N70" s="282">
        <f t="shared" si="1"/>
        <v>279.28000000000003</v>
      </c>
      <c r="O70" s="283">
        <f t="shared" si="2"/>
        <v>1431.76</v>
      </c>
      <c r="P70" s="283">
        <f t="shared" si="2"/>
        <v>1770.1499999999999</v>
      </c>
      <c r="Q70" s="283">
        <f t="shared" si="3"/>
        <v>20020.649999999998</v>
      </c>
      <c r="R70" s="283">
        <f t="shared" si="4"/>
        <v>21790.799999999999</v>
      </c>
      <c r="S70" s="283">
        <f t="shared" si="5"/>
        <v>22452.184000000001</v>
      </c>
      <c r="U70" s="498"/>
    </row>
    <row r="71" spans="1:21" ht="24.95" customHeight="1" x14ac:dyDescent="0.2">
      <c r="A71" s="284" t="s">
        <v>86</v>
      </c>
      <c r="B71" s="285" t="s">
        <v>476</v>
      </c>
      <c r="C71" s="286" t="s">
        <v>286</v>
      </c>
      <c r="D71" s="279">
        <v>20998</v>
      </c>
      <c r="E71" s="279">
        <v>591</v>
      </c>
      <c r="F71" s="279">
        <v>3342</v>
      </c>
      <c r="G71" s="279">
        <v>535</v>
      </c>
      <c r="H71" s="279">
        <v>11694</v>
      </c>
      <c r="I71" s="279">
        <v>4836</v>
      </c>
      <c r="J71" s="279">
        <f t="shared" si="6"/>
        <v>15571</v>
      </c>
      <c r="K71" s="470">
        <v>4.4000000000000004E-2</v>
      </c>
      <c r="L71" s="470">
        <v>0.154</v>
      </c>
      <c r="M71" s="471">
        <v>0.127</v>
      </c>
      <c r="N71" s="282">
        <f t="shared" ref="N71:N105" si="7">E71*K71</f>
        <v>26.004000000000001</v>
      </c>
      <c r="O71" s="283">
        <f t="shared" ref="O71:P105" si="8">F71*K71</f>
        <v>147.048</v>
      </c>
      <c r="P71" s="283">
        <f t="shared" si="8"/>
        <v>82.39</v>
      </c>
      <c r="Q71" s="283">
        <f t="shared" ref="Q71:Q105" si="9">H71*L71</f>
        <v>1800.876</v>
      </c>
      <c r="R71" s="283">
        <f t="shared" ref="R71:R105" si="10">SUM(P71:Q71)</f>
        <v>1883.2660000000001</v>
      </c>
      <c r="S71" s="283">
        <f t="shared" ref="S71:S105" si="11">J71*M71</f>
        <v>1977.5170000000001</v>
      </c>
      <c r="U71" s="498"/>
    </row>
    <row r="72" spans="1:21" ht="24.95" customHeight="1" x14ac:dyDescent="0.2">
      <c r="A72" s="284" t="s">
        <v>72</v>
      </c>
      <c r="B72" s="285" t="s">
        <v>476</v>
      </c>
      <c r="C72" s="286" t="s">
        <v>285</v>
      </c>
      <c r="D72" s="279">
        <v>199025</v>
      </c>
      <c r="E72" s="279">
        <v>12240</v>
      </c>
      <c r="F72" s="279">
        <v>46406</v>
      </c>
      <c r="G72" s="279">
        <v>14805</v>
      </c>
      <c r="H72" s="279">
        <v>107470</v>
      </c>
      <c r="I72" s="279">
        <v>18104</v>
      </c>
      <c r="J72" s="279">
        <f t="shared" si="6"/>
        <v>168681</v>
      </c>
      <c r="K72" s="470">
        <v>0.03</v>
      </c>
      <c r="L72" s="470">
        <v>0.127</v>
      </c>
      <c r="M72" s="471">
        <v>9.8000000000000004E-2</v>
      </c>
      <c r="N72" s="282">
        <f t="shared" si="7"/>
        <v>367.2</v>
      </c>
      <c r="O72" s="283">
        <f t="shared" si="8"/>
        <v>1392.1799999999998</v>
      </c>
      <c r="P72" s="283">
        <f t="shared" si="8"/>
        <v>1880.2350000000001</v>
      </c>
      <c r="Q72" s="283">
        <f t="shared" si="9"/>
        <v>13648.69</v>
      </c>
      <c r="R72" s="283">
        <f t="shared" si="10"/>
        <v>15528.925000000001</v>
      </c>
      <c r="S72" s="283">
        <f t="shared" si="11"/>
        <v>16530.738000000001</v>
      </c>
      <c r="U72" s="498"/>
    </row>
    <row r="73" spans="1:21" ht="24.95" customHeight="1" x14ac:dyDescent="0.2">
      <c r="A73" s="284" t="s">
        <v>58</v>
      </c>
      <c r="B73" s="285" t="s">
        <v>14</v>
      </c>
      <c r="C73" s="286" t="s">
        <v>285</v>
      </c>
      <c r="D73" s="279">
        <v>143264</v>
      </c>
      <c r="E73" s="279">
        <v>3728</v>
      </c>
      <c r="F73" s="279">
        <v>23024</v>
      </c>
      <c r="G73" s="279">
        <v>12252</v>
      </c>
      <c r="H73" s="279">
        <v>85022</v>
      </c>
      <c r="I73" s="279">
        <v>19238</v>
      </c>
      <c r="J73" s="279">
        <f t="shared" si="6"/>
        <v>120298</v>
      </c>
      <c r="K73" s="470">
        <v>4.9000000000000002E-2</v>
      </c>
      <c r="L73" s="470">
        <v>0.12300000000000001</v>
      </c>
      <c r="M73" s="471">
        <v>0.10400000000000001</v>
      </c>
      <c r="N73" s="282">
        <f t="shared" si="7"/>
        <v>182.672</v>
      </c>
      <c r="O73" s="283">
        <f t="shared" si="8"/>
        <v>1128.1759999999999</v>
      </c>
      <c r="P73" s="283">
        <f t="shared" si="8"/>
        <v>1506.9960000000001</v>
      </c>
      <c r="Q73" s="283">
        <f t="shared" si="9"/>
        <v>10457.706</v>
      </c>
      <c r="R73" s="283">
        <f t="shared" si="10"/>
        <v>11964.702000000001</v>
      </c>
      <c r="S73" s="283">
        <f t="shared" si="11"/>
        <v>12510.992</v>
      </c>
      <c r="U73" s="498"/>
    </row>
    <row r="74" spans="1:21" ht="24.95" customHeight="1" x14ac:dyDescent="0.2">
      <c r="A74" s="284" t="s">
        <v>87</v>
      </c>
      <c r="B74" s="285" t="s">
        <v>476</v>
      </c>
      <c r="C74" s="286" t="s">
        <v>285</v>
      </c>
      <c r="D74" s="279">
        <v>13184</v>
      </c>
      <c r="E74" s="279">
        <v>304</v>
      </c>
      <c r="F74" s="279">
        <v>1774</v>
      </c>
      <c r="G74" s="279">
        <v>337</v>
      </c>
      <c r="H74" s="279">
        <v>7065</v>
      </c>
      <c r="I74" s="279">
        <v>3704</v>
      </c>
      <c r="J74" s="279">
        <f t="shared" si="6"/>
        <v>9176</v>
      </c>
      <c r="K74" s="470">
        <v>7.5999999999999998E-2</v>
      </c>
      <c r="L74" s="470">
        <v>0.151</v>
      </c>
      <c r="M74" s="471">
        <v>0.13200000000000001</v>
      </c>
      <c r="N74" s="282">
        <f t="shared" si="7"/>
        <v>23.103999999999999</v>
      </c>
      <c r="O74" s="283">
        <f t="shared" si="8"/>
        <v>134.82399999999998</v>
      </c>
      <c r="P74" s="283">
        <f t="shared" si="8"/>
        <v>50.887</v>
      </c>
      <c r="Q74" s="283">
        <f t="shared" si="9"/>
        <v>1066.8150000000001</v>
      </c>
      <c r="R74" s="283">
        <f t="shared" si="10"/>
        <v>1117.702</v>
      </c>
      <c r="S74" s="283">
        <f t="shared" si="11"/>
        <v>1211.232</v>
      </c>
      <c r="U74" s="498"/>
    </row>
    <row r="75" spans="1:21" ht="24.95" customHeight="1" x14ac:dyDescent="0.2">
      <c r="A75" s="284" t="s">
        <v>88</v>
      </c>
      <c r="B75" s="285" t="s">
        <v>476</v>
      </c>
      <c r="C75" s="286" t="s">
        <v>286</v>
      </c>
      <c r="D75" s="279">
        <v>40112</v>
      </c>
      <c r="E75" s="279">
        <v>1498</v>
      </c>
      <c r="F75" s="279">
        <v>7712</v>
      </c>
      <c r="G75" s="279">
        <v>2282</v>
      </c>
      <c r="H75" s="279">
        <v>22474</v>
      </c>
      <c r="I75" s="279">
        <v>6146</v>
      </c>
      <c r="J75" s="279">
        <f t="shared" si="6"/>
        <v>32468</v>
      </c>
      <c r="K75" s="470">
        <v>4.4000000000000004E-2</v>
      </c>
      <c r="L75" s="470">
        <v>0.14899999999999999</v>
      </c>
      <c r="M75" s="471">
        <v>0.11900000000000001</v>
      </c>
      <c r="N75" s="282">
        <f t="shared" si="7"/>
        <v>65.912000000000006</v>
      </c>
      <c r="O75" s="283">
        <f t="shared" si="8"/>
        <v>339.32800000000003</v>
      </c>
      <c r="P75" s="283">
        <f t="shared" si="8"/>
        <v>340.01799999999997</v>
      </c>
      <c r="Q75" s="283">
        <f t="shared" si="9"/>
        <v>3348.6259999999997</v>
      </c>
      <c r="R75" s="283">
        <f t="shared" si="10"/>
        <v>3688.6439999999998</v>
      </c>
      <c r="S75" s="283">
        <f t="shared" si="11"/>
        <v>3863.6920000000005</v>
      </c>
      <c r="U75" s="498"/>
    </row>
    <row r="76" spans="1:21" ht="24.95" customHeight="1" x14ac:dyDescent="0.2">
      <c r="A76" s="284" t="s">
        <v>73</v>
      </c>
      <c r="B76" s="285" t="s">
        <v>476</v>
      </c>
      <c r="C76" s="286" t="s">
        <v>285</v>
      </c>
      <c r="D76" s="279">
        <v>60408</v>
      </c>
      <c r="E76" s="279">
        <v>1926</v>
      </c>
      <c r="F76" s="279">
        <v>10609</v>
      </c>
      <c r="G76" s="279">
        <v>2307</v>
      </c>
      <c r="H76" s="279">
        <v>34797</v>
      </c>
      <c r="I76" s="279">
        <v>10769</v>
      </c>
      <c r="J76" s="279">
        <f t="shared" si="6"/>
        <v>47713</v>
      </c>
      <c r="K76" s="470">
        <v>5.5999999999999994E-2</v>
      </c>
      <c r="L76" s="470">
        <v>0.17800000000000002</v>
      </c>
      <c r="M76" s="471">
        <v>0.14400000000000002</v>
      </c>
      <c r="N76" s="282">
        <f t="shared" si="7"/>
        <v>107.85599999999999</v>
      </c>
      <c r="O76" s="283">
        <f t="shared" si="8"/>
        <v>594.10399999999993</v>
      </c>
      <c r="P76" s="283">
        <f t="shared" si="8"/>
        <v>410.64600000000007</v>
      </c>
      <c r="Q76" s="283">
        <f t="shared" si="9"/>
        <v>6193.8660000000009</v>
      </c>
      <c r="R76" s="283">
        <f t="shared" si="10"/>
        <v>6604.5120000000006</v>
      </c>
      <c r="S76" s="283">
        <f t="shared" si="11"/>
        <v>6870.6720000000005</v>
      </c>
      <c r="U76" s="498"/>
    </row>
    <row r="77" spans="1:21" ht="24.95" customHeight="1" x14ac:dyDescent="0.2">
      <c r="A77" s="284" t="s">
        <v>89</v>
      </c>
      <c r="B77" s="285" t="s">
        <v>476</v>
      </c>
      <c r="C77" s="286" t="s">
        <v>286</v>
      </c>
      <c r="D77" s="279">
        <v>13779</v>
      </c>
      <c r="E77" s="279">
        <v>390</v>
      </c>
      <c r="F77" s="279">
        <v>2204</v>
      </c>
      <c r="G77" s="279">
        <v>412</v>
      </c>
      <c r="H77" s="279">
        <v>7143</v>
      </c>
      <c r="I77" s="279">
        <v>3630</v>
      </c>
      <c r="J77" s="279">
        <f t="shared" si="6"/>
        <v>9759</v>
      </c>
      <c r="K77" s="470">
        <v>5.5999999999999994E-2</v>
      </c>
      <c r="L77" s="470">
        <v>0.14899999999999999</v>
      </c>
      <c r="M77" s="471">
        <v>0.124</v>
      </c>
      <c r="N77" s="282">
        <f t="shared" si="7"/>
        <v>21.839999999999996</v>
      </c>
      <c r="O77" s="283">
        <f t="shared" si="8"/>
        <v>123.42399999999999</v>
      </c>
      <c r="P77" s="283">
        <f t="shared" si="8"/>
        <v>61.387999999999998</v>
      </c>
      <c r="Q77" s="283">
        <f t="shared" si="9"/>
        <v>1064.307</v>
      </c>
      <c r="R77" s="283">
        <f t="shared" si="10"/>
        <v>1125.6949999999999</v>
      </c>
      <c r="S77" s="283">
        <f t="shared" si="11"/>
        <v>1210.116</v>
      </c>
      <c r="U77" s="498"/>
    </row>
    <row r="78" spans="1:21" ht="24.95" customHeight="1" x14ac:dyDescent="0.2">
      <c r="A78" s="284" t="s">
        <v>59</v>
      </c>
      <c r="B78" s="285" t="s">
        <v>14</v>
      </c>
      <c r="C78" s="286" t="s">
        <v>285</v>
      </c>
      <c r="D78" s="279">
        <v>39845</v>
      </c>
      <c r="E78" s="279">
        <v>1337</v>
      </c>
      <c r="F78" s="279">
        <v>7106</v>
      </c>
      <c r="G78" s="279">
        <v>1236</v>
      </c>
      <c r="H78" s="279">
        <v>22724</v>
      </c>
      <c r="I78" s="279">
        <v>7442</v>
      </c>
      <c r="J78" s="279">
        <f t="shared" si="6"/>
        <v>31066</v>
      </c>
      <c r="K78" s="470">
        <v>4.2999999999999997E-2</v>
      </c>
      <c r="L78" s="470">
        <v>0.14400000000000002</v>
      </c>
      <c r="M78" s="471">
        <v>0.11699999999999999</v>
      </c>
      <c r="N78" s="282">
        <f t="shared" si="7"/>
        <v>57.490999999999993</v>
      </c>
      <c r="O78" s="283">
        <f t="shared" si="8"/>
        <v>305.55799999999999</v>
      </c>
      <c r="P78" s="283">
        <f t="shared" si="8"/>
        <v>177.98400000000001</v>
      </c>
      <c r="Q78" s="283">
        <f t="shared" si="9"/>
        <v>3272.2560000000003</v>
      </c>
      <c r="R78" s="283">
        <f t="shared" si="10"/>
        <v>3450.2400000000002</v>
      </c>
      <c r="S78" s="283">
        <f t="shared" si="11"/>
        <v>3634.7219999999998</v>
      </c>
      <c r="U78" s="498"/>
    </row>
    <row r="79" spans="1:21" ht="24.95" customHeight="1" x14ac:dyDescent="0.2">
      <c r="A79" s="284" t="s">
        <v>90</v>
      </c>
      <c r="B79" s="285" t="s">
        <v>476</v>
      </c>
      <c r="C79" s="286" t="s">
        <v>285</v>
      </c>
      <c r="D79" s="279">
        <v>177093</v>
      </c>
      <c r="E79" s="279">
        <v>6390</v>
      </c>
      <c r="F79" s="279">
        <v>32558</v>
      </c>
      <c r="G79" s="279">
        <v>14922</v>
      </c>
      <c r="H79" s="279">
        <v>101087</v>
      </c>
      <c r="I79" s="279">
        <v>22136</v>
      </c>
      <c r="J79" s="279">
        <f t="shared" si="6"/>
        <v>148567</v>
      </c>
      <c r="K79" s="470">
        <v>0.04</v>
      </c>
      <c r="L79" s="470">
        <v>0.154</v>
      </c>
      <c r="M79" s="471">
        <v>0.125</v>
      </c>
      <c r="N79" s="282">
        <f t="shared" si="7"/>
        <v>255.6</v>
      </c>
      <c r="O79" s="283">
        <f t="shared" si="8"/>
        <v>1302.32</v>
      </c>
      <c r="P79" s="283">
        <f t="shared" si="8"/>
        <v>2297.9879999999998</v>
      </c>
      <c r="Q79" s="283">
        <f t="shared" si="9"/>
        <v>15567.397999999999</v>
      </c>
      <c r="R79" s="283">
        <f t="shared" si="10"/>
        <v>17865.385999999999</v>
      </c>
      <c r="S79" s="283">
        <f t="shared" si="11"/>
        <v>18570.875</v>
      </c>
      <c r="U79" s="498"/>
    </row>
    <row r="80" spans="1:21" ht="24.95" customHeight="1" x14ac:dyDescent="0.2">
      <c r="A80" s="284" t="s">
        <v>139</v>
      </c>
      <c r="B80" s="285" t="s">
        <v>541</v>
      </c>
      <c r="C80" s="286" t="s">
        <v>286</v>
      </c>
      <c r="D80" s="279">
        <v>21020</v>
      </c>
      <c r="E80" s="279">
        <v>481</v>
      </c>
      <c r="F80" s="279">
        <v>2971</v>
      </c>
      <c r="G80" s="279">
        <v>586</v>
      </c>
      <c r="H80" s="279">
        <v>10908</v>
      </c>
      <c r="I80" s="279">
        <v>6074</v>
      </c>
      <c r="J80" s="279">
        <f t="shared" si="6"/>
        <v>14465</v>
      </c>
      <c r="K80" s="470">
        <v>7.2000000000000008E-2</v>
      </c>
      <c r="L80" s="470">
        <v>0.157</v>
      </c>
      <c r="M80" s="471">
        <v>0.13600000000000001</v>
      </c>
      <c r="N80" s="282">
        <f t="shared" si="7"/>
        <v>34.632000000000005</v>
      </c>
      <c r="O80" s="283">
        <f t="shared" si="8"/>
        <v>213.91200000000003</v>
      </c>
      <c r="P80" s="283">
        <f t="shared" si="8"/>
        <v>92.001999999999995</v>
      </c>
      <c r="Q80" s="283">
        <f t="shared" si="9"/>
        <v>1712.556</v>
      </c>
      <c r="R80" s="283">
        <f t="shared" si="10"/>
        <v>1804.558</v>
      </c>
      <c r="S80" s="283">
        <f t="shared" si="11"/>
        <v>1967.2400000000002</v>
      </c>
      <c r="U80" s="498"/>
    </row>
    <row r="81" spans="1:21" ht="24.95" customHeight="1" x14ac:dyDescent="0.2">
      <c r="A81" s="284" t="s">
        <v>121</v>
      </c>
      <c r="B81" s="285" t="s">
        <v>21</v>
      </c>
      <c r="C81" s="286" t="s">
        <v>285</v>
      </c>
      <c r="D81" s="279">
        <v>143239</v>
      </c>
      <c r="E81" s="279">
        <v>4771</v>
      </c>
      <c r="F81" s="279">
        <v>27121</v>
      </c>
      <c r="G81" s="279">
        <v>5936</v>
      </c>
      <c r="H81" s="279">
        <v>81011</v>
      </c>
      <c r="I81" s="279">
        <v>24400</v>
      </c>
      <c r="J81" s="279">
        <f t="shared" si="6"/>
        <v>114068</v>
      </c>
      <c r="K81" s="470">
        <v>5.9000000000000004E-2</v>
      </c>
      <c r="L81" s="470">
        <v>0.2</v>
      </c>
      <c r="M81" s="471">
        <v>0.161</v>
      </c>
      <c r="N81" s="282">
        <f t="shared" si="7"/>
        <v>281.48900000000003</v>
      </c>
      <c r="O81" s="283">
        <f t="shared" si="8"/>
        <v>1600.1390000000001</v>
      </c>
      <c r="P81" s="283">
        <f t="shared" si="8"/>
        <v>1187.2</v>
      </c>
      <c r="Q81" s="283">
        <f t="shared" si="9"/>
        <v>16202.2</v>
      </c>
      <c r="R81" s="283">
        <f t="shared" si="10"/>
        <v>17389.400000000001</v>
      </c>
      <c r="S81" s="283">
        <f t="shared" si="11"/>
        <v>18364.948</v>
      </c>
      <c r="U81" s="498"/>
    </row>
    <row r="82" spans="1:21" ht="24.95" customHeight="1" x14ac:dyDescent="0.2">
      <c r="A82" s="284" t="s">
        <v>122</v>
      </c>
      <c r="B82" s="285" t="s">
        <v>21</v>
      </c>
      <c r="C82" s="286" t="s">
        <v>286</v>
      </c>
      <c r="D82" s="279">
        <v>45240</v>
      </c>
      <c r="E82" s="279">
        <v>1604</v>
      </c>
      <c r="F82" s="279">
        <v>8748</v>
      </c>
      <c r="G82" s="279">
        <v>2157</v>
      </c>
      <c r="H82" s="279">
        <v>24896</v>
      </c>
      <c r="I82" s="279">
        <v>7835</v>
      </c>
      <c r="J82" s="279">
        <f t="shared" si="6"/>
        <v>35801</v>
      </c>
      <c r="K82" s="470">
        <v>4.7E-2</v>
      </c>
      <c r="L82" s="470">
        <v>0.19399999999999998</v>
      </c>
      <c r="M82" s="471">
        <v>0.152</v>
      </c>
      <c r="N82" s="282">
        <f t="shared" si="7"/>
        <v>75.388000000000005</v>
      </c>
      <c r="O82" s="283">
        <f t="shared" si="8"/>
        <v>411.15600000000001</v>
      </c>
      <c r="P82" s="283">
        <f t="shared" si="8"/>
        <v>418.45799999999997</v>
      </c>
      <c r="Q82" s="283">
        <f t="shared" si="9"/>
        <v>4829.8239999999996</v>
      </c>
      <c r="R82" s="283">
        <f t="shared" si="10"/>
        <v>5248.2819999999992</v>
      </c>
      <c r="S82" s="283">
        <f t="shared" si="11"/>
        <v>5441.7519999999995</v>
      </c>
      <c r="U82" s="498"/>
    </row>
    <row r="83" spans="1:21" ht="24.95" customHeight="1" x14ac:dyDescent="0.2">
      <c r="A83" s="284" t="s">
        <v>100</v>
      </c>
      <c r="B83" s="285" t="s">
        <v>18</v>
      </c>
      <c r="C83" s="286" t="s">
        <v>286</v>
      </c>
      <c r="D83" s="279">
        <v>132859</v>
      </c>
      <c r="E83" s="279">
        <v>5236</v>
      </c>
      <c r="F83" s="279">
        <v>27334</v>
      </c>
      <c r="G83" s="279">
        <v>7825</v>
      </c>
      <c r="H83" s="279">
        <v>73311</v>
      </c>
      <c r="I83" s="279">
        <v>19153</v>
      </c>
      <c r="J83" s="279">
        <f t="shared" si="6"/>
        <v>108470</v>
      </c>
      <c r="K83" s="470">
        <v>5.2000000000000005E-2</v>
      </c>
      <c r="L83" s="470">
        <v>0.26</v>
      </c>
      <c r="M83" s="471">
        <v>0.19600000000000001</v>
      </c>
      <c r="N83" s="282">
        <f t="shared" si="7"/>
        <v>272.27200000000005</v>
      </c>
      <c r="O83" s="283">
        <f t="shared" si="8"/>
        <v>1421.3680000000002</v>
      </c>
      <c r="P83" s="283">
        <f t="shared" si="8"/>
        <v>2034.5</v>
      </c>
      <c r="Q83" s="283">
        <f t="shared" si="9"/>
        <v>19060.86</v>
      </c>
      <c r="R83" s="283">
        <f t="shared" si="10"/>
        <v>21095.360000000001</v>
      </c>
      <c r="S83" s="283">
        <f t="shared" si="11"/>
        <v>21260.120000000003</v>
      </c>
      <c r="U83" s="498"/>
    </row>
    <row r="84" spans="1:21" ht="24.95" customHeight="1" x14ac:dyDescent="0.2">
      <c r="A84" s="284" t="s">
        <v>67</v>
      </c>
      <c r="B84" s="285" t="s">
        <v>14</v>
      </c>
      <c r="C84" s="286" t="s">
        <v>285</v>
      </c>
      <c r="D84" s="279">
        <v>91876</v>
      </c>
      <c r="E84" s="279">
        <v>2914</v>
      </c>
      <c r="F84" s="279">
        <v>15898</v>
      </c>
      <c r="G84" s="279">
        <v>3171</v>
      </c>
      <c r="H84" s="279">
        <v>52101</v>
      </c>
      <c r="I84" s="279">
        <v>17792</v>
      </c>
      <c r="J84" s="279">
        <f t="shared" si="6"/>
        <v>71170</v>
      </c>
      <c r="K84" s="470">
        <v>4.7E-2</v>
      </c>
      <c r="L84" s="470">
        <v>0.16200000000000001</v>
      </c>
      <c r="M84" s="471">
        <v>0.13200000000000001</v>
      </c>
      <c r="N84" s="282">
        <f t="shared" si="7"/>
        <v>136.958</v>
      </c>
      <c r="O84" s="283">
        <f t="shared" si="8"/>
        <v>747.20600000000002</v>
      </c>
      <c r="P84" s="283">
        <f t="shared" si="8"/>
        <v>513.702</v>
      </c>
      <c r="Q84" s="283">
        <f t="shared" si="9"/>
        <v>8440.362000000001</v>
      </c>
      <c r="R84" s="283">
        <f t="shared" si="10"/>
        <v>8954.0640000000003</v>
      </c>
      <c r="S84" s="283">
        <f t="shared" si="11"/>
        <v>9394.44</v>
      </c>
      <c r="U84" s="498"/>
    </row>
    <row r="85" spans="1:21" ht="24.95" customHeight="1" x14ac:dyDescent="0.2">
      <c r="A85" s="284" t="s">
        <v>60</v>
      </c>
      <c r="B85" s="285" t="s">
        <v>14</v>
      </c>
      <c r="C85" s="286" t="s">
        <v>285</v>
      </c>
      <c r="D85" s="279">
        <v>141806</v>
      </c>
      <c r="E85" s="279">
        <v>4718</v>
      </c>
      <c r="F85" s="279">
        <v>27013</v>
      </c>
      <c r="G85" s="279">
        <v>5721</v>
      </c>
      <c r="H85" s="279">
        <v>80489</v>
      </c>
      <c r="I85" s="279">
        <v>23865</v>
      </c>
      <c r="J85" s="279">
        <f t="shared" si="6"/>
        <v>113223</v>
      </c>
      <c r="K85" s="470">
        <v>4.5999999999999999E-2</v>
      </c>
      <c r="L85" s="470">
        <v>0.17399999999999999</v>
      </c>
      <c r="M85" s="471">
        <v>0.13900000000000001</v>
      </c>
      <c r="N85" s="282">
        <f t="shared" si="7"/>
        <v>217.02799999999999</v>
      </c>
      <c r="O85" s="283">
        <f t="shared" si="8"/>
        <v>1242.598</v>
      </c>
      <c r="P85" s="283">
        <f t="shared" si="8"/>
        <v>995.45399999999995</v>
      </c>
      <c r="Q85" s="283">
        <f t="shared" si="9"/>
        <v>14005.085999999999</v>
      </c>
      <c r="R85" s="283">
        <f t="shared" si="10"/>
        <v>15000.539999999999</v>
      </c>
      <c r="S85" s="283">
        <f t="shared" si="11"/>
        <v>15737.997000000001</v>
      </c>
      <c r="U85" s="498"/>
    </row>
    <row r="86" spans="1:21" ht="24.95" customHeight="1" x14ac:dyDescent="0.2">
      <c r="A86" s="284" t="s">
        <v>140</v>
      </c>
      <c r="B86" s="285" t="s">
        <v>541</v>
      </c>
      <c r="C86" s="286" t="s">
        <v>286</v>
      </c>
      <c r="D86" s="279">
        <v>67735</v>
      </c>
      <c r="E86" s="279">
        <v>2186</v>
      </c>
      <c r="F86" s="279">
        <v>11873</v>
      </c>
      <c r="G86" s="279">
        <v>2339</v>
      </c>
      <c r="H86" s="279">
        <v>37478</v>
      </c>
      <c r="I86" s="279">
        <v>13859</v>
      </c>
      <c r="J86" s="279">
        <f t="shared" si="6"/>
        <v>51690</v>
      </c>
      <c r="K86" s="470">
        <v>3.9E-2</v>
      </c>
      <c r="L86" s="470">
        <v>0.16600000000000001</v>
      </c>
      <c r="M86" s="471">
        <v>0.13200000000000001</v>
      </c>
      <c r="N86" s="282">
        <f t="shared" si="7"/>
        <v>85.254000000000005</v>
      </c>
      <c r="O86" s="283">
        <f t="shared" si="8"/>
        <v>463.04700000000003</v>
      </c>
      <c r="P86" s="283">
        <f t="shared" si="8"/>
        <v>388.274</v>
      </c>
      <c r="Q86" s="283">
        <f t="shared" si="9"/>
        <v>6221.348</v>
      </c>
      <c r="R86" s="283">
        <f t="shared" si="10"/>
        <v>6609.6220000000003</v>
      </c>
      <c r="S86" s="283">
        <f t="shared" si="11"/>
        <v>6823.08</v>
      </c>
      <c r="U86" s="498"/>
    </row>
    <row r="87" spans="1:21" ht="24.95" customHeight="1" x14ac:dyDescent="0.2">
      <c r="A87" s="284" t="s">
        <v>101</v>
      </c>
      <c r="B87" s="285" t="s">
        <v>18</v>
      </c>
      <c r="C87" s="286" t="s">
        <v>286</v>
      </c>
      <c r="D87" s="279">
        <v>63994</v>
      </c>
      <c r="E87" s="279">
        <v>2466</v>
      </c>
      <c r="F87" s="279">
        <v>13227</v>
      </c>
      <c r="G87" s="279">
        <v>2654</v>
      </c>
      <c r="H87" s="279">
        <v>34779</v>
      </c>
      <c r="I87" s="279">
        <v>10868</v>
      </c>
      <c r="J87" s="279">
        <f t="shared" si="6"/>
        <v>50660</v>
      </c>
      <c r="K87" s="470">
        <v>7.2999999999999995E-2</v>
      </c>
      <c r="L87" s="470">
        <v>0.23699999999999999</v>
      </c>
      <c r="M87" s="471">
        <v>0.188</v>
      </c>
      <c r="N87" s="282">
        <f t="shared" si="7"/>
        <v>180.018</v>
      </c>
      <c r="O87" s="283">
        <f t="shared" si="8"/>
        <v>965.57099999999991</v>
      </c>
      <c r="P87" s="283">
        <f t="shared" si="8"/>
        <v>628.99799999999993</v>
      </c>
      <c r="Q87" s="283">
        <f t="shared" si="9"/>
        <v>8242.6229999999996</v>
      </c>
      <c r="R87" s="283">
        <f t="shared" si="10"/>
        <v>8871.6209999999992</v>
      </c>
      <c r="S87" s="283">
        <f t="shared" si="11"/>
        <v>9524.08</v>
      </c>
      <c r="U87" s="498"/>
    </row>
    <row r="88" spans="1:21" ht="24.95" customHeight="1" x14ac:dyDescent="0.2">
      <c r="A88" s="284" t="s">
        <v>102</v>
      </c>
      <c r="B88" s="285" t="s">
        <v>18</v>
      </c>
      <c r="C88" s="286" t="s">
        <v>286</v>
      </c>
      <c r="D88" s="279">
        <v>35462</v>
      </c>
      <c r="E88" s="279">
        <v>1370</v>
      </c>
      <c r="F88" s="279">
        <v>6945</v>
      </c>
      <c r="G88" s="279">
        <v>1375</v>
      </c>
      <c r="H88" s="279">
        <v>19531</v>
      </c>
      <c r="I88" s="279">
        <v>6241</v>
      </c>
      <c r="J88" s="279">
        <f t="shared" si="6"/>
        <v>27851</v>
      </c>
      <c r="K88" s="470">
        <v>5.0999999999999997E-2</v>
      </c>
      <c r="L88" s="470">
        <v>0.188</v>
      </c>
      <c r="M88" s="471">
        <v>0.14699999999999999</v>
      </c>
      <c r="N88" s="282">
        <f t="shared" si="7"/>
        <v>69.86999999999999</v>
      </c>
      <c r="O88" s="283">
        <f t="shared" si="8"/>
        <v>354.19499999999999</v>
      </c>
      <c r="P88" s="283">
        <f t="shared" si="8"/>
        <v>258.5</v>
      </c>
      <c r="Q88" s="283">
        <f t="shared" si="9"/>
        <v>3671.828</v>
      </c>
      <c r="R88" s="283">
        <f t="shared" si="10"/>
        <v>3930.328</v>
      </c>
      <c r="S88" s="283">
        <f t="shared" si="11"/>
        <v>4094.0969999999998</v>
      </c>
      <c r="U88" s="498"/>
    </row>
    <row r="89" spans="1:21" ht="24.95" customHeight="1" x14ac:dyDescent="0.2">
      <c r="A89" s="284" t="s">
        <v>61</v>
      </c>
      <c r="B89" s="285" t="s">
        <v>14</v>
      </c>
      <c r="C89" s="286" t="s">
        <v>286</v>
      </c>
      <c r="D89" s="279">
        <v>61670</v>
      </c>
      <c r="E89" s="279">
        <v>2048</v>
      </c>
      <c r="F89" s="279">
        <v>10973</v>
      </c>
      <c r="G89" s="279">
        <v>2330</v>
      </c>
      <c r="H89" s="279">
        <v>34926</v>
      </c>
      <c r="I89" s="279">
        <v>11393</v>
      </c>
      <c r="J89" s="279">
        <f t="shared" si="6"/>
        <v>48229</v>
      </c>
      <c r="K89" s="470">
        <v>4.7E-2</v>
      </c>
      <c r="L89" s="470">
        <v>0.158</v>
      </c>
      <c r="M89" s="471">
        <v>0.128</v>
      </c>
      <c r="N89" s="282">
        <f t="shared" si="7"/>
        <v>96.256</v>
      </c>
      <c r="O89" s="283">
        <f t="shared" si="8"/>
        <v>515.73099999999999</v>
      </c>
      <c r="P89" s="283">
        <f t="shared" si="8"/>
        <v>368.14</v>
      </c>
      <c r="Q89" s="283">
        <f t="shared" si="9"/>
        <v>5518.308</v>
      </c>
      <c r="R89" s="283">
        <f t="shared" si="10"/>
        <v>5886.4480000000003</v>
      </c>
      <c r="S89" s="283">
        <f t="shared" si="11"/>
        <v>6173.3119999999999</v>
      </c>
      <c r="U89" s="498"/>
    </row>
    <row r="90" spans="1:21" ht="24.95" customHeight="1" x14ac:dyDescent="0.2">
      <c r="A90" s="284" t="s">
        <v>68</v>
      </c>
      <c r="B90" s="285" t="s">
        <v>14</v>
      </c>
      <c r="C90" s="286" t="s">
        <v>285</v>
      </c>
      <c r="D90" s="279">
        <v>46708</v>
      </c>
      <c r="E90" s="279">
        <v>1322</v>
      </c>
      <c r="F90" s="279">
        <v>7444</v>
      </c>
      <c r="G90" s="279">
        <v>1500</v>
      </c>
      <c r="H90" s="279">
        <v>27275</v>
      </c>
      <c r="I90" s="279">
        <v>9167</v>
      </c>
      <c r="J90" s="279">
        <f t="shared" si="6"/>
        <v>36219</v>
      </c>
      <c r="K90" s="470">
        <v>4.5999999999999999E-2</v>
      </c>
      <c r="L90" s="470">
        <v>0.16200000000000001</v>
      </c>
      <c r="M90" s="471">
        <v>0.13</v>
      </c>
      <c r="N90" s="282">
        <f t="shared" si="7"/>
        <v>60.811999999999998</v>
      </c>
      <c r="O90" s="283">
        <f t="shared" si="8"/>
        <v>342.42399999999998</v>
      </c>
      <c r="P90" s="283">
        <f t="shared" si="8"/>
        <v>243</v>
      </c>
      <c r="Q90" s="283">
        <f t="shared" si="9"/>
        <v>4418.55</v>
      </c>
      <c r="R90" s="283">
        <f t="shared" si="10"/>
        <v>4661.55</v>
      </c>
      <c r="S90" s="283">
        <f t="shared" si="11"/>
        <v>4708.47</v>
      </c>
      <c r="U90" s="498"/>
    </row>
    <row r="91" spans="1:21" ht="24.95" customHeight="1" x14ac:dyDescent="0.2">
      <c r="A91" s="284" t="s">
        <v>112</v>
      </c>
      <c r="B91" s="285" t="s">
        <v>20</v>
      </c>
      <c r="C91" s="286" t="s">
        <v>286</v>
      </c>
      <c r="D91" s="279">
        <v>73196</v>
      </c>
      <c r="E91" s="279">
        <v>2280</v>
      </c>
      <c r="F91" s="279">
        <v>13088</v>
      </c>
      <c r="G91" s="279">
        <v>3116</v>
      </c>
      <c r="H91" s="279">
        <v>40594</v>
      </c>
      <c r="I91" s="279">
        <v>14118</v>
      </c>
      <c r="J91" s="279">
        <f t="shared" si="6"/>
        <v>56798</v>
      </c>
      <c r="K91" s="470">
        <v>4.4999999999999998E-2</v>
      </c>
      <c r="L91" s="470">
        <v>0.155</v>
      </c>
      <c r="M91" s="471">
        <v>0.128</v>
      </c>
      <c r="N91" s="282">
        <f t="shared" si="7"/>
        <v>102.6</v>
      </c>
      <c r="O91" s="283">
        <f t="shared" si="8"/>
        <v>588.95999999999992</v>
      </c>
      <c r="P91" s="283">
        <f t="shared" si="8"/>
        <v>482.98</v>
      </c>
      <c r="Q91" s="283">
        <f t="shared" si="9"/>
        <v>6292.07</v>
      </c>
      <c r="R91" s="283">
        <f t="shared" si="10"/>
        <v>6775.0499999999993</v>
      </c>
      <c r="S91" s="283">
        <f t="shared" si="11"/>
        <v>7270.1440000000002</v>
      </c>
      <c r="U91" s="498"/>
    </row>
    <row r="92" spans="1:21" ht="24.95" customHeight="1" x14ac:dyDescent="0.2">
      <c r="A92" s="284" t="s">
        <v>141</v>
      </c>
      <c r="B92" s="285" t="s">
        <v>541</v>
      </c>
      <c r="C92" s="286" t="s">
        <v>286</v>
      </c>
      <c r="D92" s="279">
        <v>15256</v>
      </c>
      <c r="E92" s="279">
        <v>671</v>
      </c>
      <c r="F92" s="279">
        <v>2928</v>
      </c>
      <c r="G92" s="279">
        <v>502</v>
      </c>
      <c r="H92" s="279">
        <v>8247</v>
      </c>
      <c r="I92" s="279">
        <v>2908</v>
      </c>
      <c r="J92" s="279">
        <f t="shared" si="6"/>
        <v>11677</v>
      </c>
      <c r="K92" s="470">
        <v>6.0999999999999999E-2</v>
      </c>
      <c r="L92" s="470">
        <v>0.19600000000000001</v>
      </c>
      <c r="M92" s="471">
        <v>0.159</v>
      </c>
      <c r="N92" s="282">
        <f t="shared" si="7"/>
        <v>40.930999999999997</v>
      </c>
      <c r="O92" s="283">
        <f t="shared" si="8"/>
        <v>178.608</v>
      </c>
      <c r="P92" s="283">
        <f t="shared" si="8"/>
        <v>98.39200000000001</v>
      </c>
      <c r="Q92" s="283">
        <f t="shared" si="9"/>
        <v>1616.412</v>
      </c>
      <c r="R92" s="283">
        <f t="shared" si="10"/>
        <v>1714.8040000000001</v>
      </c>
      <c r="S92" s="283">
        <f t="shared" si="11"/>
        <v>1856.643</v>
      </c>
      <c r="U92" s="498"/>
    </row>
    <row r="93" spans="1:21" ht="24.95" customHeight="1" x14ac:dyDescent="0.2">
      <c r="A93" s="284" t="s">
        <v>142</v>
      </c>
      <c r="B93" s="285" t="s">
        <v>541</v>
      </c>
      <c r="C93" s="286" t="s">
        <v>286</v>
      </c>
      <c r="D93" s="279">
        <v>34369</v>
      </c>
      <c r="E93" s="279">
        <v>914</v>
      </c>
      <c r="F93" s="279">
        <v>4767</v>
      </c>
      <c r="G93" s="279">
        <v>1329</v>
      </c>
      <c r="H93" s="279">
        <v>16853</v>
      </c>
      <c r="I93" s="279">
        <v>10506</v>
      </c>
      <c r="J93" s="279">
        <f t="shared" si="6"/>
        <v>22949</v>
      </c>
      <c r="K93" s="470">
        <v>7.2000000000000008E-2</v>
      </c>
      <c r="L93" s="470">
        <v>0.221</v>
      </c>
      <c r="M93" s="471">
        <v>0.18</v>
      </c>
      <c r="N93" s="282">
        <f t="shared" si="7"/>
        <v>65.808000000000007</v>
      </c>
      <c r="O93" s="283">
        <f t="shared" si="8"/>
        <v>343.22400000000005</v>
      </c>
      <c r="P93" s="283">
        <f t="shared" si="8"/>
        <v>293.709</v>
      </c>
      <c r="Q93" s="283">
        <f t="shared" si="9"/>
        <v>3724.5129999999999</v>
      </c>
      <c r="R93" s="283">
        <f t="shared" si="10"/>
        <v>4018.2219999999998</v>
      </c>
      <c r="S93" s="283">
        <f t="shared" si="11"/>
        <v>4130.82</v>
      </c>
      <c r="U93" s="498"/>
    </row>
    <row r="94" spans="1:21" ht="24.95" customHeight="1" x14ac:dyDescent="0.2">
      <c r="A94" s="284" t="s">
        <v>91</v>
      </c>
      <c r="B94" s="285" t="s">
        <v>476</v>
      </c>
      <c r="C94" s="286" t="s">
        <v>286</v>
      </c>
      <c r="D94" s="279">
        <v>4215</v>
      </c>
      <c r="E94" s="279">
        <v>126</v>
      </c>
      <c r="F94" s="279">
        <v>653</v>
      </c>
      <c r="G94" s="279">
        <v>112</v>
      </c>
      <c r="H94" s="279">
        <v>2503</v>
      </c>
      <c r="I94" s="279">
        <v>821</v>
      </c>
      <c r="J94" s="279">
        <f t="shared" si="6"/>
        <v>3268</v>
      </c>
      <c r="K94" s="470">
        <v>5.5999999999999994E-2</v>
      </c>
      <c r="L94" s="470">
        <v>0.16300000000000001</v>
      </c>
      <c r="M94" s="471">
        <v>0.13699999999999998</v>
      </c>
      <c r="N94" s="282">
        <f t="shared" si="7"/>
        <v>7.0559999999999992</v>
      </c>
      <c r="O94" s="283">
        <f t="shared" si="8"/>
        <v>36.567999999999998</v>
      </c>
      <c r="P94" s="283">
        <f t="shared" si="8"/>
        <v>18.256</v>
      </c>
      <c r="Q94" s="283">
        <f t="shared" si="9"/>
        <v>407.98900000000003</v>
      </c>
      <c r="R94" s="283">
        <f t="shared" si="10"/>
        <v>426.245</v>
      </c>
      <c r="S94" s="283">
        <f t="shared" si="11"/>
        <v>447.71599999999995</v>
      </c>
      <c r="U94" s="498"/>
    </row>
    <row r="95" spans="1:21" ht="24.95" customHeight="1" x14ac:dyDescent="0.2">
      <c r="A95" s="284" t="s">
        <v>62</v>
      </c>
      <c r="B95" s="285" t="s">
        <v>14</v>
      </c>
      <c r="C95" s="286" t="s">
        <v>285</v>
      </c>
      <c r="D95" s="279">
        <v>228065</v>
      </c>
      <c r="E95" s="279">
        <v>8052</v>
      </c>
      <c r="F95" s="279">
        <v>50409</v>
      </c>
      <c r="G95" s="279">
        <v>10373</v>
      </c>
      <c r="H95" s="279">
        <v>131014</v>
      </c>
      <c r="I95" s="279">
        <v>28217</v>
      </c>
      <c r="J95" s="279">
        <f t="shared" si="6"/>
        <v>191796</v>
      </c>
      <c r="K95" s="470">
        <v>8.6999999999999994E-2</v>
      </c>
      <c r="L95" s="470">
        <v>0.23100000000000001</v>
      </c>
      <c r="M95" s="471">
        <v>0.192</v>
      </c>
      <c r="N95" s="282">
        <f t="shared" si="7"/>
        <v>700.524</v>
      </c>
      <c r="O95" s="283">
        <f t="shared" si="8"/>
        <v>4385.5829999999996</v>
      </c>
      <c r="P95" s="283">
        <f t="shared" si="8"/>
        <v>2396.163</v>
      </c>
      <c r="Q95" s="283">
        <f t="shared" si="9"/>
        <v>30264.234</v>
      </c>
      <c r="R95" s="283">
        <f t="shared" si="10"/>
        <v>32660.397000000001</v>
      </c>
      <c r="S95" s="283">
        <f t="shared" si="11"/>
        <v>36824.832000000002</v>
      </c>
      <c r="U95" s="498"/>
    </row>
    <row r="96" spans="1:21" ht="24.95" customHeight="1" x14ac:dyDescent="0.2">
      <c r="A96" s="284" t="s">
        <v>63</v>
      </c>
      <c r="B96" s="285" t="s">
        <v>14</v>
      </c>
      <c r="C96" s="286" t="s">
        <v>286</v>
      </c>
      <c r="D96" s="279">
        <v>45127</v>
      </c>
      <c r="E96" s="279">
        <v>1700</v>
      </c>
      <c r="F96" s="279">
        <v>9013</v>
      </c>
      <c r="G96" s="279">
        <v>1746</v>
      </c>
      <c r="H96" s="279">
        <v>24832</v>
      </c>
      <c r="I96" s="279">
        <v>7836</v>
      </c>
      <c r="J96" s="279">
        <f t="shared" si="6"/>
        <v>35591</v>
      </c>
      <c r="K96" s="470">
        <v>4.9000000000000002E-2</v>
      </c>
      <c r="L96" s="470">
        <v>0.14499999999999999</v>
      </c>
      <c r="M96" s="471">
        <v>0.113</v>
      </c>
      <c r="N96" s="282">
        <f t="shared" si="7"/>
        <v>83.3</v>
      </c>
      <c r="O96" s="283">
        <f t="shared" si="8"/>
        <v>441.637</v>
      </c>
      <c r="P96" s="283">
        <f t="shared" si="8"/>
        <v>253.17</v>
      </c>
      <c r="Q96" s="283">
        <f t="shared" si="9"/>
        <v>3600.64</v>
      </c>
      <c r="R96" s="283">
        <f t="shared" si="10"/>
        <v>3853.81</v>
      </c>
      <c r="S96" s="283">
        <f t="shared" si="11"/>
        <v>4021.7829999999999</v>
      </c>
      <c r="U96" s="498"/>
    </row>
    <row r="97" spans="1:21" ht="24.95" customHeight="1" x14ac:dyDescent="0.2">
      <c r="A97" s="284" t="s">
        <v>49</v>
      </c>
      <c r="B97" s="285" t="s">
        <v>13</v>
      </c>
      <c r="C97" s="286" t="s">
        <v>285</v>
      </c>
      <c r="D97" s="279">
        <v>1052122</v>
      </c>
      <c r="E97" s="279">
        <v>38817</v>
      </c>
      <c r="F97" s="279">
        <v>214991</v>
      </c>
      <c r="G97" s="279">
        <v>43308</v>
      </c>
      <c r="H97" s="279">
        <v>637968</v>
      </c>
      <c r="I97" s="279">
        <v>117038</v>
      </c>
      <c r="J97" s="279">
        <f t="shared" si="6"/>
        <v>896267</v>
      </c>
      <c r="K97" s="470">
        <v>4.2000000000000003E-2</v>
      </c>
      <c r="L97" s="470">
        <v>0.17600000000000002</v>
      </c>
      <c r="M97" s="471">
        <v>0.13699999999999998</v>
      </c>
      <c r="N97" s="282">
        <f t="shared" si="7"/>
        <v>1630.3140000000001</v>
      </c>
      <c r="O97" s="283">
        <f t="shared" si="8"/>
        <v>9029.6220000000012</v>
      </c>
      <c r="P97" s="283">
        <f t="shared" si="8"/>
        <v>7622.2080000000005</v>
      </c>
      <c r="Q97" s="283">
        <f t="shared" si="9"/>
        <v>112282.36800000002</v>
      </c>
      <c r="R97" s="283">
        <f t="shared" si="10"/>
        <v>119904.57600000002</v>
      </c>
      <c r="S97" s="283">
        <f t="shared" si="11"/>
        <v>122788.57899999998</v>
      </c>
      <c r="U97" s="498"/>
    </row>
    <row r="98" spans="1:21" ht="24.95" customHeight="1" x14ac:dyDescent="0.2">
      <c r="A98" s="276" t="s">
        <v>64</v>
      </c>
      <c r="B98" s="277" t="s">
        <v>14</v>
      </c>
      <c r="C98" s="278" t="s">
        <v>286</v>
      </c>
      <c r="D98" s="279">
        <v>20473</v>
      </c>
      <c r="E98" s="279">
        <v>601</v>
      </c>
      <c r="F98" s="279">
        <v>3223</v>
      </c>
      <c r="G98" s="279">
        <v>568</v>
      </c>
      <c r="H98" s="279">
        <v>11308</v>
      </c>
      <c r="I98" s="279">
        <v>4773</v>
      </c>
      <c r="J98" s="279">
        <f t="shared" si="6"/>
        <v>15099</v>
      </c>
      <c r="K98" s="470">
        <v>3.7999999999999999E-2</v>
      </c>
      <c r="L98" s="470">
        <v>0.122</v>
      </c>
      <c r="M98" s="471">
        <v>9.6999999999999989E-2</v>
      </c>
      <c r="N98" s="282">
        <f t="shared" si="7"/>
        <v>22.838000000000001</v>
      </c>
      <c r="O98" s="283">
        <f t="shared" si="8"/>
        <v>122.474</v>
      </c>
      <c r="P98" s="283">
        <f t="shared" si="8"/>
        <v>69.295999999999992</v>
      </c>
      <c r="Q98" s="283">
        <f t="shared" si="9"/>
        <v>1379.576</v>
      </c>
      <c r="R98" s="283">
        <f t="shared" si="10"/>
        <v>1448.8720000000001</v>
      </c>
      <c r="S98" s="283">
        <f t="shared" si="11"/>
        <v>1464.6029999999998</v>
      </c>
      <c r="U98" s="498"/>
    </row>
    <row r="99" spans="1:21" ht="24.95" customHeight="1" x14ac:dyDescent="0.2">
      <c r="A99" s="276" t="s">
        <v>92</v>
      </c>
      <c r="B99" s="277" t="s">
        <v>476</v>
      </c>
      <c r="C99" s="278" t="s">
        <v>286</v>
      </c>
      <c r="D99" s="279">
        <v>12429</v>
      </c>
      <c r="E99" s="279">
        <v>412</v>
      </c>
      <c r="F99" s="279">
        <v>2293</v>
      </c>
      <c r="G99" s="279">
        <v>328</v>
      </c>
      <c r="H99" s="279">
        <v>6559</v>
      </c>
      <c r="I99" s="279">
        <v>2837</v>
      </c>
      <c r="J99" s="279">
        <f t="shared" si="6"/>
        <v>9180</v>
      </c>
      <c r="K99" s="470">
        <v>6.7000000000000004E-2</v>
      </c>
      <c r="L99" s="470">
        <v>0.20199999999999999</v>
      </c>
      <c r="M99" s="471">
        <v>0.16800000000000001</v>
      </c>
      <c r="N99" s="282">
        <f t="shared" si="7"/>
        <v>27.604000000000003</v>
      </c>
      <c r="O99" s="283">
        <f t="shared" si="8"/>
        <v>153.631</v>
      </c>
      <c r="P99" s="283">
        <f t="shared" si="8"/>
        <v>66.256</v>
      </c>
      <c r="Q99" s="283">
        <f t="shared" si="9"/>
        <v>1324.9179999999999</v>
      </c>
      <c r="R99" s="283">
        <f t="shared" si="10"/>
        <v>1391.174</v>
      </c>
      <c r="S99" s="283">
        <f t="shared" si="11"/>
        <v>1542.24</v>
      </c>
      <c r="U99" s="498"/>
    </row>
    <row r="100" spans="1:21" ht="24.95" customHeight="1" x14ac:dyDescent="0.2">
      <c r="A100" s="276" t="s">
        <v>143</v>
      </c>
      <c r="B100" s="277" t="s">
        <v>541</v>
      </c>
      <c r="C100" s="278" t="s">
        <v>286</v>
      </c>
      <c r="D100" s="279">
        <v>54940</v>
      </c>
      <c r="E100" s="279">
        <v>1116</v>
      </c>
      <c r="F100" s="279">
        <v>5939</v>
      </c>
      <c r="G100" s="279">
        <v>8587</v>
      </c>
      <c r="H100" s="279">
        <v>30564</v>
      </c>
      <c r="I100" s="279">
        <v>8734</v>
      </c>
      <c r="J100" s="279">
        <f t="shared" si="6"/>
        <v>45090</v>
      </c>
      <c r="K100" s="470">
        <v>4.7E-2</v>
      </c>
      <c r="L100" s="470">
        <v>0.17100000000000001</v>
      </c>
      <c r="M100" s="471">
        <v>0.13800000000000001</v>
      </c>
      <c r="N100" s="282">
        <f t="shared" si="7"/>
        <v>52.451999999999998</v>
      </c>
      <c r="O100" s="283">
        <f t="shared" si="8"/>
        <v>279.13299999999998</v>
      </c>
      <c r="P100" s="283">
        <f t="shared" si="8"/>
        <v>1468.3770000000002</v>
      </c>
      <c r="Q100" s="283">
        <f t="shared" si="9"/>
        <v>5226.4440000000004</v>
      </c>
      <c r="R100" s="283">
        <f t="shared" si="10"/>
        <v>6694.8210000000008</v>
      </c>
      <c r="S100" s="283">
        <f t="shared" si="11"/>
        <v>6222.42</v>
      </c>
      <c r="U100" s="498"/>
    </row>
    <row r="101" spans="1:21" ht="24.95" customHeight="1" x14ac:dyDescent="0.2">
      <c r="A101" s="276" t="s">
        <v>103</v>
      </c>
      <c r="B101" s="277" t="s">
        <v>18</v>
      </c>
      <c r="C101" s="278" t="s">
        <v>285</v>
      </c>
      <c r="D101" s="279">
        <v>125146</v>
      </c>
      <c r="E101" s="279">
        <v>5012</v>
      </c>
      <c r="F101" s="279">
        <v>25676</v>
      </c>
      <c r="G101" s="279">
        <v>5057</v>
      </c>
      <c r="H101" s="279">
        <v>69841</v>
      </c>
      <c r="I101" s="279">
        <v>19560</v>
      </c>
      <c r="J101" s="279">
        <f t="shared" si="6"/>
        <v>100574</v>
      </c>
      <c r="K101" s="470">
        <v>4.9000000000000002E-2</v>
      </c>
      <c r="L101" s="470">
        <v>0.15</v>
      </c>
      <c r="M101" s="471">
        <v>0.13200000000000001</v>
      </c>
      <c r="N101" s="282">
        <f t="shared" si="7"/>
        <v>245.58800000000002</v>
      </c>
      <c r="O101" s="283">
        <f t="shared" si="8"/>
        <v>1258.124</v>
      </c>
      <c r="P101" s="283">
        <f t="shared" si="8"/>
        <v>758.55</v>
      </c>
      <c r="Q101" s="283">
        <f t="shared" si="9"/>
        <v>10476.15</v>
      </c>
      <c r="R101" s="283">
        <f t="shared" si="10"/>
        <v>11234.699999999999</v>
      </c>
      <c r="S101" s="283">
        <f t="shared" si="11"/>
        <v>13275.768</v>
      </c>
      <c r="U101" s="498"/>
    </row>
    <row r="102" spans="1:21" ht="24.95" customHeight="1" x14ac:dyDescent="0.2">
      <c r="A102" s="276" t="s">
        <v>144</v>
      </c>
      <c r="B102" s="277" t="s">
        <v>541</v>
      </c>
      <c r="C102" s="278" t="s">
        <v>286</v>
      </c>
      <c r="D102" s="279">
        <v>69664</v>
      </c>
      <c r="E102" s="279">
        <v>2162</v>
      </c>
      <c r="F102" s="279">
        <v>12043</v>
      </c>
      <c r="G102" s="279">
        <v>2431</v>
      </c>
      <c r="H102" s="279">
        <v>38663</v>
      </c>
      <c r="I102" s="279">
        <v>14365</v>
      </c>
      <c r="J102" s="279">
        <f t="shared" si="6"/>
        <v>53137</v>
      </c>
      <c r="K102" s="470">
        <v>5.0999999999999997E-2</v>
      </c>
      <c r="L102" s="470">
        <v>0.17300000000000001</v>
      </c>
      <c r="M102" s="471">
        <v>0.13800000000000001</v>
      </c>
      <c r="N102" s="282">
        <f t="shared" si="7"/>
        <v>110.26199999999999</v>
      </c>
      <c r="O102" s="283">
        <f t="shared" si="8"/>
        <v>614.19299999999998</v>
      </c>
      <c r="P102" s="283">
        <f t="shared" si="8"/>
        <v>420.56300000000005</v>
      </c>
      <c r="Q102" s="283">
        <f t="shared" si="9"/>
        <v>6688.6990000000005</v>
      </c>
      <c r="R102" s="283">
        <f t="shared" si="10"/>
        <v>7109.2620000000006</v>
      </c>
      <c r="S102" s="283">
        <f t="shared" si="11"/>
        <v>7332.9060000000009</v>
      </c>
      <c r="U102" s="498"/>
    </row>
    <row r="103" spans="1:21" ht="24.95" customHeight="1" x14ac:dyDescent="0.2">
      <c r="A103" s="276" t="s">
        <v>104</v>
      </c>
      <c r="B103" s="277" t="s">
        <v>18</v>
      </c>
      <c r="C103" s="278" t="s">
        <v>286</v>
      </c>
      <c r="D103" s="279">
        <v>82686</v>
      </c>
      <c r="E103" s="279">
        <v>2938</v>
      </c>
      <c r="F103" s="279">
        <v>16061</v>
      </c>
      <c r="G103" s="279">
        <v>3126</v>
      </c>
      <c r="H103" s="279">
        <v>46320</v>
      </c>
      <c r="I103" s="279">
        <v>14241</v>
      </c>
      <c r="J103" s="279">
        <f t="shared" si="6"/>
        <v>65507</v>
      </c>
      <c r="K103" s="470">
        <v>5.5999999999999994E-2</v>
      </c>
      <c r="L103" s="470">
        <v>0.19600000000000001</v>
      </c>
      <c r="M103" s="471">
        <v>0.159</v>
      </c>
      <c r="N103" s="282">
        <f t="shared" si="7"/>
        <v>164.52799999999999</v>
      </c>
      <c r="O103" s="283">
        <f t="shared" si="8"/>
        <v>899.41599999999994</v>
      </c>
      <c r="P103" s="283">
        <f t="shared" si="8"/>
        <v>612.69600000000003</v>
      </c>
      <c r="Q103" s="283">
        <f t="shared" si="9"/>
        <v>9078.7200000000012</v>
      </c>
      <c r="R103" s="283">
        <f t="shared" si="10"/>
        <v>9691.4160000000011</v>
      </c>
      <c r="S103" s="283">
        <f t="shared" si="11"/>
        <v>10415.612999999999</v>
      </c>
      <c r="U103" s="498"/>
    </row>
    <row r="104" spans="1:21" ht="24.95" customHeight="1" x14ac:dyDescent="0.2">
      <c r="A104" s="276" t="s">
        <v>113</v>
      </c>
      <c r="B104" s="277" t="s">
        <v>20</v>
      </c>
      <c r="C104" s="278" t="s">
        <v>285</v>
      </c>
      <c r="D104" s="279">
        <v>37376</v>
      </c>
      <c r="E104" s="279">
        <v>1175</v>
      </c>
      <c r="F104" s="279">
        <v>6632</v>
      </c>
      <c r="G104" s="279">
        <v>1413</v>
      </c>
      <c r="H104" s="279">
        <v>21024</v>
      </c>
      <c r="I104" s="279">
        <v>7132</v>
      </c>
      <c r="J104" s="279">
        <f t="shared" si="6"/>
        <v>29069</v>
      </c>
      <c r="K104" s="470">
        <v>5.7000000000000002E-2</v>
      </c>
      <c r="L104" s="470">
        <v>0.187</v>
      </c>
      <c r="M104" s="471">
        <v>0.15</v>
      </c>
      <c r="N104" s="282">
        <f t="shared" si="7"/>
        <v>66.975000000000009</v>
      </c>
      <c r="O104" s="283">
        <f t="shared" si="8"/>
        <v>378.024</v>
      </c>
      <c r="P104" s="283">
        <f t="shared" si="8"/>
        <v>264.23099999999999</v>
      </c>
      <c r="Q104" s="283">
        <f t="shared" si="9"/>
        <v>3931.4879999999998</v>
      </c>
      <c r="R104" s="283">
        <f t="shared" si="10"/>
        <v>4195.7190000000001</v>
      </c>
      <c r="S104" s="283">
        <f t="shared" si="11"/>
        <v>4360.3499999999995</v>
      </c>
      <c r="U104" s="498"/>
    </row>
    <row r="105" spans="1:21" ht="24.95" customHeight="1" x14ac:dyDescent="0.2">
      <c r="A105" s="276" t="s">
        <v>145</v>
      </c>
      <c r="B105" s="277" t="s">
        <v>541</v>
      </c>
      <c r="C105" s="278" t="s">
        <v>286</v>
      </c>
      <c r="D105" s="279">
        <v>17999</v>
      </c>
      <c r="E105" s="279">
        <v>556</v>
      </c>
      <c r="F105" s="279">
        <v>2800</v>
      </c>
      <c r="G105" s="279">
        <v>514</v>
      </c>
      <c r="H105" s="279">
        <v>9756</v>
      </c>
      <c r="I105" s="279">
        <v>4373</v>
      </c>
      <c r="J105" s="279">
        <f t="shared" si="6"/>
        <v>13070</v>
      </c>
      <c r="K105" s="470">
        <v>5.5999999999999994E-2</v>
      </c>
      <c r="L105" s="470">
        <v>0.17899999999999999</v>
      </c>
      <c r="M105" s="472">
        <v>0.14599999999999999</v>
      </c>
      <c r="N105" s="282">
        <f t="shared" si="7"/>
        <v>31.135999999999996</v>
      </c>
      <c r="O105" s="283">
        <f t="shared" si="8"/>
        <v>156.79999999999998</v>
      </c>
      <c r="P105" s="283">
        <f t="shared" si="8"/>
        <v>92.006</v>
      </c>
      <c r="Q105" s="283">
        <f t="shared" si="9"/>
        <v>1746.3239999999998</v>
      </c>
      <c r="R105" s="283">
        <f t="shared" si="10"/>
        <v>1838.33</v>
      </c>
      <c r="S105" s="283">
        <f t="shared" si="11"/>
        <v>1908.2199999999998</v>
      </c>
      <c r="U105" s="498"/>
    </row>
    <row r="106" spans="1:21" ht="20.100000000000001" customHeight="1" x14ac:dyDescent="0.2">
      <c r="D106" s="290"/>
      <c r="E106" s="290"/>
      <c r="F106" s="290"/>
      <c r="G106" s="290"/>
      <c r="H106" s="290"/>
      <c r="I106" s="291"/>
      <c r="J106" s="291"/>
      <c r="K106" s="473"/>
      <c r="L106" s="473"/>
      <c r="M106" s="474"/>
      <c r="N106" s="295"/>
      <c r="O106" s="295"/>
      <c r="P106" s="295"/>
      <c r="Q106" s="295"/>
      <c r="R106" s="295"/>
      <c r="S106" s="290"/>
      <c r="U106" s="498"/>
    </row>
    <row r="107" spans="1:21" ht="24.95" customHeight="1" x14ac:dyDescent="0.2">
      <c r="A107" s="296" t="s">
        <v>288</v>
      </c>
      <c r="B107" s="269"/>
      <c r="C107" s="270"/>
      <c r="D107" s="297">
        <f t="shared" ref="D107:J107" si="12">SUM(D6:D105)</f>
        <v>10264353</v>
      </c>
      <c r="E107" s="297">
        <f t="shared" si="12"/>
        <v>368797</v>
      </c>
      <c r="F107" s="297">
        <f t="shared" si="12"/>
        <v>1946020</v>
      </c>
      <c r="G107" s="297">
        <f t="shared" si="12"/>
        <v>442142</v>
      </c>
      <c r="H107" s="297">
        <f t="shared" si="12"/>
        <v>5894130</v>
      </c>
      <c r="I107" s="297">
        <f t="shared" si="12"/>
        <v>1613264</v>
      </c>
      <c r="J107" s="297">
        <f t="shared" si="12"/>
        <v>8282292</v>
      </c>
      <c r="K107" s="468">
        <v>4.5999999999999999E-2</v>
      </c>
      <c r="L107" s="468">
        <v>0.16200000000000001</v>
      </c>
      <c r="M107" s="468">
        <v>0.13</v>
      </c>
      <c r="N107" s="275">
        <f t="shared" ref="N107:S107" si="13">SUM(N6:N105)</f>
        <v>17286.130000000005</v>
      </c>
      <c r="O107" s="275">
        <f t="shared" si="13"/>
        <v>92157.764000000025</v>
      </c>
      <c r="P107" s="275">
        <f t="shared" si="13"/>
        <v>74519.261999999973</v>
      </c>
      <c r="Q107" s="275">
        <f t="shared" si="13"/>
        <v>996912.89600000018</v>
      </c>
      <c r="R107" s="275">
        <f t="shared" si="13"/>
        <v>1071432.1580000001</v>
      </c>
      <c r="S107" s="297">
        <f t="shared" si="13"/>
        <v>1122525.5709999995</v>
      </c>
      <c r="U107" s="499"/>
    </row>
    <row r="108" spans="1:21" x14ac:dyDescent="0.2">
      <c r="N108" s="301">
        <f>N107/E107</f>
        <v>4.6871666526571543E-2</v>
      </c>
      <c r="O108" s="301">
        <f>O107/F107</f>
        <v>4.7357048745644968E-2</v>
      </c>
      <c r="P108" s="301">
        <f>P107/G107</f>
        <v>0.16854146857796812</v>
      </c>
      <c r="Q108" s="301">
        <f>Q107/H107</f>
        <v>0.16913656400520521</v>
      </c>
      <c r="R108" s="301">
        <f>R107/SUM(G107:H107)</f>
        <v>0.16909503853369931</v>
      </c>
      <c r="S108" s="301">
        <f>S107/J107</f>
        <v>0.13553320397300644</v>
      </c>
      <c r="U108" s="301"/>
    </row>
    <row r="109" spans="1:21" ht="20.100000000000001" customHeight="1" x14ac:dyDescent="0.2">
      <c r="A109" s="246" t="s">
        <v>553</v>
      </c>
    </row>
    <row r="110" spans="1:21" ht="39.950000000000003" customHeight="1" x14ac:dyDescent="0.2">
      <c r="A110" s="564" t="s">
        <v>554</v>
      </c>
      <c r="B110" s="564"/>
      <c r="C110" s="564"/>
      <c r="D110" s="564"/>
      <c r="E110" s="564"/>
      <c r="F110" s="564"/>
      <c r="G110" s="564"/>
      <c r="H110" s="564"/>
      <c r="I110" s="564"/>
      <c r="J110" s="564"/>
      <c r="K110" s="564"/>
      <c r="L110" s="564"/>
      <c r="M110" s="564"/>
      <c r="N110" s="564"/>
      <c r="O110" s="564"/>
      <c r="P110" s="564"/>
      <c r="Q110" s="564"/>
      <c r="R110" s="564"/>
      <c r="S110" s="564"/>
    </row>
    <row r="111" spans="1:21" ht="90" customHeight="1" x14ac:dyDescent="0.2">
      <c r="A111" s="562" t="s">
        <v>564</v>
      </c>
      <c r="B111" s="562"/>
      <c r="C111" s="562"/>
      <c r="D111" s="562"/>
      <c r="E111" s="562"/>
      <c r="F111" s="562"/>
      <c r="G111" s="562"/>
      <c r="H111" s="562"/>
      <c r="I111" s="562"/>
      <c r="J111" s="562"/>
      <c r="K111" s="562"/>
      <c r="L111" s="562"/>
      <c r="M111" s="562"/>
      <c r="N111" s="562"/>
      <c r="O111" s="562"/>
      <c r="P111" s="562"/>
      <c r="Q111" s="562"/>
      <c r="R111" s="562"/>
      <c r="S111" s="562"/>
    </row>
  </sheetData>
  <sheetProtection sheet="1" objects="1" scenarios="1" autoFilter="0"/>
  <autoFilter ref="A5:S107"/>
  <mergeCells count="2">
    <mergeCell ref="A110:S110"/>
    <mergeCell ref="A111:S111"/>
  </mergeCells>
  <printOptions horizontalCentered="1"/>
  <pageMargins left="0.3" right="0.3" top="0.5" bottom="0.5" header="0.3" footer="0.3"/>
  <pageSetup paperSize="5" scale="52" fitToWidth="2" fitToHeight="0" orientation="landscape" r:id="rId1"/>
  <headerFooter>
    <oddFooter>&amp;LNC DHHS DMH/DD/SAS QM Section - MSchwartz&amp;R&amp;F</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S238"/>
  <sheetViews>
    <sheetView workbookViewId="0">
      <pane ySplit="4" topLeftCell="A5" activePane="bottomLeft" state="frozen"/>
      <selection activeCell="D4" sqref="D4"/>
      <selection pane="bottomLeft" activeCell="H19" sqref="H19"/>
    </sheetView>
  </sheetViews>
  <sheetFormatPr defaultRowHeight="12.75" x14ac:dyDescent="0.2"/>
  <cols>
    <col min="1" max="1" width="46.5703125" style="502" bestFit="1" customWidth="1"/>
    <col min="2" max="2" width="18.7109375" style="504" customWidth="1"/>
    <col min="3" max="6" width="18.7109375" style="502" customWidth="1"/>
    <col min="7" max="16384" width="9.140625" style="502"/>
  </cols>
  <sheetData>
    <row r="1" spans="1:9" ht="18" x14ac:dyDescent="0.2">
      <c r="A1" s="500" t="s">
        <v>555</v>
      </c>
      <c r="B1" s="501"/>
      <c r="C1" s="501"/>
      <c r="D1" s="501"/>
      <c r="E1" s="501"/>
      <c r="F1" s="501"/>
    </row>
    <row r="2" spans="1:9" ht="25.5" x14ac:dyDescent="0.2">
      <c r="A2" s="478" t="s">
        <v>556</v>
      </c>
      <c r="B2" s="503"/>
      <c r="C2" s="503"/>
      <c r="D2" s="503"/>
      <c r="E2" s="503"/>
      <c r="F2" s="503"/>
    </row>
    <row r="4" spans="1:9" ht="51" x14ac:dyDescent="0.2">
      <c r="A4" s="528" t="s">
        <v>303</v>
      </c>
      <c r="B4" s="529" t="s">
        <v>481</v>
      </c>
      <c r="C4" s="530" t="s">
        <v>482</v>
      </c>
      <c r="D4" s="529" t="s">
        <v>483</v>
      </c>
      <c r="E4" s="530" t="s">
        <v>557</v>
      </c>
      <c r="F4" s="529" t="s">
        <v>558</v>
      </c>
      <c r="H4" s="531" t="s">
        <v>559</v>
      </c>
      <c r="I4" s="531" t="s">
        <v>560</v>
      </c>
    </row>
    <row r="5" spans="1:9" ht="14.25" x14ac:dyDescent="0.2">
      <c r="A5" s="532" t="s">
        <v>13</v>
      </c>
      <c r="B5" s="533">
        <v>16497.249000000003</v>
      </c>
      <c r="C5" s="533">
        <v>13459.95</v>
      </c>
      <c r="D5" s="533">
        <v>188430.26700000002</v>
      </c>
      <c r="E5" s="533">
        <v>201890.217</v>
      </c>
      <c r="F5" s="533">
        <v>209296.92699999997</v>
      </c>
      <c r="G5" s="534"/>
      <c r="H5" s="535">
        <f>SUM(B5,E5)</f>
        <v>218387.46600000001</v>
      </c>
      <c r="I5" s="535">
        <f>H5-F5</f>
        <v>9090.539000000048</v>
      </c>
    </row>
    <row r="6" spans="1:9" ht="14.25" x14ac:dyDescent="0.2">
      <c r="A6" s="536" t="s">
        <v>46</v>
      </c>
      <c r="B6" s="537">
        <v>2621.9310000000005</v>
      </c>
      <c r="C6" s="537">
        <v>2067.5160000000001</v>
      </c>
      <c r="D6" s="537">
        <v>25561.326000000001</v>
      </c>
      <c r="E6" s="537">
        <v>27628.842000000001</v>
      </c>
      <c r="F6" s="537">
        <v>29275.776000000002</v>
      </c>
      <c r="G6" s="534"/>
      <c r="H6" s="534">
        <f>SUM(B6,E6)</f>
        <v>30250.773000000001</v>
      </c>
      <c r="I6" s="534">
        <f>H6-F6</f>
        <v>974.99699999999939</v>
      </c>
    </row>
    <row r="7" spans="1:9" ht="14.25" x14ac:dyDescent="0.2">
      <c r="A7" s="538" t="s">
        <v>47</v>
      </c>
      <c r="B7" s="539">
        <v>2892.4700000000003</v>
      </c>
      <c r="C7" s="539">
        <v>2406.2640000000001</v>
      </c>
      <c r="D7" s="539">
        <v>30856.560000000001</v>
      </c>
      <c r="E7" s="539">
        <v>33262.824000000001</v>
      </c>
      <c r="F7" s="539">
        <v>35212.150999999998</v>
      </c>
      <c r="G7" s="534"/>
      <c r="H7" s="534">
        <f>SUM(B7,E7)</f>
        <v>36155.294000000002</v>
      </c>
      <c r="I7" s="534">
        <f>H7-F7</f>
        <v>943.14300000000367</v>
      </c>
    </row>
    <row r="8" spans="1:9" ht="14.25" x14ac:dyDescent="0.2">
      <c r="A8" s="538" t="s">
        <v>48</v>
      </c>
      <c r="B8" s="539">
        <v>1953.2260000000001</v>
      </c>
      <c r="C8" s="539">
        <v>1363.962</v>
      </c>
      <c r="D8" s="539">
        <v>19730.012999999999</v>
      </c>
      <c r="E8" s="539">
        <v>21093.974999999999</v>
      </c>
      <c r="F8" s="539">
        <v>22020.420999999998</v>
      </c>
      <c r="G8" s="534"/>
      <c r="H8" s="534">
        <f>SUM(B8,E8)</f>
        <v>23047.200999999997</v>
      </c>
      <c r="I8" s="534">
        <f>H8-F8</f>
        <v>1026.7799999999988</v>
      </c>
    </row>
    <row r="9" spans="1:9" ht="14.25" x14ac:dyDescent="0.2">
      <c r="A9" s="538" t="s">
        <v>49</v>
      </c>
      <c r="B9" s="539">
        <v>9029.6220000000012</v>
      </c>
      <c r="C9" s="539">
        <v>7622.2080000000005</v>
      </c>
      <c r="D9" s="539">
        <v>112282.36800000002</v>
      </c>
      <c r="E9" s="539">
        <v>119904.57600000002</v>
      </c>
      <c r="F9" s="539">
        <v>122788.57899999998</v>
      </c>
      <c r="G9" s="534"/>
      <c r="H9" s="534">
        <f>SUM(B9,E9)</f>
        <v>128934.19800000002</v>
      </c>
      <c r="I9" s="534">
        <f>H9-F9</f>
        <v>6145.6190000000352</v>
      </c>
    </row>
    <row r="10" spans="1:9" ht="14.25" x14ac:dyDescent="0.2">
      <c r="A10" s="540"/>
      <c r="B10" s="541"/>
      <c r="C10" s="541"/>
      <c r="D10" s="541"/>
      <c r="E10" s="541"/>
      <c r="F10" s="541"/>
      <c r="H10" s="534"/>
      <c r="I10" s="534"/>
    </row>
    <row r="11" spans="1:9" ht="14.25" x14ac:dyDescent="0.2">
      <c r="A11" s="532" t="s">
        <v>14</v>
      </c>
      <c r="B11" s="533">
        <v>29518.18499999999</v>
      </c>
      <c r="C11" s="533">
        <v>20671.169999999995</v>
      </c>
      <c r="D11" s="533">
        <v>301929.45900000003</v>
      </c>
      <c r="E11" s="533">
        <v>322600.6289999999</v>
      </c>
      <c r="F11" s="533">
        <v>339551.39099999989</v>
      </c>
      <c r="H11" s="535">
        <f t="shared" ref="H11:H31" si="0">SUM(B11,E11)</f>
        <v>352118.8139999999</v>
      </c>
      <c r="I11" s="535">
        <f t="shared" ref="I11:I31" si="1">H11-F11</f>
        <v>12567.42300000001</v>
      </c>
    </row>
    <row r="12" spans="1:9" ht="14.25" x14ac:dyDescent="0.2">
      <c r="A12" s="536" t="s">
        <v>50</v>
      </c>
      <c r="B12" s="537">
        <v>1355.4449999999999</v>
      </c>
      <c r="C12" s="537">
        <v>1464.3989999999999</v>
      </c>
      <c r="D12" s="537">
        <v>16214.715</v>
      </c>
      <c r="E12" s="537">
        <v>17679.114000000001</v>
      </c>
      <c r="F12" s="537">
        <v>18173.066999999999</v>
      </c>
      <c r="H12" s="534">
        <f t="shared" si="0"/>
        <v>19034.559000000001</v>
      </c>
      <c r="I12" s="534">
        <f t="shared" si="1"/>
        <v>861.49200000000201</v>
      </c>
    </row>
    <row r="13" spans="1:9" ht="14.25" x14ac:dyDescent="0.2">
      <c r="A13" s="538" t="s">
        <v>51</v>
      </c>
      <c r="B13" s="539">
        <v>2010.6599999999999</v>
      </c>
      <c r="C13" s="539">
        <v>1115.8680000000002</v>
      </c>
      <c r="D13" s="539">
        <v>16408.752</v>
      </c>
      <c r="E13" s="539">
        <v>17524.62</v>
      </c>
      <c r="F13" s="539">
        <v>18777</v>
      </c>
      <c r="H13" s="534">
        <f t="shared" si="0"/>
        <v>19535.28</v>
      </c>
      <c r="I13" s="534">
        <f t="shared" si="1"/>
        <v>758.27999999999884</v>
      </c>
    </row>
    <row r="14" spans="1:9" ht="14.25" x14ac:dyDescent="0.2">
      <c r="A14" s="538" t="s">
        <v>52</v>
      </c>
      <c r="B14" s="539">
        <v>187.476</v>
      </c>
      <c r="C14" s="539">
        <v>115.596</v>
      </c>
      <c r="D14" s="539">
        <v>2161.5360000000001</v>
      </c>
      <c r="E14" s="539">
        <v>2277.1320000000001</v>
      </c>
      <c r="F14" s="539">
        <v>2357.2170000000001</v>
      </c>
      <c r="H14" s="534">
        <f t="shared" si="0"/>
        <v>2464.6080000000002</v>
      </c>
      <c r="I14" s="534">
        <f t="shared" si="1"/>
        <v>107.39100000000008</v>
      </c>
    </row>
    <row r="15" spans="1:9" ht="14.25" x14ac:dyDescent="0.2">
      <c r="A15" s="538" t="s">
        <v>53</v>
      </c>
      <c r="B15" s="539">
        <v>1009.446</v>
      </c>
      <c r="C15" s="539">
        <v>383.50400000000002</v>
      </c>
      <c r="D15" s="539">
        <v>6995.4720000000007</v>
      </c>
      <c r="E15" s="539">
        <v>7378.9760000000006</v>
      </c>
      <c r="F15" s="539">
        <v>8167.2879999999996</v>
      </c>
      <c r="H15" s="534">
        <f t="shared" si="0"/>
        <v>8388.4220000000005</v>
      </c>
      <c r="I15" s="534">
        <f t="shared" si="1"/>
        <v>221.13400000000092</v>
      </c>
    </row>
    <row r="16" spans="1:9" ht="14.25" x14ac:dyDescent="0.2">
      <c r="A16" s="542" t="s">
        <v>54</v>
      </c>
      <c r="B16" s="543">
        <v>1534.8000000000002</v>
      </c>
      <c r="C16" s="543">
        <v>998.58</v>
      </c>
      <c r="D16" s="543">
        <v>15788.025000000001</v>
      </c>
      <c r="E16" s="543">
        <v>16786.605000000003</v>
      </c>
      <c r="F16" s="543">
        <v>17613.589</v>
      </c>
      <c r="H16" s="534">
        <f t="shared" si="0"/>
        <v>18321.405000000002</v>
      </c>
      <c r="I16" s="534">
        <f t="shared" si="1"/>
        <v>707.81600000000253</v>
      </c>
    </row>
    <row r="17" spans="1:9" ht="14.25" x14ac:dyDescent="0.2">
      <c r="A17" s="544" t="s">
        <v>65</v>
      </c>
      <c r="B17" s="545">
        <v>433.41400000000004</v>
      </c>
      <c r="C17" s="545">
        <v>235.56</v>
      </c>
      <c r="D17" s="545">
        <v>3703.44</v>
      </c>
      <c r="E17" s="545">
        <v>3939</v>
      </c>
      <c r="F17" s="545">
        <v>4237.4800000000005</v>
      </c>
      <c r="H17" s="534">
        <f t="shared" si="0"/>
        <v>4372.4139999999998</v>
      </c>
      <c r="I17" s="534">
        <f t="shared" si="1"/>
        <v>134.93399999999929</v>
      </c>
    </row>
    <row r="18" spans="1:9" ht="14.25" x14ac:dyDescent="0.2">
      <c r="A18" s="544" t="s">
        <v>66</v>
      </c>
      <c r="B18" s="545">
        <v>2943.92</v>
      </c>
      <c r="C18" s="545">
        <v>2627.52</v>
      </c>
      <c r="D18" s="545">
        <v>35781.480000000003</v>
      </c>
      <c r="E18" s="545">
        <v>38409</v>
      </c>
      <c r="F18" s="545">
        <v>39591.213000000003</v>
      </c>
      <c r="H18" s="534">
        <f t="shared" si="0"/>
        <v>41352.92</v>
      </c>
      <c r="I18" s="534">
        <f t="shared" si="1"/>
        <v>1761.7069999999949</v>
      </c>
    </row>
    <row r="19" spans="1:9" ht="14.25" x14ac:dyDescent="0.2">
      <c r="A19" s="544" t="s">
        <v>55</v>
      </c>
      <c r="B19" s="545">
        <v>682.77</v>
      </c>
      <c r="C19" s="545">
        <v>437.32499999999999</v>
      </c>
      <c r="D19" s="545">
        <v>6636.5249999999996</v>
      </c>
      <c r="E19" s="545">
        <v>7073.8499999999995</v>
      </c>
      <c r="F19" s="545">
        <v>7449.8759999999993</v>
      </c>
      <c r="H19" s="534">
        <f t="shared" si="0"/>
        <v>7756.619999999999</v>
      </c>
      <c r="I19" s="534">
        <f t="shared" si="1"/>
        <v>306.74399999999969</v>
      </c>
    </row>
    <row r="20" spans="1:9" ht="14.25" x14ac:dyDescent="0.2">
      <c r="A20" s="544" t="s">
        <v>56</v>
      </c>
      <c r="B20" s="545">
        <v>522.49600000000009</v>
      </c>
      <c r="C20" s="545">
        <v>337.84899999999999</v>
      </c>
      <c r="D20" s="545">
        <v>4630.326</v>
      </c>
      <c r="E20" s="545">
        <v>4968.1750000000002</v>
      </c>
      <c r="F20" s="545">
        <v>5277.03</v>
      </c>
      <c r="H20" s="534">
        <f t="shared" si="0"/>
        <v>5490.6710000000003</v>
      </c>
      <c r="I20" s="534">
        <f t="shared" si="1"/>
        <v>213.64100000000053</v>
      </c>
    </row>
    <row r="21" spans="1:9" ht="14.25" x14ac:dyDescent="0.2">
      <c r="A21" s="544" t="s">
        <v>57</v>
      </c>
      <c r="B21" s="545">
        <v>385.23599999999993</v>
      </c>
      <c r="C21" s="545">
        <v>294.50400000000002</v>
      </c>
      <c r="D21" s="545">
        <v>4810.3440000000001</v>
      </c>
      <c r="E21" s="545">
        <v>5104.848</v>
      </c>
      <c r="F21" s="545">
        <v>5330.7880000000005</v>
      </c>
      <c r="H21" s="534">
        <f t="shared" si="0"/>
        <v>5490.0839999999998</v>
      </c>
      <c r="I21" s="534">
        <f t="shared" si="1"/>
        <v>159.29599999999937</v>
      </c>
    </row>
    <row r="22" spans="1:9" ht="14.25" x14ac:dyDescent="0.2">
      <c r="A22" s="544" t="s">
        <v>105</v>
      </c>
      <c r="B22" s="545">
        <v>9221.1349999999984</v>
      </c>
      <c r="C22" s="545">
        <v>6136.56</v>
      </c>
      <c r="D22" s="545">
        <v>107442.126</v>
      </c>
      <c r="E22" s="545">
        <v>113578.686</v>
      </c>
      <c r="F22" s="545">
        <v>118105.69200000001</v>
      </c>
      <c r="H22" s="534">
        <f t="shared" si="0"/>
        <v>122799.821</v>
      </c>
      <c r="I22" s="534">
        <f t="shared" si="1"/>
        <v>4694.1289999999863</v>
      </c>
    </row>
    <row r="23" spans="1:9" ht="14.25" x14ac:dyDescent="0.2">
      <c r="A23" s="544" t="s">
        <v>58</v>
      </c>
      <c r="B23" s="545">
        <v>1128.1759999999999</v>
      </c>
      <c r="C23" s="545">
        <v>1506.9960000000001</v>
      </c>
      <c r="D23" s="545">
        <v>10457.706</v>
      </c>
      <c r="E23" s="545">
        <v>11964.702000000001</v>
      </c>
      <c r="F23" s="545">
        <v>12510.992</v>
      </c>
      <c r="H23" s="534">
        <f t="shared" si="0"/>
        <v>13092.878000000001</v>
      </c>
      <c r="I23" s="534">
        <f t="shared" si="1"/>
        <v>581.88600000000042</v>
      </c>
    </row>
    <row r="24" spans="1:9" ht="14.25" x14ac:dyDescent="0.2">
      <c r="A24" s="544" t="s">
        <v>59</v>
      </c>
      <c r="B24" s="545">
        <v>305.55799999999999</v>
      </c>
      <c r="C24" s="545">
        <v>177.98400000000001</v>
      </c>
      <c r="D24" s="545">
        <v>3272.2560000000003</v>
      </c>
      <c r="E24" s="545">
        <v>3450.2400000000002</v>
      </c>
      <c r="F24" s="545">
        <v>3634.7219999999998</v>
      </c>
      <c r="H24" s="534">
        <f t="shared" si="0"/>
        <v>3755.7980000000002</v>
      </c>
      <c r="I24" s="534">
        <f t="shared" si="1"/>
        <v>121.07600000000048</v>
      </c>
    </row>
    <row r="25" spans="1:9" ht="14.25" x14ac:dyDescent="0.2">
      <c r="A25" s="544" t="s">
        <v>67</v>
      </c>
      <c r="B25" s="545">
        <v>747.20600000000002</v>
      </c>
      <c r="C25" s="545">
        <v>513.702</v>
      </c>
      <c r="D25" s="545">
        <v>8440.362000000001</v>
      </c>
      <c r="E25" s="545">
        <v>8954.0640000000003</v>
      </c>
      <c r="F25" s="545">
        <v>9394.44</v>
      </c>
      <c r="H25" s="534">
        <f t="shared" si="0"/>
        <v>9701.27</v>
      </c>
      <c r="I25" s="534">
        <f t="shared" si="1"/>
        <v>306.82999999999993</v>
      </c>
    </row>
    <row r="26" spans="1:9" ht="14.25" x14ac:dyDescent="0.2">
      <c r="A26" s="544" t="s">
        <v>60</v>
      </c>
      <c r="B26" s="545">
        <v>1242.598</v>
      </c>
      <c r="C26" s="545">
        <v>995.45399999999995</v>
      </c>
      <c r="D26" s="545">
        <v>14005.085999999999</v>
      </c>
      <c r="E26" s="545">
        <v>15000.539999999999</v>
      </c>
      <c r="F26" s="545">
        <v>15737.997000000001</v>
      </c>
      <c r="H26" s="534">
        <f t="shared" si="0"/>
        <v>16243.137999999999</v>
      </c>
      <c r="I26" s="534">
        <f t="shared" si="1"/>
        <v>505.1409999999978</v>
      </c>
    </row>
    <row r="27" spans="1:9" ht="14.25" x14ac:dyDescent="0.2">
      <c r="A27" s="544" t="s">
        <v>61</v>
      </c>
      <c r="B27" s="545">
        <v>515.73099999999999</v>
      </c>
      <c r="C27" s="545">
        <v>368.14</v>
      </c>
      <c r="D27" s="545">
        <v>5518.308</v>
      </c>
      <c r="E27" s="545">
        <v>5886.4480000000003</v>
      </c>
      <c r="F27" s="545">
        <v>6173.3119999999999</v>
      </c>
      <c r="H27" s="534">
        <f t="shared" si="0"/>
        <v>6402.1790000000001</v>
      </c>
      <c r="I27" s="534">
        <f t="shared" si="1"/>
        <v>228.86700000000019</v>
      </c>
    </row>
    <row r="28" spans="1:9" ht="14.25" x14ac:dyDescent="0.2">
      <c r="A28" s="544" t="s">
        <v>68</v>
      </c>
      <c r="B28" s="545">
        <v>342.42399999999998</v>
      </c>
      <c r="C28" s="545">
        <v>243</v>
      </c>
      <c r="D28" s="545">
        <v>4418.55</v>
      </c>
      <c r="E28" s="545">
        <v>4661.55</v>
      </c>
      <c r="F28" s="545">
        <v>4708.47</v>
      </c>
      <c r="H28" s="534">
        <f t="shared" si="0"/>
        <v>5003.9740000000002</v>
      </c>
      <c r="I28" s="534">
        <f t="shared" si="1"/>
        <v>295.50399999999991</v>
      </c>
    </row>
    <row r="29" spans="1:9" ht="14.25" x14ac:dyDescent="0.2">
      <c r="A29" s="544" t="s">
        <v>62</v>
      </c>
      <c r="B29" s="545">
        <v>4385.5829999999996</v>
      </c>
      <c r="C29" s="545">
        <v>2396.163</v>
      </c>
      <c r="D29" s="545">
        <v>30264.234</v>
      </c>
      <c r="E29" s="545">
        <v>32660.397000000001</v>
      </c>
      <c r="F29" s="545">
        <v>36824.832000000002</v>
      </c>
      <c r="H29" s="534">
        <f t="shared" si="0"/>
        <v>37045.980000000003</v>
      </c>
      <c r="I29" s="534">
        <f t="shared" si="1"/>
        <v>221.14800000000105</v>
      </c>
    </row>
    <row r="30" spans="1:9" ht="14.25" x14ac:dyDescent="0.2">
      <c r="A30" s="546" t="s">
        <v>63</v>
      </c>
      <c r="B30" s="547">
        <v>441.637</v>
      </c>
      <c r="C30" s="547">
        <v>253.17</v>
      </c>
      <c r="D30" s="547">
        <v>3600.64</v>
      </c>
      <c r="E30" s="547">
        <v>3853.81</v>
      </c>
      <c r="F30" s="547">
        <v>4021.7829999999999</v>
      </c>
      <c r="H30" s="534">
        <f t="shared" si="0"/>
        <v>4295.4470000000001</v>
      </c>
      <c r="I30" s="534">
        <f t="shared" si="1"/>
        <v>273.66400000000021</v>
      </c>
    </row>
    <row r="31" spans="1:9" ht="14.25" x14ac:dyDescent="0.2">
      <c r="A31" s="538" t="s">
        <v>64</v>
      </c>
      <c r="B31" s="539">
        <v>122.474</v>
      </c>
      <c r="C31" s="539">
        <v>69.295999999999992</v>
      </c>
      <c r="D31" s="539">
        <v>1379.576</v>
      </c>
      <c r="E31" s="539">
        <v>1448.8720000000001</v>
      </c>
      <c r="F31" s="539">
        <v>1464.6029999999998</v>
      </c>
      <c r="H31" s="534">
        <f t="shared" si="0"/>
        <v>1571.346</v>
      </c>
      <c r="I31" s="534">
        <f t="shared" si="1"/>
        <v>106.74300000000017</v>
      </c>
    </row>
    <row r="32" spans="1:9" ht="14.25" x14ac:dyDescent="0.2">
      <c r="A32" s="540"/>
      <c r="B32" s="541"/>
      <c r="C32" s="541"/>
      <c r="D32" s="541"/>
      <c r="E32" s="541"/>
      <c r="F32" s="541"/>
      <c r="H32" s="534"/>
      <c r="I32" s="534"/>
    </row>
    <row r="33" spans="1:9" ht="14.25" x14ac:dyDescent="0.2">
      <c r="A33" s="532" t="s">
        <v>18</v>
      </c>
      <c r="B33" s="533">
        <v>7897.4749999999995</v>
      </c>
      <c r="C33" s="533">
        <v>6537.5009999999993</v>
      </c>
      <c r="D33" s="533">
        <v>82977.743000000002</v>
      </c>
      <c r="E33" s="533">
        <v>89515.243999999992</v>
      </c>
      <c r="F33" s="533">
        <v>94973.469999999987</v>
      </c>
      <c r="H33" s="535">
        <f t="shared" ref="H33:H44" si="2">SUM(B33,E33)</f>
        <v>97412.718999999997</v>
      </c>
      <c r="I33" s="535">
        <f t="shared" ref="I33:I44" si="3">H33-F33</f>
        <v>2439.2490000000107</v>
      </c>
    </row>
    <row r="34" spans="1:9" ht="14.25" x14ac:dyDescent="0.2">
      <c r="A34" s="536" t="s">
        <v>93</v>
      </c>
      <c r="B34" s="537">
        <v>375.12</v>
      </c>
      <c r="C34" s="537">
        <v>263.77199999999999</v>
      </c>
      <c r="D34" s="537">
        <v>3970.8599999999997</v>
      </c>
      <c r="E34" s="537">
        <v>4234.6319999999996</v>
      </c>
      <c r="F34" s="537">
        <v>4483.66</v>
      </c>
      <c r="H34" s="534">
        <f t="shared" si="2"/>
        <v>4609.7519999999995</v>
      </c>
      <c r="I34" s="534">
        <f t="shared" si="3"/>
        <v>126.09199999999964</v>
      </c>
    </row>
    <row r="35" spans="1:9" ht="14.25" x14ac:dyDescent="0.2">
      <c r="A35" s="538" t="s">
        <v>94</v>
      </c>
      <c r="B35" s="539">
        <v>601.86599999999999</v>
      </c>
      <c r="C35" s="539">
        <v>425.73900000000003</v>
      </c>
      <c r="D35" s="539">
        <v>6140.8410000000003</v>
      </c>
      <c r="E35" s="539">
        <v>6566.58</v>
      </c>
      <c r="F35" s="539">
        <v>6847.8209999999999</v>
      </c>
      <c r="H35" s="534">
        <f t="shared" si="2"/>
        <v>7168.4459999999999</v>
      </c>
      <c r="I35" s="534">
        <f t="shared" si="3"/>
        <v>320.625</v>
      </c>
    </row>
    <row r="36" spans="1:9" ht="14.25" x14ac:dyDescent="0.2">
      <c r="A36" s="538" t="s">
        <v>95</v>
      </c>
      <c r="B36" s="539">
        <v>854.35000000000014</v>
      </c>
      <c r="C36" s="539">
        <v>664.44999999999993</v>
      </c>
      <c r="D36" s="539">
        <v>8964.1839999999993</v>
      </c>
      <c r="E36" s="539">
        <v>9628.634</v>
      </c>
      <c r="F36" s="539">
        <v>10132.044</v>
      </c>
      <c r="H36" s="534">
        <f t="shared" si="2"/>
        <v>10482.984</v>
      </c>
      <c r="I36" s="534">
        <f t="shared" si="3"/>
        <v>350.94000000000051</v>
      </c>
    </row>
    <row r="37" spans="1:9" ht="14.25" x14ac:dyDescent="0.2">
      <c r="A37" s="538" t="s">
        <v>96</v>
      </c>
      <c r="B37" s="539">
        <v>372.57500000000005</v>
      </c>
      <c r="C37" s="539">
        <v>307.94400000000002</v>
      </c>
      <c r="D37" s="539">
        <v>4615.5720000000001</v>
      </c>
      <c r="E37" s="539">
        <v>4923.5160000000005</v>
      </c>
      <c r="F37" s="539">
        <v>5149.1319999999996</v>
      </c>
      <c r="H37" s="534">
        <f t="shared" si="2"/>
        <v>5296.0910000000003</v>
      </c>
      <c r="I37" s="534">
        <f t="shared" si="3"/>
        <v>146.95900000000074</v>
      </c>
    </row>
    <row r="38" spans="1:9" ht="14.25" x14ac:dyDescent="0.2">
      <c r="A38" s="538" t="s">
        <v>97</v>
      </c>
      <c r="B38" s="539">
        <v>313.79399999999998</v>
      </c>
      <c r="C38" s="539">
        <v>175.25300000000001</v>
      </c>
      <c r="D38" s="539">
        <v>2758.08</v>
      </c>
      <c r="E38" s="539">
        <v>2933.3330000000001</v>
      </c>
      <c r="F38" s="539">
        <v>3103.6070000000004</v>
      </c>
      <c r="H38" s="534">
        <f t="shared" si="2"/>
        <v>3247.127</v>
      </c>
      <c r="I38" s="534">
        <f t="shared" si="3"/>
        <v>143.51999999999953</v>
      </c>
    </row>
    <row r="39" spans="1:9" ht="14.25" x14ac:dyDescent="0.2">
      <c r="A39" s="538" t="s">
        <v>98</v>
      </c>
      <c r="B39" s="539">
        <v>481.09600000000006</v>
      </c>
      <c r="C39" s="539">
        <v>407.09899999999999</v>
      </c>
      <c r="D39" s="539">
        <v>5998.0249999999996</v>
      </c>
      <c r="E39" s="539">
        <v>6405.1239999999998</v>
      </c>
      <c r="F39" s="539">
        <v>6687.5280000000012</v>
      </c>
      <c r="H39" s="534">
        <f t="shared" si="2"/>
        <v>6886.22</v>
      </c>
      <c r="I39" s="534">
        <f t="shared" si="3"/>
        <v>198.6919999999991</v>
      </c>
    </row>
    <row r="40" spans="1:9" ht="14.25" x14ac:dyDescent="0.2">
      <c r="A40" s="538" t="s">
        <v>100</v>
      </c>
      <c r="B40" s="539">
        <v>1421.3680000000002</v>
      </c>
      <c r="C40" s="539">
        <v>2034.5</v>
      </c>
      <c r="D40" s="539">
        <v>19060.86</v>
      </c>
      <c r="E40" s="539">
        <v>21095.360000000001</v>
      </c>
      <c r="F40" s="539">
        <v>21260.120000000003</v>
      </c>
      <c r="H40" s="534">
        <f t="shared" si="2"/>
        <v>22516.727999999999</v>
      </c>
      <c r="I40" s="534">
        <f t="shared" si="3"/>
        <v>1256.6079999999965</v>
      </c>
    </row>
    <row r="41" spans="1:9" ht="14.25" x14ac:dyDescent="0.2">
      <c r="A41" s="538" t="s">
        <v>101</v>
      </c>
      <c r="B41" s="539">
        <v>965.57099999999991</v>
      </c>
      <c r="C41" s="539">
        <v>628.99799999999993</v>
      </c>
      <c r="D41" s="539">
        <v>8242.6229999999996</v>
      </c>
      <c r="E41" s="539">
        <v>8871.6209999999992</v>
      </c>
      <c r="F41" s="539">
        <v>9524.08</v>
      </c>
      <c r="H41" s="534">
        <f t="shared" si="2"/>
        <v>9837.1919999999991</v>
      </c>
      <c r="I41" s="534">
        <f t="shared" si="3"/>
        <v>313.11199999999917</v>
      </c>
    </row>
    <row r="42" spans="1:9" ht="14.25" x14ac:dyDescent="0.2">
      <c r="A42" s="538" t="s">
        <v>102</v>
      </c>
      <c r="B42" s="539">
        <v>354.19499999999999</v>
      </c>
      <c r="C42" s="539">
        <v>258.5</v>
      </c>
      <c r="D42" s="539">
        <v>3671.828</v>
      </c>
      <c r="E42" s="539">
        <v>3930.328</v>
      </c>
      <c r="F42" s="539">
        <v>4094.0969999999998</v>
      </c>
      <c r="H42" s="534">
        <f t="shared" si="2"/>
        <v>4284.5230000000001</v>
      </c>
      <c r="I42" s="534">
        <f t="shared" si="3"/>
        <v>190.42600000000039</v>
      </c>
    </row>
    <row r="43" spans="1:9" ht="14.25" x14ac:dyDescent="0.2">
      <c r="A43" s="538" t="s">
        <v>103</v>
      </c>
      <c r="B43" s="539">
        <v>1258.124</v>
      </c>
      <c r="C43" s="539">
        <v>758.55</v>
      </c>
      <c r="D43" s="539">
        <v>10476.15</v>
      </c>
      <c r="E43" s="539">
        <v>11234.699999999999</v>
      </c>
      <c r="F43" s="539">
        <v>13275.768</v>
      </c>
      <c r="H43" s="534">
        <f t="shared" si="2"/>
        <v>12492.823999999999</v>
      </c>
      <c r="I43" s="534">
        <f t="shared" si="3"/>
        <v>-782.94400000000132</v>
      </c>
    </row>
    <row r="44" spans="1:9" ht="14.25" x14ac:dyDescent="0.2">
      <c r="A44" s="538" t="s">
        <v>104</v>
      </c>
      <c r="B44" s="539">
        <v>899.41599999999994</v>
      </c>
      <c r="C44" s="539">
        <v>612.69600000000003</v>
      </c>
      <c r="D44" s="539">
        <v>9078.7200000000012</v>
      </c>
      <c r="E44" s="539">
        <v>9691.4160000000011</v>
      </c>
      <c r="F44" s="539">
        <v>10415.612999999999</v>
      </c>
      <c r="H44" s="534">
        <f t="shared" si="2"/>
        <v>10590.832</v>
      </c>
      <c r="I44" s="534">
        <f t="shared" si="3"/>
        <v>175.21900000000096</v>
      </c>
    </row>
    <row r="45" spans="1:9" ht="14.25" x14ac:dyDescent="0.2">
      <c r="A45" s="540"/>
      <c r="B45" s="541"/>
      <c r="C45" s="541"/>
      <c r="D45" s="541"/>
      <c r="E45" s="541"/>
      <c r="F45" s="541"/>
      <c r="H45" s="534"/>
      <c r="I45" s="534"/>
    </row>
    <row r="46" spans="1:9" ht="14.25" x14ac:dyDescent="0.2">
      <c r="A46" s="532" t="s">
        <v>20</v>
      </c>
      <c r="B46" s="533">
        <v>7741.402</v>
      </c>
      <c r="C46" s="533">
        <v>6278.1100000000006</v>
      </c>
      <c r="D46" s="533">
        <v>88036.398000000001</v>
      </c>
      <c r="E46" s="533">
        <v>94314.508000000002</v>
      </c>
      <c r="F46" s="533">
        <v>98517.450000000012</v>
      </c>
      <c r="H46" s="535">
        <f t="shared" ref="H46:H54" si="4">SUM(B46,E46)</f>
        <v>102055.91</v>
      </c>
      <c r="I46" s="535">
        <f t="shared" ref="I46:I54" si="5">H46-F46</f>
        <v>3538.4599999999919</v>
      </c>
    </row>
    <row r="47" spans="1:9" ht="14.25" x14ac:dyDescent="0.2">
      <c r="A47" s="536" t="s">
        <v>106</v>
      </c>
      <c r="B47" s="537">
        <v>662.80199999999991</v>
      </c>
      <c r="C47" s="537">
        <v>812.63</v>
      </c>
      <c r="D47" s="537">
        <v>9439.77</v>
      </c>
      <c r="E47" s="537">
        <v>10252.4</v>
      </c>
      <c r="F47" s="537">
        <v>10683.596</v>
      </c>
      <c r="H47" s="534">
        <f t="shared" si="4"/>
        <v>10915.201999999999</v>
      </c>
      <c r="I47" s="534">
        <f t="shared" si="5"/>
        <v>231.60599999999977</v>
      </c>
    </row>
    <row r="48" spans="1:9" ht="14.25" x14ac:dyDescent="0.2">
      <c r="A48" s="538" t="s">
        <v>107</v>
      </c>
      <c r="B48" s="539">
        <v>1325.07</v>
      </c>
      <c r="C48" s="539">
        <v>1085.0400000000002</v>
      </c>
      <c r="D48" s="539">
        <v>15619.12</v>
      </c>
      <c r="E48" s="539">
        <v>16704.16</v>
      </c>
      <c r="F48" s="539">
        <v>17285.484</v>
      </c>
      <c r="H48" s="534">
        <f t="shared" si="4"/>
        <v>18029.23</v>
      </c>
      <c r="I48" s="534">
        <f t="shared" si="5"/>
        <v>743.74599999999919</v>
      </c>
    </row>
    <row r="49" spans="1:9" ht="14.25" x14ac:dyDescent="0.2">
      <c r="A49" s="538" t="s">
        <v>108</v>
      </c>
      <c r="B49" s="539">
        <v>696.65700000000004</v>
      </c>
      <c r="C49" s="539">
        <v>722.10799999999995</v>
      </c>
      <c r="D49" s="539">
        <v>9180.6579999999994</v>
      </c>
      <c r="E49" s="539">
        <v>9902.7659999999996</v>
      </c>
      <c r="F49" s="539">
        <v>10185.252</v>
      </c>
      <c r="H49" s="534">
        <f t="shared" si="4"/>
        <v>10599.422999999999</v>
      </c>
      <c r="I49" s="534">
        <f t="shared" si="5"/>
        <v>414.17099999999846</v>
      </c>
    </row>
    <row r="50" spans="1:9" ht="14.25" x14ac:dyDescent="0.2">
      <c r="A50" s="538" t="s">
        <v>109</v>
      </c>
      <c r="B50" s="539">
        <v>1825.8240000000001</v>
      </c>
      <c r="C50" s="539">
        <v>1372.623</v>
      </c>
      <c r="D50" s="539">
        <v>20373.37</v>
      </c>
      <c r="E50" s="539">
        <v>21745.992999999999</v>
      </c>
      <c r="F50" s="539">
        <v>22737.91</v>
      </c>
      <c r="H50" s="534">
        <f t="shared" si="4"/>
        <v>23571.816999999999</v>
      </c>
      <c r="I50" s="534">
        <f t="shared" si="5"/>
        <v>833.90699999999924</v>
      </c>
    </row>
    <row r="51" spans="1:9" ht="14.25" x14ac:dyDescent="0.2">
      <c r="A51" s="538" t="s">
        <v>110</v>
      </c>
      <c r="B51" s="539">
        <v>1579.999</v>
      </c>
      <c r="C51" s="539">
        <v>1033.826</v>
      </c>
      <c r="D51" s="539">
        <v>14976.825999999999</v>
      </c>
      <c r="E51" s="539">
        <v>16010.651999999998</v>
      </c>
      <c r="F51" s="539">
        <v>16906.922000000002</v>
      </c>
      <c r="H51" s="534">
        <f t="shared" si="4"/>
        <v>17590.650999999998</v>
      </c>
      <c r="I51" s="534">
        <f t="shared" si="5"/>
        <v>683.72899999999572</v>
      </c>
    </row>
    <row r="52" spans="1:9" ht="14.25" x14ac:dyDescent="0.2">
      <c r="A52" s="538" t="s">
        <v>111</v>
      </c>
      <c r="B52" s="539">
        <v>684.06600000000003</v>
      </c>
      <c r="C52" s="539">
        <v>504.67200000000003</v>
      </c>
      <c r="D52" s="539">
        <v>8223.0960000000014</v>
      </c>
      <c r="E52" s="539">
        <v>8727.7680000000018</v>
      </c>
      <c r="F52" s="539">
        <v>9087.7920000000013</v>
      </c>
      <c r="H52" s="534">
        <f t="shared" si="4"/>
        <v>9411.8340000000026</v>
      </c>
      <c r="I52" s="534">
        <f t="shared" si="5"/>
        <v>324.04200000000128</v>
      </c>
    </row>
    <row r="53" spans="1:9" ht="14.25" x14ac:dyDescent="0.2">
      <c r="A53" s="538" t="s">
        <v>112</v>
      </c>
      <c r="B53" s="539">
        <v>588.95999999999992</v>
      </c>
      <c r="C53" s="539">
        <v>482.98</v>
      </c>
      <c r="D53" s="539">
        <v>6292.07</v>
      </c>
      <c r="E53" s="539">
        <v>6775.0499999999993</v>
      </c>
      <c r="F53" s="539">
        <v>7270.1440000000002</v>
      </c>
      <c r="H53" s="534">
        <f t="shared" si="4"/>
        <v>7364.0099999999993</v>
      </c>
      <c r="I53" s="534">
        <f t="shared" si="5"/>
        <v>93.865999999999076</v>
      </c>
    </row>
    <row r="54" spans="1:9" ht="14.25" x14ac:dyDescent="0.2">
      <c r="A54" s="538" t="s">
        <v>113</v>
      </c>
      <c r="B54" s="539">
        <v>378.024</v>
      </c>
      <c r="C54" s="539">
        <v>264.23099999999999</v>
      </c>
      <c r="D54" s="539">
        <v>3931.4879999999998</v>
      </c>
      <c r="E54" s="539">
        <v>4195.7190000000001</v>
      </c>
      <c r="F54" s="539">
        <v>4360.3499999999995</v>
      </c>
      <c r="H54" s="534">
        <f t="shared" si="4"/>
        <v>4573.7430000000004</v>
      </c>
      <c r="I54" s="534">
        <f t="shared" si="5"/>
        <v>213.39300000000094</v>
      </c>
    </row>
    <row r="55" spans="1:9" ht="14.25" x14ac:dyDescent="0.2">
      <c r="A55" s="540"/>
      <c r="B55" s="541"/>
      <c r="C55" s="541"/>
      <c r="D55" s="541"/>
      <c r="E55" s="541"/>
      <c r="F55" s="541"/>
      <c r="H55" s="534"/>
      <c r="I55" s="534"/>
    </row>
    <row r="56" spans="1:9" ht="14.25" x14ac:dyDescent="0.2">
      <c r="A56" s="532" t="s">
        <v>21</v>
      </c>
      <c r="B56" s="533">
        <v>10510.509000000004</v>
      </c>
      <c r="C56" s="533">
        <v>8936.760000000002</v>
      </c>
      <c r="D56" s="533">
        <v>110165.68499999998</v>
      </c>
      <c r="E56" s="533">
        <v>119102.44500000001</v>
      </c>
      <c r="F56" s="533">
        <v>124871.42500000002</v>
      </c>
      <c r="H56" s="535">
        <f t="shared" ref="H56:H65" si="6">SUM(B56,E56)</f>
        <v>129612.95400000001</v>
      </c>
      <c r="I56" s="535">
        <f t="shared" ref="I56:I65" si="7">H56-F56</f>
        <v>4741.528999999995</v>
      </c>
    </row>
    <row r="57" spans="1:9" ht="14.25" x14ac:dyDescent="0.2">
      <c r="A57" s="536" t="s">
        <v>114</v>
      </c>
      <c r="B57" s="537">
        <v>204.435</v>
      </c>
      <c r="C57" s="537">
        <v>155.72</v>
      </c>
      <c r="D57" s="537">
        <v>2636.02</v>
      </c>
      <c r="E57" s="537">
        <v>2791.74</v>
      </c>
      <c r="F57" s="537">
        <v>2872.2049999999995</v>
      </c>
      <c r="H57" s="534">
        <f t="shared" si="6"/>
        <v>2996.1749999999997</v>
      </c>
      <c r="I57" s="534">
        <f t="shared" si="7"/>
        <v>123.97000000000025</v>
      </c>
    </row>
    <row r="58" spans="1:9" ht="14.25" x14ac:dyDescent="0.2">
      <c r="A58" s="538" t="s">
        <v>115</v>
      </c>
      <c r="B58" s="539">
        <v>4376.97</v>
      </c>
      <c r="C58" s="539">
        <v>4449.2250000000004</v>
      </c>
      <c r="D58" s="539">
        <v>50291.505000000005</v>
      </c>
      <c r="E58" s="539">
        <v>54740.73</v>
      </c>
      <c r="F58" s="539">
        <v>56631.696000000004</v>
      </c>
      <c r="H58" s="534">
        <f t="shared" si="6"/>
        <v>59117.700000000004</v>
      </c>
      <c r="I58" s="534">
        <f t="shared" si="7"/>
        <v>2486.0040000000008</v>
      </c>
    </row>
    <row r="59" spans="1:9" ht="14.25" x14ac:dyDescent="0.2">
      <c r="A59" s="538" t="s">
        <v>116</v>
      </c>
      <c r="B59" s="539">
        <v>1157.559</v>
      </c>
      <c r="C59" s="539">
        <v>1039.903</v>
      </c>
      <c r="D59" s="539">
        <v>12544.749000000002</v>
      </c>
      <c r="E59" s="539">
        <v>13584.652000000002</v>
      </c>
      <c r="F59" s="539">
        <v>14174.855000000001</v>
      </c>
      <c r="H59" s="534">
        <f t="shared" si="6"/>
        <v>14742.211000000001</v>
      </c>
      <c r="I59" s="534">
        <f t="shared" si="7"/>
        <v>567.35599999999977</v>
      </c>
    </row>
    <row r="60" spans="1:9" ht="14.25" x14ac:dyDescent="0.2">
      <c r="A60" s="538" t="s">
        <v>117</v>
      </c>
      <c r="B60" s="539">
        <v>731.93</v>
      </c>
      <c r="C60" s="539">
        <v>490.28199999999998</v>
      </c>
      <c r="D60" s="539">
        <v>6598.86</v>
      </c>
      <c r="E60" s="539">
        <v>7089.1419999999998</v>
      </c>
      <c r="F60" s="539">
        <v>7690.6140000000005</v>
      </c>
      <c r="H60" s="534">
        <f t="shared" si="6"/>
        <v>7821.0720000000001</v>
      </c>
      <c r="I60" s="534">
        <f t="shared" si="7"/>
        <v>130.45799999999963</v>
      </c>
    </row>
    <row r="61" spans="1:9" ht="14.25" x14ac:dyDescent="0.2">
      <c r="A61" s="538" t="s">
        <v>118</v>
      </c>
      <c r="B61" s="539">
        <v>782.33400000000006</v>
      </c>
      <c r="C61" s="539">
        <v>466.488</v>
      </c>
      <c r="D61" s="539">
        <v>6420.348</v>
      </c>
      <c r="E61" s="539">
        <v>6886.8360000000002</v>
      </c>
      <c r="F61" s="539">
        <v>7457.6</v>
      </c>
      <c r="H61" s="534">
        <f t="shared" si="6"/>
        <v>7669.17</v>
      </c>
      <c r="I61" s="534">
        <f t="shared" si="7"/>
        <v>211.56999999999971</v>
      </c>
    </row>
    <row r="62" spans="1:9" ht="14.25" x14ac:dyDescent="0.2">
      <c r="A62" s="538" t="s">
        <v>119</v>
      </c>
      <c r="B62" s="539">
        <v>320.00599999999997</v>
      </c>
      <c r="C62" s="539">
        <v>238.22</v>
      </c>
      <c r="D62" s="539">
        <v>3243.2750000000001</v>
      </c>
      <c r="E62" s="539">
        <v>3481.4949999999999</v>
      </c>
      <c r="F62" s="539">
        <v>3644.63</v>
      </c>
      <c r="H62" s="534">
        <f t="shared" si="6"/>
        <v>3801.5009999999997</v>
      </c>
      <c r="I62" s="534">
        <f t="shared" si="7"/>
        <v>156.87099999999964</v>
      </c>
    </row>
    <row r="63" spans="1:9" ht="14.25" x14ac:dyDescent="0.2">
      <c r="A63" s="538" t="s">
        <v>120</v>
      </c>
      <c r="B63" s="539">
        <v>925.98</v>
      </c>
      <c r="C63" s="539">
        <v>491.26400000000001</v>
      </c>
      <c r="D63" s="539">
        <v>7398.9039999999995</v>
      </c>
      <c r="E63" s="539">
        <v>7890.1679999999997</v>
      </c>
      <c r="F63" s="539">
        <v>8593.125</v>
      </c>
      <c r="H63" s="534">
        <f t="shared" si="6"/>
        <v>8816.1479999999992</v>
      </c>
      <c r="I63" s="534">
        <f t="shared" si="7"/>
        <v>223.02299999999923</v>
      </c>
    </row>
    <row r="64" spans="1:9" ht="14.25" x14ac:dyDescent="0.2">
      <c r="A64" s="538" t="s">
        <v>121</v>
      </c>
      <c r="B64" s="539">
        <v>1600.1390000000001</v>
      </c>
      <c r="C64" s="539">
        <v>1187.2</v>
      </c>
      <c r="D64" s="539">
        <v>16202.2</v>
      </c>
      <c r="E64" s="539">
        <v>17389.400000000001</v>
      </c>
      <c r="F64" s="539">
        <v>18364.948</v>
      </c>
      <c r="H64" s="534">
        <f t="shared" si="6"/>
        <v>18989.539000000001</v>
      </c>
      <c r="I64" s="534">
        <f t="shared" si="7"/>
        <v>624.59100000000035</v>
      </c>
    </row>
    <row r="65" spans="1:9" ht="14.25" x14ac:dyDescent="0.2">
      <c r="A65" s="538" t="s">
        <v>122</v>
      </c>
      <c r="B65" s="539">
        <v>411.15600000000001</v>
      </c>
      <c r="C65" s="539">
        <v>418.45799999999997</v>
      </c>
      <c r="D65" s="539">
        <v>4829.8239999999996</v>
      </c>
      <c r="E65" s="539">
        <v>5248.2819999999992</v>
      </c>
      <c r="F65" s="539">
        <v>5441.7519999999995</v>
      </c>
      <c r="H65" s="534">
        <f t="shared" si="6"/>
        <v>5659.4379999999992</v>
      </c>
      <c r="I65" s="534">
        <f t="shared" si="7"/>
        <v>217.68599999999969</v>
      </c>
    </row>
    <row r="66" spans="1:9" ht="14.25" x14ac:dyDescent="0.2">
      <c r="A66" s="540"/>
      <c r="B66" s="541"/>
      <c r="C66" s="541"/>
      <c r="D66" s="541"/>
      <c r="E66" s="541"/>
      <c r="F66" s="541"/>
      <c r="H66" s="534"/>
      <c r="I66" s="534"/>
    </row>
    <row r="67" spans="1:9" ht="14.25" x14ac:dyDescent="0.2">
      <c r="A67" s="532" t="s">
        <v>476</v>
      </c>
      <c r="B67" s="533">
        <v>11010.311999999998</v>
      </c>
      <c r="C67" s="533">
        <v>10386.038999999999</v>
      </c>
      <c r="D67" s="533">
        <v>119263.80200000003</v>
      </c>
      <c r="E67" s="533">
        <v>129649.84100000001</v>
      </c>
      <c r="F67" s="533">
        <v>136589.93299999999</v>
      </c>
      <c r="H67" s="535">
        <f t="shared" ref="H67:H92" si="8">SUM(B67,E67)</f>
        <v>140660.15300000002</v>
      </c>
      <c r="I67" s="535">
        <f t="shared" ref="I67:I92" si="9">H67-F67</f>
        <v>4070.2200000000303</v>
      </c>
    </row>
    <row r="68" spans="1:9" ht="14.25" x14ac:dyDescent="0.2">
      <c r="A68" s="536" t="s">
        <v>74</v>
      </c>
      <c r="B68" s="537">
        <v>419.8</v>
      </c>
      <c r="C68" s="537">
        <v>252.78</v>
      </c>
      <c r="D68" s="537">
        <v>4149.915</v>
      </c>
      <c r="E68" s="537">
        <v>4402.6949999999997</v>
      </c>
      <c r="F68" s="537">
        <v>4700.5860000000002</v>
      </c>
      <c r="H68" s="534">
        <f t="shared" si="8"/>
        <v>4822.4949999999999</v>
      </c>
      <c r="I68" s="534">
        <f t="shared" si="9"/>
        <v>121.90899999999965</v>
      </c>
    </row>
    <row r="69" spans="1:9" ht="14.25" x14ac:dyDescent="0.2">
      <c r="A69" s="538" t="s">
        <v>75</v>
      </c>
      <c r="B69" s="539">
        <v>144.89200000000002</v>
      </c>
      <c r="C69" s="539">
        <v>109.854</v>
      </c>
      <c r="D69" s="539">
        <v>1791.6299999999999</v>
      </c>
      <c r="E69" s="539">
        <v>1901.4839999999999</v>
      </c>
      <c r="F69" s="539">
        <v>1980.846</v>
      </c>
      <c r="H69" s="534">
        <f t="shared" si="8"/>
        <v>2046.376</v>
      </c>
      <c r="I69" s="534">
        <f t="shared" si="9"/>
        <v>65.529999999999973</v>
      </c>
    </row>
    <row r="70" spans="1:9" ht="14.25" x14ac:dyDescent="0.2">
      <c r="A70" s="538" t="s">
        <v>69</v>
      </c>
      <c r="B70" s="539">
        <v>973.90800000000013</v>
      </c>
      <c r="C70" s="539">
        <v>584.14400000000001</v>
      </c>
      <c r="D70" s="539">
        <v>11637.472000000002</v>
      </c>
      <c r="E70" s="539">
        <v>12221.616000000002</v>
      </c>
      <c r="F70" s="539">
        <v>12960.99</v>
      </c>
      <c r="H70" s="534">
        <f t="shared" si="8"/>
        <v>13195.524000000001</v>
      </c>
      <c r="I70" s="534">
        <f t="shared" si="9"/>
        <v>234.53400000000147</v>
      </c>
    </row>
    <row r="71" spans="1:9" ht="14.25" x14ac:dyDescent="0.2">
      <c r="A71" s="538" t="s">
        <v>76</v>
      </c>
      <c r="B71" s="539">
        <v>106.73100000000001</v>
      </c>
      <c r="C71" s="539">
        <v>46.863</v>
      </c>
      <c r="D71" s="539">
        <v>772.28700000000003</v>
      </c>
      <c r="E71" s="539">
        <v>819.15000000000009</v>
      </c>
      <c r="F71" s="539">
        <v>891.97200000000009</v>
      </c>
      <c r="H71" s="534">
        <f t="shared" si="8"/>
        <v>925.88100000000009</v>
      </c>
      <c r="I71" s="534">
        <f t="shared" si="9"/>
        <v>33.908999999999992</v>
      </c>
    </row>
    <row r="72" spans="1:9" ht="14.25" x14ac:dyDescent="0.2">
      <c r="A72" s="538" t="s">
        <v>70</v>
      </c>
      <c r="B72" s="539">
        <v>523.4</v>
      </c>
      <c r="C72" s="539">
        <v>348.05099999999999</v>
      </c>
      <c r="D72" s="539">
        <v>6218.9669999999996</v>
      </c>
      <c r="E72" s="539">
        <v>6567.018</v>
      </c>
      <c r="F72" s="539">
        <v>6885.4100000000008</v>
      </c>
      <c r="H72" s="534">
        <f t="shared" si="8"/>
        <v>7090.4179999999997</v>
      </c>
      <c r="I72" s="534">
        <f t="shared" si="9"/>
        <v>205.0079999999989</v>
      </c>
    </row>
    <row r="73" spans="1:9" ht="14.25" x14ac:dyDescent="0.2">
      <c r="A73" s="538" t="s">
        <v>77</v>
      </c>
      <c r="B73" s="539">
        <v>150.6</v>
      </c>
      <c r="C73" s="539">
        <v>80.105999999999995</v>
      </c>
      <c r="D73" s="539">
        <v>1261.5849999999998</v>
      </c>
      <c r="E73" s="539">
        <v>1341.6909999999998</v>
      </c>
      <c r="F73" s="539">
        <v>1452.4110000000001</v>
      </c>
      <c r="H73" s="534">
        <f t="shared" si="8"/>
        <v>1492.2909999999997</v>
      </c>
      <c r="I73" s="534">
        <f t="shared" si="9"/>
        <v>39.879999999999654</v>
      </c>
    </row>
    <row r="74" spans="1:9" ht="14.25" x14ac:dyDescent="0.2">
      <c r="A74" s="538" t="s">
        <v>78</v>
      </c>
      <c r="B74" s="539">
        <v>1008.274</v>
      </c>
      <c r="C74" s="539">
        <v>692.91599999999994</v>
      </c>
      <c r="D74" s="539">
        <v>7943.86</v>
      </c>
      <c r="E74" s="539">
        <v>8636.7759999999998</v>
      </c>
      <c r="F74" s="539">
        <v>9566.85</v>
      </c>
      <c r="H74" s="534">
        <f t="shared" si="8"/>
        <v>9645.0499999999993</v>
      </c>
      <c r="I74" s="534">
        <f t="shared" si="9"/>
        <v>78.199999999998909</v>
      </c>
    </row>
    <row r="75" spans="1:9" ht="14.25" x14ac:dyDescent="0.2">
      <c r="A75" s="538" t="s">
        <v>79</v>
      </c>
      <c r="B75" s="539">
        <v>262.51499999999999</v>
      </c>
      <c r="C75" s="539">
        <v>138.17999999999998</v>
      </c>
      <c r="D75" s="539">
        <v>2356.41</v>
      </c>
      <c r="E75" s="539">
        <v>2494.5899999999997</v>
      </c>
      <c r="F75" s="539">
        <v>2652.6459999999997</v>
      </c>
      <c r="H75" s="534">
        <f t="shared" si="8"/>
        <v>2757.1049999999996</v>
      </c>
      <c r="I75" s="534">
        <f t="shared" si="9"/>
        <v>104.45899999999983</v>
      </c>
    </row>
    <row r="76" spans="1:9" ht="14.25" x14ac:dyDescent="0.2">
      <c r="A76" s="538" t="s">
        <v>80</v>
      </c>
      <c r="B76" s="539">
        <v>399.09200000000004</v>
      </c>
      <c r="C76" s="539">
        <v>155.488</v>
      </c>
      <c r="D76" s="539">
        <v>3677.7039999999997</v>
      </c>
      <c r="E76" s="539">
        <v>3833.1919999999996</v>
      </c>
      <c r="F76" s="539">
        <v>4138.7849999999999</v>
      </c>
      <c r="H76" s="534">
        <f t="shared" si="8"/>
        <v>4232.2839999999997</v>
      </c>
      <c r="I76" s="534">
        <f t="shared" si="9"/>
        <v>93.498999999999796</v>
      </c>
    </row>
    <row r="77" spans="1:9" ht="14.25" x14ac:dyDescent="0.2">
      <c r="A77" s="538" t="s">
        <v>81</v>
      </c>
      <c r="B77" s="539">
        <v>103.41000000000001</v>
      </c>
      <c r="C77" s="539">
        <v>57.116</v>
      </c>
      <c r="D77" s="539">
        <v>888.31100000000004</v>
      </c>
      <c r="E77" s="539">
        <v>945.42700000000002</v>
      </c>
      <c r="F77" s="539">
        <v>1013.652</v>
      </c>
      <c r="H77" s="534">
        <f t="shared" si="8"/>
        <v>1048.837</v>
      </c>
      <c r="I77" s="534">
        <f t="shared" si="9"/>
        <v>35.184999999999945</v>
      </c>
    </row>
    <row r="78" spans="1:9" ht="14.25" x14ac:dyDescent="0.2">
      <c r="A78" s="538" t="s">
        <v>82</v>
      </c>
      <c r="B78" s="539">
        <v>163.96</v>
      </c>
      <c r="C78" s="539">
        <v>200.65800000000002</v>
      </c>
      <c r="D78" s="539">
        <v>2200.4009999999998</v>
      </c>
      <c r="E78" s="539">
        <v>2401.0589999999997</v>
      </c>
      <c r="F78" s="539">
        <v>2438.4</v>
      </c>
      <c r="H78" s="534">
        <f t="shared" si="8"/>
        <v>2565.0189999999998</v>
      </c>
      <c r="I78" s="534">
        <f t="shared" si="9"/>
        <v>126.61899999999969</v>
      </c>
    </row>
    <row r="79" spans="1:9" ht="14.25" x14ac:dyDescent="0.2">
      <c r="A79" s="538" t="s">
        <v>83</v>
      </c>
      <c r="B79" s="539">
        <v>69.471000000000004</v>
      </c>
      <c r="C79" s="539">
        <v>30.727999999999998</v>
      </c>
      <c r="D79" s="539">
        <v>633.51199999999994</v>
      </c>
      <c r="E79" s="539">
        <v>664.2399999999999</v>
      </c>
      <c r="F79" s="539">
        <v>702.62599999999998</v>
      </c>
      <c r="H79" s="534">
        <f t="shared" si="8"/>
        <v>733.7109999999999</v>
      </c>
      <c r="I79" s="534">
        <f t="shared" si="9"/>
        <v>31.084999999999923</v>
      </c>
    </row>
    <row r="80" spans="1:9" ht="14.25" x14ac:dyDescent="0.2">
      <c r="A80" s="538" t="s">
        <v>84</v>
      </c>
      <c r="B80" s="539">
        <v>118.932</v>
      </c>
      <c r="C80" s="539">
        <v>55.879000000000005</v>
      </c>
      <c r="D80" s="539">
        <v>1024.6790000000001</v>
      </c>
      <c r="E80" s="539">
        <v>1080.558</v>
      </c>
      <c r="F80" s="539">
        <v>1175.2649999999999</v>
      </c>
      <c r="H80" s="534">
        <f t="shared" si="8"/>
        <v>1199.49</v>
      </c>
      <c r="I80" s="534">
        <f t="shared" si="9"/>
        <v>24.225000000000136</v>
      </c>
    </row>
    <row r="81" spans="1:12" ht="14.25" x14ac:dyDescent="0.2">
      <c r="A81" s="538" t="s">
        <v>85</v>
      </c>
      <c r="B81" s="539">
        <v>191.47800000000001</v>
      </c>
      <c r="C81" s="539">
        <v>108.75</v>
      </c>
      <c r="D81" s="539">
        <v>1930.35</v>
      </c>
      <c r="E81" s="539">
        <v>2039.1</v>
      </c>
      <c r="F81" s="539">
        <v>2173.1640000000002</v>
      </c>
      <c r="H81" s="534">
        <f t="shared" si="8"/>
        <v>2230.578</v>
      </c>
      <c r="I81" s="534">
        <f t="shared" si="9"/>
        <v>57.41399999999976</v>
      </c>
    </row>
    <row r="82" spans="1:12" ht="14.25" x14ac:dyDescent="0.2">
      <c r="A82" s="540" t="s">
        <v>99</v>
      </c>
      <c r="B82" s="541">
        <v>718.66200000000003</v>
      </c>
      <c r="C82" s="541">
        <v>546.31200000000001</v>
      </c>
      <c r="D82" s="541">
        <v>8332.5840000000007</v>
      </c>
      <c r="E82" s="541">
        <v>8878.8960000000006</v>
      </c>
      <c r="F82" s="541">
        <v>9179.348</v>
      </c>
      <c r="H82" s="534">
        <f t="shared" si="8"/>
        <v>9597.5580000000009</v>
      </c>
      <c r="I82" s="534">
        <f t="shared" si="9"/>
        <v>418.21000000000095</v>
      </c>
    </row>
    <row r="83" spans="1:12" ht="14.25" x14ac:dyDescent="0.2">
      <c r="A83" s="536" t="s">
        <v>71</v>
      </c>
      <c r="B83" s="537">
        <v>1431.76</v>
      </c>
      <c r="C83" s="537">
        <v>1770.1499999999999</v>
      </c>
      <c r="D83" s="537">
        <v>20020.649999999998</v>
      </c>
      <c r="E83" s="537">
        <v>21790.799999999999</v>
      </c>
      <c r="F83" s="537">
        <v>22452.184000000001</v>
      </c>
      <c r="H83" s="534">
        <f t="shared" si="8"/>
        <v>23222.559999999998</v>
      </c>
      <c r="I83" s="534">
        <f t="shared" si="9"/>
        <v>770.37599999999657</v>
      </c>
    </row>
    <row r="84" spans="1:12" ht="14.25" x14ac:dyDescent="0.2">
      <c r="A84" s="538" t="s">
        <v>86</v>
      </c>
      <c r="B84" s="539">
        <v>147.048</v>
      </c>
      <c r="C84" s="539">
        <v>82.39</v>
      </c>
      <c r="D84" s="539">
        <v>1800.876</v>
      </c>
      <c r="E84" s="539">
        <v>1883.2660000000001</v>
      </c>
      <c r="F84" s="539">
        <v>1977.5170000000001</v>
      </c>
      <c r="H84" s="534">
        <f t="shared" si="8"/>
        <v>2030.3140000000001</v>
      </c>
      <c r="I84" s="534">
        <f t="shared" si="9"/>
        <v>52.797000000000025</v>
      </c>
    </row>
    <row r="85" spans="1:12" ht="14.25" x14ac:dyDescent="0.2">
      <c r="A85" s="538" t="s">
        <v>72</v>
      </c>
      <c r="B85" s="539">
        <v>1392.1799999999998</v>
      </c>
      <c r="C85" s="539">
        <v>1880.2350000000001</v>
      </c>
      <c r="D85" s="539">
        <v>13648.69</v>
      </c>
      <c r="E85" s="539">
        <v>15528.925000000001</v>
      </c>
      <c r="F85" s="539">
        <v>16530.738000000001</v>
      </c>
      <c r="H85" s="534">
        <f t="shared" si="8"/>
        <v>16921.105</v>
      </c>
      <c r="I85" s="534">
        <f t="shared" si="9"/>
        <v>390.36699999999837</v>
      </c>
    </row>
    <row r="86" spans="1:12" ht="14.25" x14ac:dyDescent="0.2">
      <c r="A86" s="538" t="s">
        <v>87</v>
      </c>
      <c r="B86" s="539">
        <v>134.82399999999998</v>
      </c>
      <c r="C86" s="539">
        <v>50.887</v>
      </c>
      <c r="D86" s="539">
        <v>1066.8150000000001</v>
      </c>
      <c r="E86" s="539">
        <v>1117.702</v>
      </c>
      <c r="F86" s="539">
        <v>1211.232</v>
      </c>
      <c r="H86" s="534">
        <f t="shared" si="8"/>
        <v>1252.5260000000001</v>
      </c>
      <c r="I86" s="534">
        <f t="shared" si="9"/>
        <v>41.294000000000096</v>
      </c>
    </row>
    <row r="87" spans="1:12" ht="14.25" x14ac:dyDescent="0.2">
      <c r="A87" s="538" t="s">
        <v>88</v>
      </c>
      <c r="B87" s="539">
        <v>339.32800000000003</v>
      </c>
      <c r="C87" s="539">
        <v>340.01799999999997</v>
      </c>
      <c r="D87" s="539">
        <v>3348.6259999999997</v>
      </c>
      <c r="E87" s="539">
        <v>3688.6439999999998</v>
      </c>
      <c r="F87" s="539">
        <v>3863.6920000000005</v>
      </c>
      <c r="H87" s="534">
        <f t="shared" si="8"/>
        <v>4027.9719999999998</v>
      </c>
      <c r="I87" s="534">
        <f t="shared" si="9"/>
        <v>164.27999999999929</v>
      </c>
    </row>
    <row r="88" spans="1:12" ht="14.25" x14ac:dyDescent="0.2">
      <c r="A88" s="538" t="s">
        <v>73</v>
      </c>
      <c r="B88" s="539">
        <v>594.10399999999993</v>
      </c>
      <c r="C88" s="539">
        <v>410.64600000000007</v>
      </c>
      <c r="D88" s="539">
        <v>6193.8660000000009</v>
      </c>
      <c r="E88" s="539">
        <v>6604.5120000000006</v>
      </c>
      <c r="F88" s="539">
        <v>6870.6720000000005</v>
      </c>
      <c r="H88" s="534">
        <f t="shared" si="8"/>
        <v>7198.6160000000009</v>
      </c>
      <c r="I88" s="534">
        <f t="shared" si="9"/>
        <v>327.94400000000041</v>
      </c>
    </row>
    <row r="89" spans="1:12" ht="14.25" x14ac:dyDescent="0.2">
      <c r="A89" s="538" t="s">
        <v>89</v>
      </c>
      <c r="B89" s="539">
        <v>123.42399999999999</v>
      </c>
      <c r="C89" s="539">
        <v>61.387999999999998</v>
      </c>
      <c r="D89" s="539">
        <v>1064.307</v>
      </c>
      <c r="E89" s="539">
        <v>1125.6949999999999</v>
      </c>
      <c r="F89" s="539">
        <v>1210.116</v>
      </c>
      <c r="H89" s="534">
        <f t="shared" si="8"/>
        <v>1249.1189999999999</v>
      </c>
      <c r="I89" s="534">
        <f t="shared" si="9"/>
        <v>39.002999999999929</v>
      </c>
    </row>
    <row r="90" spans="1:12" ht="14.25" x14ac:dyDescent="0.2">
      <c r="A90" s="538" t="s">
        <v>90</v>
      </c>
      <c r="B90" s="539">
        <v>1302.32</v>
      </c>
      <c r="C90" s="539">
        <v>2297.9879999999998</v>
      </c>
      <c r="D90" s="539">
        <v>15567.397999999999</v>
      </c>
      <c r="E90" s="539">
        <v>17865.385999999999</v>
      </c>
      <c r="F90" s="539">
        <v>18570.875</v>
      </c>
      <c r="H90" s="534">
        <f t="shared" si="8"/>
        <v>19167.705999999998</v>
      </c>
      <c r="I90" s="534">
        <f t="shared" si="9"/>
        <v>596.83099999999831</v>
      </c>
    </row>
    <row r="91" spans="1:12" ht="14.25" x14ac:dyDescent="0.2">
      <c r="A91" s="538" t="s">
        <v>91</v>
      </c>
      <c r="B91" s="539">
        <v>36.567999999999998</v>
      </c>
      <c r="C91" s="539">
        <v>18.256</v>
      </c>
      <c r="D91" s="539">
        <v>407.98900000000003</v>
      </c>
      <c r="E91" s="539">
        <v>426.245</v>
      </c>
      <c r="F91" s="539">
        <v>447.71599999999995</v>
      </c>
      <c r="H91" s="534">
        <f t="shared" si="8"/>
        <v>462.81299999999999</v>
      </c>
      <c r="I91" s="534">
        <f t="shared" si="9"/>
        <v>15.097000000000037</v>
      </c>
    </row>
    <row r="92" spans="1:12" ht="14.25" x14ac:dyDescent="0.2">
      <c r="A92" s="538" t="s">
        <v>92</v>
      </c>
      <c r="B92" s="539">
        <v>153.631</v>
      </c>
      <c r="C92" s="539">
        <v>66.256</v>
      </c>
      <c r="D92" s="539">
        <v>1324.9179999999999</v>
      </c>
      <c r="E92" s="539">
        <v>1391.174</v>
      </c>
      <c r="F92" s="539">
        <v>1542.24</v>
      </c>
      <c r="H92" s="534">
        <f t="shared" si="8"/>
        <v>1544.8050000000001</v>
      </c>
      <c r="I92" s="534">
        <f t="shared" si="9"/>
        <v>2.5650000000000546</v>
      </c>
    </row>
    <row r="93" spans="1:12" ht="14.25" x14ac:dyDescent="0.2">
      <c r="A93" s="540"/>
      <c r="B93" s="541"/>
      <c r="C93" s="541"/>
      <c r="D93" s="541"/>
      <c r="E93" s="541"/>
      <c r="F93" s="541"/>
      <c r="H93" s="535"/>
      <c r="I93" s="535"/>
    </row>
    <row r="94" spans="1:12" ht="14.25" x14ac:dyDescent="0.2">
      <c r="A94" s="532" t="s">
        <v>541</v>
      </c>
      <c r="B94" s="533">
        <v>8982.6319999999978</v>
      </c>
      <c r="C94" s="533">
        <v>8249.7320000000018</v>
      </c>
      <c r="D94" s="533">
        <v>106109.54199999999</v>
      </c>
      <c r="E94" s="533">
        <v>114359.27400000002</v>
      </c>
      <c r="F94" s="533">
        <v>118724.97500000001</v>
      </c>
      <c r="H94" s="535">
        <f t="shared" ref="H94:H117" si="10">SUM(B94,E94)</f>
        <v>123341.90600000002</v>
      </c>
      <c r="I94" s="535">
        <f t="shared" ref="I94:I117" si="11">H94-F94</f>
        <v>4616.9310000000114</v>
      </c>
    </row>
    <row r="95" spans="1:12" ht="14.25" x14ac:dyDescent="0.2">
      <c r="A95" s="536" t="s">
        <v>123</v>
      </c>
      <c r="B95" s="537">
        <v>310.435</v>
      </c>
      <c r="C95" s="537">
        <v>186.04300000000003</v>
      </c>
      <c r="D95" s="537">
        <v>3111.8230000000003</v>
      </c>
      <c r="E95" s="537">
        <v>3297.8660000000004</v>
      </c>
      <c r="F95" s="537">
        <v>3471.0389999999998</v>
      </c>
      <c r="H95" s="534">
        <f t="shared" si="10"/>
        <v>3608.3010000000004</v>
      </c>
      <c r="I95" s="534">
        <f t="shared" si="11"/>
        <v>137.26200000000063</v>
      </c>
      <c r="K95" s="534"/>
      <c r="L95" s="534"/>
    </row>
    <row r="96" spans="1:12" ht="14.25" x14ac:dyDescent="0.2">
      <c r="A96" s="538" t="s">
        <v>124</v>
      </c>
      <c r="B96" s="539">
        <v>144.33000000000001</v>
      </c>
      <c r="C96" s="539">
        <v>80.513999999999996</v>
      </c>
      <c r="D96" s="539">
        <v>1300.365</v>
      </c>
      <c r="E96" s="539">
        <v>1380.8789999999999</v>
      </c>
      <c r="F96" s="539">
        <v>1488.942</v>
      </c>
      <c r="H96" s="534">
        <f t="shared" si="10"/>
        <v>1525.2089999999998</v>
      </c>
      <c r="I96" s="534">
        <f t="shared" si="11"/>
        <v>36.266999999999825</v>
      </c>
    </row>
    <row r="97" spans="1:9" ht="14.25" x14ac:dyDescent="0.2">
      <c r="A97" s="538" t="s">
        <v>125</v>
      </c>
      <c r="B97" s="539">
        <v>284.95100000000002</v>
      </c>
      <c r="C97" s="539">
        <v>186.714</v>
      </c>
      <c r="D97" s="539">
        <v>3050.973</v>
      </c>
      <c r="E97" s="539">
        <v>3237.6869999999999</v>
      </c>
      <c r="F97" s="539">
        <v>3441.6620000000003</v>
      </c>
      <c r="H97" s="534">
        <f t="shared" si="10"/>
        <v>3522.6379999999999</v>
      </c>
      <c r="I97" s="534">
        <f t="shared" si="11"/>
        <v>80.975999999999658</v>
      </c>
    </row>
    <row r="98" spans="1:9" ht="14.25" x14ac:dyDescent="0.2">
      <c r="A98" s="538" t="s">
        <v>126</v>
      </c>
      <c r="B98" s="539">
        <v>185.571</v>
      </c>
      <c r="C98" s="539">
        <v>126.69</v>
      </c>
      <c r="D98" s="539">
        <v>2188.58</v>
      </c>
      <c r="E98" s="539">
        <v>2315.27</v>
      </c>
      <c r="F98" s="539">
        <v>2401.1680000000001</v>
      </c>
      <c r="H98" s="534">
        <f t="shared" si="10"/>
        <v>2500.8409999999999</v>
      </c>
      <c r="I98" s="534">
        <f t="shared" si="11"/>
        <v>99.672999999999774</v>
      </c>
    </row>
    <row r="99" spans="1:9" ht="14.25" x14ac:dyDescent="0.2">
      <c r="A99" s="538" t="s">
        <v>127</v>
      </c>
      <c r="B99" s="539">
        <v>1772.2320000000002</v>
      </c>
      <c r="C99" s="539">
        <v>1421.8799999999999</v>
      </c>
      <c r="D99" s="539">
        <v>24897.167999999998</v>
      </c>
      <c r="E99" s="539">
        <v>26319.047999999999</v>
      </c>
      <c r="F99" s="539">
        <v>27158.852000000003</v>
      </c>
      <c r="H99" s="534">
        <f t="shared" si="10"/>
        <v>28091.279999999999</v>
      </c>
      <c r="I99" s="534">
        <f t="shared" si="11"/>
        <v>932.42799999999625</v>
      </c>
    </row>
    <row r="100" spans="1:9" ht="14.25" x14ac:dyDescent="0.2">
      <c r="A100" s="538" t="s">
        <v>128</v>
      </c>
      <c r="B100" s="539">
        <v>639.9</v>
      </c>
      <c r="C100" s="539">
        <v>637.50800000000004</v>
      </c>
      <c r="D100" s="539">
        <v>8881.1200000000008</v>
      </c>
      <c r="E100" s="539">
        <v>9518.6280000000006</v>
      </c>
      <c r="F100" s="539">
        <v>9792.5010000000002</v>
      </c>
      <c r="H100" s="534">
        <f t="shared" si="10"/>
        <v>10158.528</v>
      </c>
      <c r="I100" s="534">
        <f t="shared" si="11"/>
        <v>366.02700000000004</v>
      </c>
    </row>
    <row r="101" spans="1:9" ht="14.25" x14ac:dyDescent="0.2">
      <c r="A101" s="538" t="s">
        <v>129</v>
      </c>
      <c r="B101" s="539">
        <v>236.83500000000001</v>
      </c>
      <c r="C101" s="539">
        <v>148.239</v>
      </c>
      <c r="D101" s="539">
        <v>2583.0510000000004</v>
      </c>
      <c r="E101" s="539">
        <v>2731.2900000000004</v>
      </c>
      <c r="F101" s="539">
        <v>2886.75</v>
      </c>
      <c r="H101" s="534">
        <f t="shared" si="10"/>
        <v>2968.1250000000005</v>
      </c>
      <c r="I101" s="534">
        <f t="shared" si="11"/>
        <v>81.375000000000455</v>
      </c>
    </row>
    <row r="102" spans="1:9" ht="14.25" x14ac:dyDescent="0.2">
      <c r="A102" s="538" t="s">
        <v>130</v>
      </c>
      <c r="B102" s="539">
        <v>122.02600000000001</v>
      </c>
      <c r="C102" s="539">
        <v>56.64</v>
      </c>
      <c r="D102" s="539">
        <v>991.55399999999997</v>
      </c>
      <c r="E102" s="539">
        <v>1048.194</v>
      </c>
      <c r="F102" s="539">
        <v>1143.221</v>
      </c>
      <c r="H102" s="534">
        <f t="shared" si="10"/>
        <v>1170.22</v>
      </c>
      <c r="I102" s="534">
        <f t="shared" si="11"/>
        <v>26.999000000000024</v>
      </c>
    </row>
    <row r="103" spans="1:9" ht="14.25" x14ac:dyDescent="0.2">
      <c r="A103" s="538" t="s">
        <v>131</v>
      </c>
      <c r="B103" s="539">
        <v>103.04600000000001</v>
      </c>
      <c r="C103" s="539">
        <v>64.684000000000012</v>
      </c>
      <c r="D103" s="539">
        <v>928.2360000000001</v>
      </c>
      <c r="E103" s="539">
        <v>992.92000000000007</v>
      </c>
      <c r="F103" s="539">
        <v>1068.144</v>
      </c>
      <c r="H103" s="534">
        <f t="shared" si="10"/>
        <v>1095.9660000000001</v>
      </c>
      <c r="I103" s="534">
        <f t="shared" si="11"/>
        <v>27.822000000000116</v>
      </c>
    </row>
    <row r="104" spans="1:9" ht="14.25" x14ac:dyDescent="0.2">
      <c r="A104" s="538" t="s">
        <v>132</v>
      </c>
      <c r="B104" s="539">
        <v>404.75899999999996</v>
      </c>
      <c r="C104" s="539">
        <v>277.20000000000005</v>
      </c>
      <c r="D104" s="539">
        <v>4778.9280000000008</v>
      </c>
      <c r="E104" s="539">
        <v>5056.1280000000006</v>
      </c>
      <c r="F104" s="539">
        <v>5343</v>
      </c>
      <c r="H104" s="534">
        <f t="shared" si="10"/>
        <v>5460.8870000000006</v>
      </c>
      <c r="I104" s="534">
        <f t="shared" si="11"/>
        <v>117.88700000000063</v>
      </c>
    </row>
    <row r="105" spans="1:9" ht="14.25" x14ac:dyDescent="0.2">
      <c r="A105" s="538" t="s">
        <v>133</v>
      </c>
      <c r="B105" s="539">
        <v>1033.1200000000001</v>
      </c>
      <c r="C105" s="539">
        <v>604.84400000000005</v>
      </c>
      <c r="D105" s="539">
        <v>10604.172</v>
      </c>
      <c r="E105" s="539">
        <v>11209.016</v>
      </c>
      <c r="F105" s="539">
        <v>11936.375999999998</v>
      </c>
      <c r="H105" s="534">
        <f t="shared" si="10"/>
        <v>12242.136</v>
      </c>
      <c r="I105" s="534">
        <f t="shared" si="11"/>
        <v>305.76000000000204</v>
      </c>
    </row>
    <row r="106" spans="1:9" ht="14.25" x14ac:dyDescent="0.2">
      <c r="A106" s="538" t="s">
        <v>134</v>
      </c>
      <c r="B106" s="539">
        <v>432.39000000000004</v>
      </c>
      <c r="C106" s="539">
        <v>853.76499999999999</v>
      </c>
      <c r="D106" s="539">
        <v>4900.0649999999996</v>
      </c>
      <c r="E106" s="539">
        <v>5753.83</v>
      </c>
      <c r="F106" s="539">
        <v>5961.9590000000007</v>
      </c>
      <c r="H106" s="534">
        <f t="shared" si="10"/>
        <v>6186.22</v>
      </c>
      <c r="I106" s="534">
        <f t="shared" si="11"/>
        <v>224.26099999999951</v>
      </c>
    </row>
    <row r="107" spans="1:9" ht="14.25" x14ac:dyDescent="0.2">
      <c r="A107" s="538" t="s">
        <v>135</v>
      </c>
      <c r="B107" s="539">
        <v>433.55200000000002</v>
      </c>
      <c r="C107" s="539">
        <v>255.45999999999998</v>
      </c>
      <c r="D107" s="539">
        <v>3744.1320000000001</v>
      </c>
      <c r="E107" s="539">
        <v>3999.5920000000001</v>
      </c>
      <c r="F107" s="539">
        <v>4310.6579999999994</v>
      </c>
      <c r="H107" s="534">
        <f t="shared" si="10"/>
        <v>4433.1440000000002</v>
      </c>
      <c r="I107" s="534">
        <f t="shared" si="11"/>
        <v>122.48600000000079</v>
      </c>
    </row>
    <row r="108" spans="1:9" ht="14.25" x14ac:dyDescent="0.2">
      <c r="A108" s="538" t="s">
        <v>136</v>
      </c>
      <c r="B108" s="539">
        <v>160.65600000000001</v>
      </c>
      <c r="C108" s="539">
        <v>184.04399999999998</v>
      </c>
      <c r="D108" s="539">
        <v>1754.4449999999999</v>
      </c>
      <c r="E108" s="539">
        <v>1938.489</v>
      </c>
      <c r="F108" s="539">
        <v>2033.6820000000002</v>
      </c>
      <c r="H108" s="534">
        <f t="shared" si="10"/>
        <v>2099.145</v>
      </c>
      <c r="I108" s="534">
        <f t="shared" si="11"/>
        <v>65.462999999999738</v>
      </c>
    </row>
    <row r="109" spans="1:9" ht="14.25" x14ac:dyDescent="0.2">
      <c r="A109" s="538" t="s">
        <v>137</v>
      </c>
      <c r="B109" s="539">
        <v>343.55200000000002</v>
      </c>
      <c r="C109" s="539">
        <v>246.76</v>
      </c>
      <c r="D109" s="539">
        <v>3983.81</v>
      </c>
      <c r="E109" s="539">
        <v>4230.57</v>
      </c>
      <c r="F109" s="539">
        <v>4422.8519999999999</v>
      </c>
      <c r="H109" s="534">
        <f t="shared" si="10"/>
        <v>4574.1219999999994</v>
      </c>
      <c r="I109" s="534">
        <f t="shared" si="11"/>
        <v>151.26999999999953</v>
      </c>
    </row>
    <row r="110" spans="1:9" ht="14.25" customHeight="1" x14ac:dyDescent="0.2">
      <c r="A110" s="538" t="s">
        <v>138</v>
      </c>
      <c r="B110" s="539">
        <v>126.36000000000001</v>
      </c>
      <c r="C110" s="539">
        <v>65.423999999999992</v>
      </c>
      <c r="D110" s="539">
        <v>1474.8239999999998</v>
      </c>
      <c r="E110" s="539">
        <v>1540.2479999999998</v>
      </c>
      <c r="F110" s="539">
        <v>1622.84</v>
      </c>
      <c r="H110" s="534">
        <f t="shared" si="10"/>
        <v>1666.6079999999997</v>
      </c>
      <c r="I110" s="534">
        <f t="shared" si="11"/>
        <v>43.767999999999802</v>
      </c>
    </row>
    <row r="111" spans="1:9" ht="14.25" customHeight="1" x14ac:dyDescent="0.2">
      <c r="A111" s="538" t="s">
        <v>139</v>
      </c>
      <c r="B111" s="539">
        <v>213.91200000000003</v>
      </c>
      <c r="C111" s="539">
        <v>92.001999999999995</v>
      </c>
      <c r="D111" s="539">
        <v>1712.556</v>
      </c>
      <c r="E111" s="539">
        <v>1804.558</v>
      </c>
      <c r="F111" s="539">
        <v>1967.2400000000002</v>
      </c>
      <c r="H111" s="534">
        <f t="shared" si="10"/>
        <v>2018.47</v>
      </c>
      <c r="I111" s="534">
        <f t="shared" si="11"/>
        <v>51.229999999999791</v>
      </c>
    </row>
    <row r="112" spans="1:9" ht="14.25" x14ac:dyDescent="0.2">
      <c r="A112" s="538" t="s">
        <v>140</v>
      </c>
      <c r="B112" s="539">
        <v>463.04700000000003</v>
      </c>
      <c r="C112" s="539">
        <v>388.274</v>
      </c>
      <c r="D112" s="539">
        <v>6221.348</v>
      </c>
      <c r="E112" s="539">
        <v>6609.6220000000003</v>
      </c>
      <c r="F112" s="539">
        <v>6823.08</v>
      </c>
      <c r="H112" s="534">
        <f t="shared" si="10"/>
        <v>7072.6689999999999</v>
      </c>
      <c r="I112" s="534">
        <f t="shared" si="11"/>
        <v>249.58899999999994</v>
      </c>
    </row>
    <row r="113" spans="1:19" ht="14.25" x14ac:dyDescent="0.2">
      <c r="A113" s="538" t="s">
        <v>141</v>
      </c>
      <c r="B113" s="539">
        <v>178.608</v>
      </c>
      <c r="C113" s="539">
        <v>98.39200000000001</v>
      </c>
      <c r="D113" s="539">
        <v>1616.412</v>
      </c>
      <c r="E113" s="539">
        <v>1714.8040000000001</v>
      </c>
      <c r="F113" s="539">
        <v>1856.643</v>
      </c>
      <c r="H113" s="534">
        <f t="shared" si="10"/>
        <v>1893.412</v>
      </c>
      <c r="I113" s="534">
        <f t="shared" si="11"/>
        <v>36.769000000000005</v>
      </c>
    </row>
    <row r="114" spans="1:19" ht="14.25" x14ac:dyDescent="0.2">
      <c r="A114" s="538" t="s">
        <v>142</v>
      </c>
      <c r="B114" s="539">
        <v>343.22400000000005</v>
      </c>
      <c r="C114" s="539">
        <v>293.709</v>
      </c>
      <c r="D114" s="539">
        <v>3724.5129999999999</v>
      </c>
      <c r="E114" s="539">
        <v>4018.2219999999998</v>
      </c>
      <c r="F114" s="539">
        <v>4130.82</v>
      </c>
      <c r="H114" s="534">
        <f t="shared" si="10"/>
        <v>4361.4459999999999</v>
      </c>
      <c r="I114" s="534">
        <f t="shared" si="11"/>
        <v>230.6260000000002</v>
      </c>
    </row>
    <row r="115" spans="1:19" ht="14.25" x14ac:dyDescent="0.2">
      <c r="A115" s="538" t="s">
        <v>143</v>
      </c>
      <c r="B115" s="539">
        <v>279.13299999999998</v>
      </c>
      <c r="C115" s="539">
        <v>1468.3770000000002</v>
      </c>
      <c r="D115" s="539">
        <v>5226.4440000000004</v>
      </c>
      <c r="E115" s="539">
        <v>6694.8210000000008</v>
      </c>
      <c r="F115" s="539">
        <v>6222.42</v>
      </c>
      <c r="H115" s="534">
        <f t="shared" si="10"/>
        <v>6973.9540000000006</v>
      </c>
      <c r="I115" s="534">
        <f t="shared" si="11"/>
        <v>751.53400000000056</v>
      </c>
    </row>
    <row r="116" spans="1:19" ht="14.25" x14ac:dyDescent="0.2">
      <c r="A116" s="538" t="s">
        <v>144</v>
      </c>
      <c r="B116" s="539">
        <v>614.19299999999998</v>
      </c>
      <c r="C116" s="539">
        <v>420.56300000000005</v>
      </c>
      <c r="D116" s="539">
        <v>6688.6990000000005</v>
      </c>
      <c r="E116" s="539">
        <v>7109.2620000000006</v>
      </c>
      <c r="F116" s="539">
        <v>7332.9060000000009</v>
      </c>
      <c r="H116" s="534">
        <f t="shared" si="10"/>
        <v>7723.4550000000008</v>
      </c>
      <c r="I116" s="534">
        <f t="shared" si="11"/>
        <v>390.54899999999998</v>
      </c>
    </row>
    <row r="117" spans="1:19" ht="14.25" x14ac:dyDescent="0.2">
      <c r="A117" s="538" t="s">
        <v>145</v>
      </c>
      <c r="B117" s="539">
        <v>156.79999999999998</v>
      </c>
      <c r="C117" s="539">
        <v>92.006</v>
      </c>
      <c r="D117" s="539">
        <v>1746.3239999999998</v>
      </c>
      <c r="E117" s="539">
        <v>1838.33</v>
      </c>
      <c r="F117" s="539">
        <v>1908.2199999999998</v>
      </c>
      <c r="H117" s="534">
        <f t="shared" si="10"/>
        <v>1995.1299999999999</v>
      </c>
      <c r="I117" s="534">
        <f t="shared" si="11"/>
        <v>86.910000000000082</v>
      </c>
    </row>
    <row r="118" spans="1:19" ht="14.25" x14ac:dyDescent="0.2">
      <c r="A118" s="540"/>
      <c r="B118" s="541"/>
      <c r="C118" s="541"/>
      <c r="D118" s="541"/>
      <c r="E118" s="541"/>
      <c r="F118" s="541"/>
      <c r="H118" s="534"/>
      <c r="I118" s="534"/>
    </row>
    <row r="119" spans="1:19" ht="14.25" x14ac:dyDescent="0.2">
      <c r="A119" s="540" t="s">
        <v>298</v>
      </c>
      <c r="B119" s="541">
        <v>92157.763999999981</v>
      </c>
      <c r="C119" s="541">
        <v>74519.261999999973</v>
      </c>
      <c r="D119" s="541">
        <v>996912.89599999995</v>
      </c>
      <c r="E119" s="541">
        <v>1071432.1579999998</v>
      </c>
      <c r="F119" s="541">
        <v>1122525.571</v>
      </c>
      <c r="H119" s="535">
        <f>SUM(B119,E119)</f>
        <v>1163589.9219999998</v>
      </c>
      <c r="I119" s="535">
        <f>H119-F119</f>
        <v>41064.350999999791</v>
      </c>
    </row>
    <row r="120" spans="1:19" ht="14.25" x14ac:dyDescent="0.2">
      <c r="A120" s="457"/>
      <c r="B120" s="457"/>
      <c r="C120" s="457"/>
      <c r="D120" s="457"/>
      <c r="E120" s="457"/>
      <c r="I120" s="534"/>
    </row>
    <row r="121" spans="1:19" ht="30" customHeight="1" x14ac:dyDescent="0.2">
      <c r="A121" s="565" t="s">
        <v>561</v>
      </c>
      <c r="B121" s="565"/>
      <c r="C121" s="565"/>
      <c r="D121" s="565"/>
      <c r="E121" s="565"/>
      <c r="F121" s="565"/>
      <c r="H121" s="535">
        <f>SUM(H5:H117)/2</f>
        <v>1163589.922</v>
      </c>
      <c r="I121" s="535">
        <f>SUM(I5:I117)/2</f>
        <v>41064.351000000068</v>
      </c>
    </row>
    <row r="122" spans="1:19" ht="30" customHeight="1" x14ac:dyDescent="0.2">
      <c r="A122" s="565" t="s">
        <v>562</v>
      </c>
      <c r="B122" s="565"/>
      <c r="C122" s="565"/>
      <c r="D122" s="565"/>
      <c r="E122" s="565"/>
      <c r="F122" s="565"/>
      <c r="G122" s="246"/>
      <c r="H122" s="246"/>
      <c r="I122" s="246"/>
      <c r="J122" s="246"/>
      <c r="K122" s="246"/>
      <c r="L122" s="246"/>
      <c r="M122" s="246"/>
      <c r="N122" s="246"/>
      <c r="O122" s="246"/>
      <c r="P122" s="246"/>
      <c r="Q122" s="246"/>
      <c r="R122" s="246"/>
      <c r="S122" s="246"/>
    </row>
    <row r="123" spans="1:19" ht="50.1" customHeight="1" x14ac:dyDescent="0.2">
      <c r="A123" s="565" t="s">
        <v>563</v>
      </c>
      <c r="B123" s="565"/>
      <c r="C123" s="565"/>
      <c r="D123" s="565"/>
      <c r="E123" s="565"/>
      <c r="F123" s="565"/>
      <c r="G123" s="246"/>
      <c r="H123" s="246"/>
      <c r="I123" s="246"/>
      <c r="J123" s="246"/>
      <c r="K123" s="246"/>
      <c r="L123" s="246"/>
      <c r="M123" s="246"/>
      <c r="N123" s="246"/>
      <c r="O123" s="246"/>
      <c r="P123" s="246"/>
      <c r="Q123" s="246"/>
      <c r="R123" s="246"/>
      <c r="S123" s="246"/>
    </row>
    <row r="131" spans="1:6" ht="14.25" x14ac:dyDescent="0.2">
      <c r="A131" s="540"/>
      <c r="B131" s="541"/>
      <c r="C131" s="541"/>
      <c r="D131" s="541"/>
      <c r="E131" s="541"/>
      <c r="F131" s="541"/>
    </row>
    <row r="132" spans="1:6" ht="14.25" x14ac:dyDescent="0.2">
      <c r="A132" s="457"/>
      <c r="B132" s="457"/>
      <c r="C132" s="457"/>
      <c r="D132" s="457"/>
      <c r="E132" s="457"/>
      <c r="F132" s="457"/>
    </row>
    <row r="133" spans="1:6" ht="14.25" x14ac:dyDescent="0.2">
      <c r="A133" s="457"/>
      <c r="B133" s="457"/>
      <c r="C133" s="457"/>
      <c r="D133" s="457"/>
      <c r="E133" s="457"/>
      <c r="F133" s="457"/>
    </row>
    <row r="134" spans="1:6" ht="14.25" x14ac:dyDescent="0.2">
      <c r="A134" s="457"/>
      <c r="B134" s="457"/>
      <c r="C134" s="457"/>
      <c r="D134" s="457"/>
      <c r="E134" s="457"/>
      <c r="F134" s="457"/>
    </row>
    <row r="135" spans="1:6" ht="14.25" x14ac:dyDescent="0.2">
      <c r="A135" s="457"/>
      <c r="B135" s="457"/>
      <c r="C135" s="457"/>
      <c r="D135" s="457"/>
      <c r="E135" s="457"/>
      <c r="F135" s="457"/>
    </row>
    <row r="136" spans="1:6" ht="14.25" x14ac:dyDescent="0.2">
      <c r="A136" s="457"/>
      <c r="B136" s="457"/>
      <c r="C136" s="457"/>
      <c r="D136" s="457"/>
      <c r="E136" s="457"/>
      <c r="F136" s="457"/>
    </row>
    <row r="137" spans="1:6" ht="14.25" x14ac:dyDescent="0.2">
      <c r="A137" s="457"/>
      <c r="B137" s="457"/>
      <c r="C137" s="457"/>
      <c r="D137" s="457"/>
      <c r="E137" s="457"/>
      <c r="F137" s="457"/>
    </row>
    <row r="138" spans="1:6" ht="14.25" x14ac:dyDescent="0.2">
      <c r="A138" s="457"/>
      <c r="B138" s="457"/>
      <c r="C138" s="457"/>
      <c r="D138" s="457"/>
      <c r="E138" s="457"/>
      <c r="F138" s="457"/>
    </row>
    <row r="139" spans="1:6" ht="14.25" x14ac:dyDescent="0.2">
      <c r="A139" s="457"/>
      <c r="B139" s="457"/>
      <c r="C139" s="457"/>
      <c r="D139" s="457"/>
      <c r="E139" s="457"/>
      <c r="F139" s="457"/>
    </row>
    <row r="140" spans="1:6" ht="14.25" x14ac:dyDescent="0.2">
      <c r="A140" s="457"/>
      <c r="B140" s="457"/>
      <c r="C140" s="457"/>
      <c r="D140" s="457"/>
      <c r="E140" s="457"/>
      <c r="F140" s="457"/>
    </row>
    <row r="141" spans="1:6" ht="14.25" x14ac:dyDescent="0.2">
      <c r="A141" s="457"/>
      <c r="B141" s="457"/>
      <c r="C141" s="457"/>
      <c r="D141" s="457"/>
      <c r="E141" s="457"/>
      <c r="F141" s="457"/>
    </row>
    <row r="142" spans="1:6" ht="14.25" x14ac:dyDescent="0.2">
      <c r="A142" s="457"/>
      <c r="B142" s="457"/>
      <c r="C142" s="457"/>
      <c r="D142" s="457"/>
      <c r="E142" s="457"/>
      <c r="F142" s="457"/>
    </row>
    <row r="143" spans="1:6" ht="14.25" x14ac:dyDescent="0.2">
      <c r="A143" s="457"/>
      <c r="B143" s="457"/>
      <c r="C143" s="457"/>
      <c r="D143" s="457"/>
      <c r="E143" s="457"/>
      <c r="F143" s="457"/>
    </row>
    <row r="144" spans="1:6" ht="14.25" x14ac:dyDescent="0.2">
      <c r="A144" s="457"/>
      <c r="B144" s="457"/>
      <c r="C144" s="457"/>
      <c r="D144" s="457"/>
      <c r="E144" s="457"/>
      <c r="F144" s="457"/>
    </row>
    <row r="145" spans="1:6" ht="14.25" x14ac:dyDescent="0.2">
      <c r="A145" s="457"/>
      <c r="B145" s="457"/>
      <c r="C145" s="457"/>
      <c r="D145" s="457"/>
      <c r="E145" s="457"/>
      <c r="F145" s="457"/>
    </row>
    <row r="146" spans="1:6" ht="14.25" x14ac:dyDescent="0.2">
      <c r="A146" s="457"/>
      <c r="B146" s="457"/>
      <c r="C146" s="457"/>
      <c r="D146" s="457"/>
      <c r="E146" s="457"/>
      <c r="F146" s="457"/>
    </row>
    <row r="147" spans="1:6" ht="14.25" x14ac:dyDescent="0.2">
      <c r="A147" s="457"/>
      <c r="B147" s="457"/>
      <c r="C147" s="457"/>
      <c r="D147" s="457"/>
      <c r="E147" s="457"/>
      <c r="F147" s="457"/>
    </row>
    <row r="148" spans="1:6" ht="14.25" x14ac:dyDescent="0.2">
      <c r="A148" s="457"/>
      <c r="B148" s="457"/>
      <c r="C148" s="457"/>
      <c r="D148" s="457"/>
      <c r="E148" s="457"/>
      <c r="F148" s="457"/>
    </row>
    <row r="149" spans="1:6" ht="14.25" x14ac:dyDescent="0.2">
      <c r="A149" s="457"/>
      <c r="B149" s="457"/>
      <c r="C149" s="457"/>
      <c r="D149" s="457"/>
      <c r="E149" s="457"/>
      <c r="F149" s="457"/>
    </row>
    <row r="150" spans="1:6" ht="14.25" x14ac:dyDescent="0.2">
      <c r="A150" s="457"/>
      <c r="B150" s="457"/>
      <c r="C150" s="457"/>
      <c r="D150" s="457"/>
      <c r="E150" s="457"/>
      <c r="F150" s="457"/>
    </row>
    <row r="151" spans="1:6" ht="14.25" x14ac:dyDescent="0.2">
      <c r="A151" s="457"/>
      <c r="B151" s="457"/>
      <c r="C151" s="457"/>
      <c r="D151" s="457"/>
      <c r="E151" s="457"/>
      <c r="F151" s="457"/>
    </row>
    <row r="152" spans="1:6" ht="14.25" x14ac:dyDescent="0.2">
      <c r="A152" s="457"/>
      <c r="B152" s="457"/>
      <c r="C152" s="457"/>
      <c r="D152" s="457"/>
      <c r="E152" s="457"/>
      <c r="F152" s="457"/>
    </row>
    <row r="153" spans="1:6" ht="14.25" x14ac:dyDescent="0.2">
      <c r="A153" s="457"/>
      <c r="B153" s="457"/>
      <c r="C153" s="457"/>
      <c r="D153" s="457"/>
      <c r="E153" s="457"/>
      <c r="F153" s="457"/>
    </row>
    <row r="154" spans="1:6" ht="14.25" x14ac:dyDescent="0.2">
      <c r="A154" s="457"/>
      <c r="B154" s="457"/>
      <c r="C154" s="457"/>
      <c r="D154" s="457"/>
      <c r="E154" s="457"/>
      <c r="F154" s="457"/>
    </row>
    <row r="155" spans="1:6" ht="14.25" x14ac:dyDescent="0.2">
      <c r="A155" s="457"/>
      <c r="B155" s="457"/>
      <c r="C155" s="457"/>
      <c r="D155" s="457"/>
      <c r="E155" s="457"/>
      <c r="F155" s="457"/>
    </row>
    <row r="156" spans="1:6" ht="14.25" x14ac:dyDescent="0.2">
      <c r="A156" s="457"/>
      <c r="B156" s="457"/>
      <c r="C156" s="457"/>
      <c r="D156" s="457"/>
      <c r="E156" s="457"/>
      <c r="F156" s="457"/>
    </row>
    <row r="157" spans="1:6" ht="14.25" x14ac:dyDescent="0.2">
      <c r="A157" s="457"/>
      <c r="B157" s="457"/>
      <c r="C157" s="457"/>
      <c r="D157" s="457"/>
      <c r="E157" s="457"/>
      <c r="F157" s="457"/>
    </row>
    <row r="158" spans="1:6" ht="14.25" x14ac:dyDescent="0.2">
      <c r="A158" s="457"/>
      <c r="B158" s="457"/>
      <c r="C158" s="457"/>
      <c r="D158" s="457"/>
      <c r="E158" s="457"/>
      <c r="F158" s="457"/>
    </row>
    <row r="159" spans="1:6" ht="14.25" x14ac:dyDescent="0.2">
      <c r="A159" s="457"/>
      <c r="B159" s="457"/>
      <c r="C159" s="457"/>
      <c r="D159" s="457"/>
      <c r="E159" s="457"/>
      <c r="F159" s="457"/>
    </row>
    <row r="160" spans="1:6" ht="14.25" x14ac:dyDescent="0.2">
      <c r="A160" s="457"/>
      <c r="B160" s="457"/>
      <c r="C160" s="457"/>
      <c r="D160" s="457"/>
      <c r="E160" s="457"/>
      <c r="F160" s="457"/>
    </row>
    <row r="161" spans="1:6" ht="14.25" x14ac:dyDescent="0.2">
      <c r="A161" s="457"/>
      <c r="B161" s="457"/>
      <c r="C161" s="457"/>
      <c r="D161" s="457"/>
      <c r="E161" s="457"/>
      <c r="F161" s="457"/>
    </row>
    <row r="162" spans="1:6" ht="14.25" x14ac:dyDescent="0.2">
      <c r="A162" s="457"/>
      <c r="B162" s="457"/>
      <c r="C162" s="457"/>
      <c r="D162" s="457"/>
      <c r="E162" s="457"/>
      <c r="F162" s="457"/>
    </row>
    <row r="163" spans="1:6" ht="14.25" x14ac:dyDescent="0.2">
      <c r="A163" s="457"/>
      <c r="B163" s="457"/>
      <c r="C163" s="457"/>
      <c r="D163" s="457"/>
      <c r="E163" s="457"/>
      <c r="F163" s="457"/>
    </row>
    <row r="164" spans="1:6" ht="14.25" x14ac:dyDescent="0.2">
      <c r="A164" s="457"/>
      <c r="B164" s="457"/>
      <c r="C164" s="457"/>
      <c r="D164" s="457"/>
      <c r="E164" s="457"/>
      <c r="F164" s="457"/>
    </row>
    <row r="165" spans="1:6" ht="14.25" x14ac:dyDescent="0.2">
      <c r="A165" s="457"/>
      <c r="B165" s="457"/>
      <c r="C165" s="457"/>
      <c r="D165" s="457"/>
      <c r="E165" s="457"/>
      <c r="F165" s="457"/>
    </row>
    <row r="166" spans="1:6" ht="14.25" x14ac:dyDescent="0.2">
      <c r="A166" s="457"/>
      <c r="B166" s="457"/>
      <c r="C166" s="457"/>
      <c r="D166" s="457"/>
      <c r="E166" s="457"/>
      <c r="F166" s="457"/>
    </row>
    <row r="167" spans="1:6" ht="14.25" x14ac:dyDescent="0.2">
      <c r="A167" s="457"/>
      <c r="B167" s="457"/>
      <c r="C167" s="457"/>
      <c r="D167" s="457"/>
      <c r="E167" s="457"/>
      <c r="F167" s="457"/>
    </row>
    <row r="168" spans="1:6" ht="14.25" x14ac:dyDescent="0.2">
      <c r="A168" s="457"/>
      <c r="B168" s="457"/>
      <c r="C168" s="457"/>
      <c r="D168" s="457"/>
      <c r="E168" s="457"/>
      <c r="F168" s="457"/>
    </row>
    <row r="169" spans="1:6" ht="14.25" x14ac:dyDescent="0.2">
      <c r="A169" s="457"/>
      <c r="B169" s="457"/>
      <c r="C169" s="457"/>
      <c r="D169" s="457"/>
      <c r="E169" s="457"/>
      <c r="F169" s="457"/>
    </row>
    <row r="170" spans="1:6" ht="14.25" x14ac:dyDescent="0.2">
      <c r="A170" s="457"/>
      <c r="B170" s="457"/>
      <c r="C170" s="457"/>
      <c r="D170" s="457"/>
      <c r="E170" s="457"/>
      <c r="F170" s="457"/>
    </row>
    <row r="171" spans="1:6" ht="14.25" x14ac:dyDescent="0.2">
      <c r="A171" s="457"/>
      <c r="B171" s="457"/>
      <c r="C171" s="457"/>
      <c r="D171" s="457"/>
      <c r="E171" s="457"/>
      <c r="F171" s="457"/>
    </row>
    <row r="172" spans="1:6" ht="14.25" x14ac:dyDescent="0.2">
      <c r="A172" s="457"/>
      <c r="B172" s="457"/>
      <c r="C172" s="457"/>
      <c r="D172" s="457"/>
      <c r="E172" s="457"/>
      <c r="F172" s="457"/>
    </row>
    <row r="173" spans="1:6" ht="14.25" x14ac:dyDescent="0.2">
      <c r="A173" s="457"/>
      <c r="B173" s="457"/>
      <c r="C173" s="457"/>
      <c r="D173" s="457"/>
      <c r="E173" s="457"/>
      <c r="F173" s="457"/>
    </row>
    <row r="174" spans="1:6" ht="14.25" x14ac:dyDescent="0.2">
      <c r="A174" s="457"/>
      <c r="B174" s="457"/>
      <c r="C174" s="457"/>
      <c r="D174" s="457"/>
      <c r="E174" s="457"/>
      <c r="F174" s="457"/>
    </row>
    <row r="175" spans="1:6" ht="14.25" x14ac:dyDescent="0.2">
      <c r="A175" s="457"/>
      <c r="B175" s="457"/>
      <c r="C175" s="457"/>
      <c r="D175" s="457"/>
      <c r="E175" s="457"/>
      <c r="F175" s="457"/>
    </row>
    <row r="176" spans="1:6" ht="14.25" x14ac:dyDescent="0.2">
      <c r="A176" s="457"/>
      <c r="B176" s="457"/>
      <c r="C176" s="457"/>
      <c r="D176" s="457"/>
      <c r="E176" s="457"/>
      <c r="F176" s="457"/>
    </row>
    <row r="177" spans="1:6" ht="14.25" x14ac:dyDescent="0.2">
      <c r="A177" s="457"/>
      <c r="B177" s="457"/>
      <c r="C177" s="457"/>
      <c r="D177" s="457"/>
      <c r="E177" s="457"/>
      <c r="F177" s="457"/>
    </row>
    <row r="178" spans="1:6" ht="14.25" x14ac:dyDescent="0.2">
      <c r="A178" s="457"/>
      <c r="B178" s="457"/>
      <c r="C178" s="457"/>
      <c r="D178" s="457"/>
      <c r="E178" s="457"/>
      <c r="F178" s="457"/>
    </row>
    <row r="179" spans="1:6" ht="14.25" x14ac:dyDescent="0.2">
      <c r="A179" s="457"/>
      <c r="B179" s="457"/>
      <c r="C179" s="457"/>
      <c r="D179" s="457"/>
      <c r="E179" s="457"/>
      <c r="F179" s="457"/>
    </row>
    <row r="180" spans="1:6" ht="14.25" x14ac:dyDescent="0.2">
      <c r="A180" s="457"/>
      <c r="B180" s="457"/>
      <c r="C180" s="457"/>
      <c r="D180" s="457"/>
      <c r="E180" s="457"/>
      <c r="F180" s="457"/>
    </row>
    <row r="181" spans="1:6" ht="14.25" x14ac:dyDescent="0.2">
      <c r="A181" s="457"/>
      <c r="B181" s="457"/>
      <c r="C181" s="457"/>
      <c r="D181" s="457"/>
      <c r="E181" s="457"/>
      <c r="F181" s="457"/>
    </row>
    <row r="182" spans="1:6" ht="14.25" x14ac:dyDescent="0.2">
      <c r="A182" s="457"/>
      <c r="B182" s="457"/>
      <c r="C182" s="457"/>
      <c r="D182" s="457"/>
      <c r="E182" s="457"/>
      <c r="F182" s="457"/>
    </row>
    <row r="183" spans="1:6" ht="14.25" x14ac:dyDescent="0.2">
      <c r="A183" s="457"/>
      <c r="B183" s="457"/>
      <c r="C183" s="457"/>
      <c r="D183" s="457"/>
      <c r="E183" s="457"/>
      <c r="F183" s="457"/>
    </row>
    <row r="184" spans="1:6" ht="14.25" x14ac:dyDescent="0.2">
      <c r="A184" s="457"/>
      <c r="B184" s="457"/>
      <c r="C184" s="457"/>
      <c r="D184" s="457"/>
      <c r="E184" s="457"/>
      <c r="F184" s="457"/>
    </row>
    <row r="185" spans="1:6" ht="14.25" x14ac:dyDescent="0.2">
      <c r="A185" s="457"/>
      <c r="B185" s="457"/>
      <c r="C185" s="457"/>
      <c r="D185" s="457"/>
      <c r="E185" s="457"/>
      <c r="F185" s="457"/>
    </row>
    <row r="186" spans="1:6" ht="14.25" x14ac:dyDescent="0.2">
      <c r="A186" s="457"/>
      <c r="B186" s="457"/>
      <c r="C186" s="457"/>
      <c r="D186" s="457"/>
      <c r="E186" s="457"/>
      <c r="F186" s="457"/>
    </row>
    <row r="187" spans="1:6" ht="14.25" x14ac:dyDescent="0.2">
      <c r="A187" s="457"/>
      <c r="B187" s="457"/>
      <c r="C187" s="457"/>
      <c r="D187" s="457"/>
      <c r="E187" s="457"/>
      <c r="F187" s="457"/>
    </row>
    <row r="188" spans="1:6" ht="14.25" x14ac:dyDescent="0.2">
      <c r="A188" s="457"/>
      <c r="B188" s="457"/>
      <c r="C188" s="457"/>
      <c r="D188" s="457"/>
      <c r="E188" s="457"/>
      <c r="F188" s="457"/>
    </row>
    <row r="189" spans="1:6" ht="14.25" x14ac:dyDescent="0.2">
      <c r="A189" s="457"/>
      <c r="B189" s="457"/>
      <c r="C189" s="457"/>
      <c r="D189" s="457"/>
      <c r="E189" s="457"/>
      <c r="F189" s="457"/>
    </row>
    <row r="190" spans="1:6" ht="14.25" x14ac:dyDescent="0.2">
      <c r="A190" s="457"/>
      <c r="B190" s="457"/>
      <c r="C190" s="457"/>
      <c r="D190" s="457"/>
      <c r="E190" s="457"/>
      <c r="F190" s="457"/>
    </row>
    <row r="191" spans="1:6" ht="14.25" x14ac:dyDescent="0.2">
      <c r="A191" s="457"/>
      <c r="B191" s="457"/>
      <c r="C191" s="457"/>
      <c r="D191" s="457"/>
      <c r="E191" s="457"/>
      <c r="F191" s="457"/>
    </row>
    <row r="192" spans="1:6" ht="14.25" x14ac:dyDescent="0.2">
      <c r="A192" s="457"/>
      <c r="B192" s="457"/>
      <c r="C192" s="457"/>
      <c r="D192" s="457"/>
      <c r="E192" s="457"/>
      <c r="F192" s="457"/>
    </row>
    <row r="193" spans="1:6" ht="14.25" x14ac:dyDescent="0.2">
      <c r="A193" s="457"/>
      <c r="B193" s="457"/>
      <c r="C193" s="457"/>
      <c r="D193" s="457"/>
      <c r="E193" s="457"/>
      <c r="F193" s="457"/>
    </row>
    <row r="194" spans="1:6" ht="14.25" x14ac:dyDescent="0.2">
      <c r="A194" s="457"/>
      <c r="B194" s="457"/>
      <c r="C194" s="457"/>
      <c r="D194" s="457"/>
      <c r="E194" s="457"/>
      <c r="F194" s="457"/>
    </row>
    <row r="195" spans="1:6" ht="14.25" x14ac:dyDescent="0.2">
      <c r="A195" s="457"/>
      <c r="B195" s="457"/>
      <c r="C195" s="457"/>
      <c r="D195" s="457"/>
      <c r="E195" s="457"/>
      <c r="F195" s="457"/>
    </row>
    <row r="196" spans="1:6" ht="14.25" x14ac:dyDescent="0.2">
      <c r="A196" s="457"/>
      <c r="B196" s="457"/>
      <c r="C196" s="457"/>
      <c r="D196" s="457"/>
      <c r="E196" s="457"/>
      <c r="F196" s="457"/>
    </row>
    <row r="197" spans="1:6" ht="14.25" x14ac:dyDescent="0.2">
      <c r="A197" s="457"/>
      <c r="B197" s="457"/>
      <c r="C197" s="457"/>
      <c r="D197" s="457"/>
      <c r="E197" s="457"/>
      <c r="F197" s="457"/>
    </row>
    <row r="198" spans="1:6" ht="14.25" x14ac:dyDescent="0.2">
      <c r="A198" s="457"/>
      <c r="B198" s="457"/>
      <c r="C198" s="457"/>
      <c r="D198" s="457"/>
      <c r="E198" s="457"/>
      <c r="F198" s="457"/>
    </row>
    <row r="199" spans="1:6" ht="14.25" x14ac:dyDescent="0.2">
      <c r="A199" s="457"/>
      <c r="B199" s="457"/>
      <c r="C199" s="457"/>
      <c r="D199" s="457"/>
      <c r="E199" s="457"/>
      <c r="F199" s="457"/>
    </row>
    <row r="200" spans="1:6" ht="14.25" x14ac:dyDescent="0.2">
      <c r="A200" s="457"/>
      <c r="B200" s="457"/>
      <c r="C200" s="457"/>
      <c r="D200" s="457"/>
      <c r="E200" s="457"/>
      <c r="F200" s="457"/>
    </row>
    <row r="201" spans="1:6" ht="14.25" x14ac:dyDescent="0.2">
      <c r="A201" s="457"/>
      <c r="B201" s="457"/>
      <c r="C201" s="457"/>
      <c r="D201" s="457"/>
      <c r="E201" s="457"/>
      <c r="F201" s="457"/>
    </row>
    <row r="202" spans="1:6" ht="14.25" x14ac:dyDescent="0.2">
      <c r="A202" s="457"/>
      <c r="B202" s="457"/>
      <c r="C202" s="457"/>
      <c r="D202" s="457"/>
      <c r="E202" s="457"/>
      <c r="F202" s="457"/>
    </row>
    <row r="203" spans="1:6" ht="14.25" x14ac:dyDescent="0.2">
      <c r="A203" s="457"/>
      <c r="B203" s="457"/>
      <c r="C203" s="457"/>
      <c r="D203" s="457"/>
      <c r="E203" s="457"/>
      <c r="F203" s="457"/>
    </row>
    <row r="204" spans="1:6" ht="14.25" x14ac:dyDescent="0.2">
      <c r="A204" s="457"/>
      <c r="B204" s="457"/>
      <c r="C204" s="457"/>
      <c r="D204" s="457"/>
      <c r="E204" s="457"/>
      <c r="F204" s="457"/>
    </row>
    <row r="205" spans="1:6" ht="14.25" x14ac:dyDescent="0.2">
      <c r="A205" s="457"/>
      <c r="B205" s="457"/>
      <c r="C205" s="457"/>
      <c r="D205" s="457"/>
      <c r="E205" s="457"/>
      <c r="F205" s="457"/>
    </row>
    <row r="206" spans="1:6" ht="14.25" x14ac:dyDescent="0.2">
      <c r="A206" s="457"/>
      <c r="B206" s="457"/>
      <c r="C206" s="457"/>
      <c r="D206" s="457"/>
      <c r="E206" s="457"/>
      <c r="F206" s="457"/>
    </row>
    <row r="207" spans="1:6" ht="14.25" x14ac:dyDescent="0.2">
      <c r="A207" s="457"/>
      <c r="B207" s="457"/>
      <c r="C207" s="457"/>
      <c r="D207" s="457"/>
      <c r="E207" s="457"/>
      <c r="F207" s="457"/>
    </row>
    <row r="208" spans="1:6" ht="14.25" x14ac:dyDescent="0.2">
      <c r="A208" s="457"/>
      <c r="B208" s="457"/>
      <c r="C208" s="457"/>
      <c r="D208" s="457"/>
      <c r="E208" s="457"/>
      <c r="F208" s="457"/>
    </row>
    <row r="209" spans="1:6" ht="14.25" x14ac:dyDescent="0.2">
      <c r="A209" s="457"/>
      <c r="B209" s="457"/>
      <c r="C209" s="457"/>
      <c r="D209" s="457"/>
      <c r="E209" s="457"/>
      <c r="F209" s="457"/>
    </row>
    <row r="210" spans="1:6" ht="14.25" x14ac:dyDescent="0.2">
      <c r="A210" s="457"/>
      <c r="B210" s="457"/>
      <c r="C210" s="457"/>
      <c r="D210" s="457"/>
      <c r="E210" s="457"/>
      <c r="F210" s="457"/>
    </row>
    <row r="211" spans="1:6" ht="14.25" x14ac:dyDescent="0.2">
      <c r="A211" s="457"/>
      <c r="B211" s="457"/>
      <c r="C211" s="457"/>
      <c r="D211" s="457"/>
      <c r="E211" s="457"/>
      <c r="F211" s="457"/>
    </row>
    <row r="212" spans="1:6" ht="14.25" x14ac:dyDescent="0.2">
      <c r="A212" s="457"/>
      <c r="B212" s="457"/>
      <c r="C212" s="457"/>
      <c r="D212" s="457"/>
      <c r="E212" s="457"/>
      <c r="F212" s="457"/>
    </row>
    <row r="213" spans="1:6" ht="14.25" x14ac:dyDescent="0.2">
      <c r="A213" s="457"/>
      <c r="B213" s="457"/>
      <c r="C213" s="457"/>
      <c r="D213" s="457"/>
      <c r="E213" s="457"/>
      <c r="F213" s="457"/>
    </row>
    <row r="214" spans="1:6" ht="14.25" x14ac:dyDescent="0.2">
      <c r="A214" s="457"/>
      <c r="B214" s="457"/>
      <c r="C214" s="457"/>
      <c r="D214" s="457"/>
      <c r="E214" s="457"/>
      <c r="F214" s="457"/>
    </row>
    <row r="215" spans="1:6" ht="14.25" x14ac:dyDescent="0.2">
      <c r="A215" s="457"/>
      <c r="B215" s="457"/>
      <c r="C215" s="457"/>
      <c r="D215" s="457"/>
      <c r="E215" s="457"/>
      <c r="F215" s="457"/>
    </row>
    <row r="216" spans="1:6" ht="14.25" x14ac:dyDescent="0.2">
      <c r="A216" s="457"/>
      <c r="B216" s="457"/>
      <c r="C216" s="457"/>
      <c r="D216" s="457"/>
      <c r="E216" s="457"/>
      <c r="F216" s="457"/>
    </row>
    <row r="217" spans="1:6" ht="14.25" x14ac:dyDescent="0.2">
      <c r="A217" s="457"/>
      <c r="B217" s="457"/>
      <c r="C217" s="457"/>
      <c r="D217" s="457"/>
      <c r="E217" s="457"/>
      <c r="F217" s="457"/>
    </row>
    <row r="218" spans="1:6" ht="14.25" x14ac:dyDescent="0.2">
      <c r="A218" s="457"/>
      <c r="B218" s="457"/>
      <c r="C218" s="457"/>
      <c r="D218" s="457"/>
      <c r="E218" s="457"/>
      <c r="F218" s="457"/>
    </row>
    <row r="219" spans="1:6" ht="14.25" x14ac:dyDescent="0.2">
      <c r="A219" s="457"/>
      <c r="B219" s="457"/>
      <c r="C219" s="457"/>
      <c r="D219" s="457"/>
      <c r="E219" s="457"/>
      <c r="F219" s="457"/>
    </row>
    <row r="220" spans="1:6" ht="14.25" x14ac:dyDescent="0.2">
      <c r="A220" s="457"/>
      <c r="B220" s="457"/>
      <c r="C220" s="457"/>
      <c r="D220" s="457"/>
      <c r="E220" s="457"/>
      <c r="F220" s="457"/>
    </row>
    <row r="221" spans="1:6" ht="14.25" x14ac:dyDescent="0.2">
      <c r="A221" s="457"/>
      <c r="B221" s="457"/>
      <c r="C221" s="457"/>
      <c r="D221" s="457"/>
      <c r="E221" s="457"/>
      <c r="F221" s="457"/>
    </row>
    <row r="222" spans="1:6" ht="14.25" x14ac:dyDescent="0.2">
      <c r="A222" s="457"/>
      <c r="B222" s="457"/>
      <c r="C222" s="457"/>
      <c r="D222" s="457"/>
      <c r="E222" s="457"/>
      <c r="F222" s="457"/>
    </row>
    <row r="223" spans="1:6" ht="14.25" x14ac:dyDescent="0.2">
      <c r="A223" s="457"/>
      <c r="B223" s="457"/>
      <c r="C223" s="457"/>
      <c r="D223" s="457"/>
      <c r="E223" s="457"/>
      <c r="F223" s="457"/>
    </row>
    <row r="224" spans="1:6" ht="14.25" x14ac:dyDescent="0.2">
      <c r="A224" s="457"/>
      <c r="B224" s="457"/>
      <c r="C224" s="457"/>
      <c r="D224" s="457"/>
      <c r="E224" s="457"/>
      <c r="F224" s="457"/>
    </row>
    <row r="225" spans="1:6" ht="14.25" x14ac:dyDescent="0.2">
      <c r="A225" s="457"/>
      <c r="B225" s="457"/>
      <c r="C225" s="457"/>
      <c r="D225" s="457"/>
      <c r="E225" s="457"/>
      <c r="F225" s="457"/>
    </row>
    <row r="226" spans="1:6" ht="14.25" x14ac:dyDescent="0.2">
      <c r="A226" s="457"/>
      <c r="B226" s="457"/>
      <c r="C226" s="457"/>
      <c r="D226" s="457"/>
      <c r="E226" s="457"/>
      <c r="F226" s="457"/>
    </row>
    <row r="227" spans="1:6" ht="14.25" x14ac:dyDescent="0.2">
      <c r="A227" s="457"/>
      <c r="B227" s="457"/>
      <c r="C227" s="457"/>
      <c r="D227" s="457"/>
      <c r="E227" s="457"/>
      <c r="F227" s="457"/>
    </row>
    <row r="228" spans="1:6" ht="14.25" x14ac:dyDescent="0.2">
      <c r="A228" s="457"/>
      <c r="B228" s="457"/>
      <c r="C228" s="457"/>
      <c r="D228" s="457"/>
      <c r="E228" s="457"/>
      <c r="F228" s="457"/>
    </row>
    <row r="229" spans="1:6" ht="14.25" x14ac:dyDescent="0.2">
      <c r="A229" s="457"/>
      <c r="B229" s="457"/>
      <c r="C229" s="457"/>
      <c r="D229" s="457"/>
      <c r="E229" s="457"/>
      <c r="F229" s="457"/>
    </row>
    <row r="230" spans="1:6" ht="14.25" x14ac:dyDescent="0.2">
      <c r="A230" s="457"/>
      <c r="B230" s="457"/>
      <c r="C230" s="457"/>
      <c r="D230" s="457"/>
      <c r="E230" s="457"/>
      <c r="F230" s="457"/>
    </row>
    <row r="231" spans="1:6" ht="14.25" x14ac:dyDescent="0.2">
      <c r="A231" s="457"/>
      <c r="B231" s="457"/>
      <c r="C231" s="457"/>
      <c r="D231" s="457"/>
      <c r="E231" s="457"/>
      <c r="F231" s="457"/>
    </row>
    <row r="232" spans="1:6" ht="14.25" x14ac:dyDescent="0.2">
      <c r="A232" s="457"/>
      <c r="B232" s="457"/>
      <c r="C232" s="457"/>
      <c r="D232" s="457"/>
      <c r="E232" s="457"/>
      <c r="F232" s="457"/>
    </row>
    <row r="233" spans="1:6" ht="14.25" x14ac:dyDescent="0.2">
      <c r="A233" s="457"/>
      <c r="B233" s="457"/>
      <c r="C233" s="457"/>
      <c r="D233" s="457"/>
      <c r="E233" s="457"/>
      <c r="F233" s="457"/>
    </row>
    <row r="234" spans="1:6" ht="14.25" x14ac:dyDescent="0.2">
      <c r="A234" s="457"/>
      <c r="B234" s="457"/>
      <c r="C234" s="457"/>
      <c r="D234" s="457"/>
      <c r="E234" s="457"/>
      <c r="F234" s="457"/>
    </row>
    <row r="235" spans="1:6" ht="14.25" x14ac:dyDescent="0.2">
      <c r="A235" s="457"/>
      <c r="B235" s="457"/>
      <c r="C235" s="457"/>
      <c r="D235" s="457"/>
      <c r="E235" s="457"/>
      <c r="F235" s="457"/>
    </row>
    <row r="236" spans="1:6" ht="14.25" x14ac:dyDescent="0.2">
      <c r="A236" s="457"/>
      <c r="B236" s="457"/>
      <c r="C236" s="457"/>
      <c r="D236" s="457"/>
      <c r="E236" s="457"/>
      <c r="F236" s="457"/>
    </row>
    <row r="237" spans="1:6" ht="14.25" x14ac:dyDescent="0.2">
      <c r="A237" s="457"/>
      <c r="B237" s="457"/>
      <c r="C237" s="457"/>
      <c r="D237" s="457"/>
      <c r="E237" s="457"/>
      <c r="F237" s="457"/>
    </row>
    <row r="238" spans="1:6" ht="14.25" x14ac:dyDescent="0.2">
      <c r="A238" s="457"/>
      <c r="B238" s="457"/>
      <c r="C238" s="457"/>
      <c r="D238" s="457"/>
      <c r="E238" s="457"/>
      <c r="F238" s="457"/>
    </row>
  </sheetData>
  <sheetProtection sheet="1" objects="1" scenarios="1"/>
  <mergeCells count="3">
    <mergeCell ref="A121:F121"/>
    <mergeCell ref="A122:F122"/>
    <mergeCell ref="A123:F123"/>
  </mergeCells>
  <printOptions horizontalCentered="1"/>
  <pageMargins left="0.3" right="0.3" top="0.5" bottom="0.5" header="0.3" footer="0.3"/>
  <pageSetup scale="75" fitToHeight="2" orientation="portrait" r:id="rId2"/>
  <headerFooter>
    <oddFooter>&amp;LNC DHHS DMH/DD/SAS QM Section - MSchwartz&amp;R&amp;F</oddFooter>
  </headerFooter>
  <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41"/>
  <sheetViews>
    <sheetView workbookViewId="0">
      <pane ySplit="1" topLeftCell="A2" activePane="bottomLeft" state="frozen"/>
      <selection pane="bottomLeft" activeCell="Z39" sqref="Z39"/>
    </sheetView>
  </sheetViews>
  <sheetFormatPr defaultRowHeight="12.75" x14ac:dyDescent="0.2"/>
  <cols>
    <col min="1" max="1" width="44.28515625" style="1" customWidth="1"/>
    <col min="2" max="2" width="11.5703125" style="1" bestFit="1" customWidth="1"/>
    <col min="3" max="3" width="9.85546875" style="1" bestFit="1" customWidth="1"/>
    <col min="4" max="4" width="11.7109375" style="1" bestFit="1" customWidth="1"/>
    <col min="5" max="5" width="10.85546875" style="1" bestFit="1" customWidth="1"/>
    <col min="6" max="6" width="9.85546875" style="1" bestFit="1" customWidth="1"/>
    <col min="7" max="7" width="11.28515625" style="1" bestFit="1" customWidth="1"/>
    <col min="8" max="8" width="11.140625" style="1" bestFit="1" customWidth="1"/>
    <col min="9" max="9" width="9.140625" style="1"/>
    <col min="10" max="10" width="11.5703125" style="1" bestFit="1" customWidth="1"/>
    <col min="11" max="11" width="9.140625" style="1"/>
    <col min="12" max="12" width="9.85546875" style="1" bestFit="1" customWidth="1"/>
    <col min="13" max="13" width="9.140625" style="1"/>
    <col min="14" max="14" width="11.5703125" style="1" bestFit="1" customWidth="1"/>
    <col min="15" max="15" width="9.140625" style="1"/>
    <col min="16" max="17" width="10.85546875" style="1" bestFit="1" customWidth="1"/>
    <col min="18" max="18" width="9.140625" style="1"/>
    <col min="19" max="19" width="9.42578125" style="1" bestFit="1" customWidth="1"/>
    <col min="20" max="20" width="10.85546875" style="1" bestFit="1" customWidth="1"/>
    <col min="21" max="21" width="11.140625" style="1" bestFit="1" customWidth="1"/>
    <col min="22" max="16384" width="9.140625" style="1"/>
  </cols>
  <sheetData>
    <row r="1" spans="1:27" ht="20.100000000000001" customHeight="1" x14ac:dyDescent="0.2">
      <c r="A1" s="405" t="s">
        <v>421</v>
      </c>
      <c r="B1" s="406"/>
      <c r="C1" s="406"/>
      <c r="D1" s="406"/>
      <c r="E1" s="406"/>
      <c r="F1" s="406"/>
      <c r="G1" s="406"/>
      <c r="H1" s="406"/>
      <c r="I1" s="406"/>
      <c r="J1" s="406"/>
      <c r="K1" s="406"/>
      <c r="L1" s="406"/>
      <c r="M1" s="406"/>
      <c r="N1" s="406"/>
      <c r="O1" s="406"/>
    </row>
    <row r="3" spans="1:27" x14ac:dyDescent="0.2">
      <c r="A3" s="23" t="s">
        <v>23</v>
      </c>
    </row>
    <row r="4" spans="1:27" x14ac:dyDescent="0.2">
      <c r="A4" s="22" t="s">
        <v>13</v>
      </c>
    </row>
    <row r="5" spans="1:27" x14ac:dyDescent="0.2">
      <c r="A5" s="54" t="s">
        <v>14</v>
      </c>
      <c r="B5" s="447"/>
    </row>
    <row r="6" spans="1:27" x14ac:dyDescent="0.2">
      <c r="A6" s="22" t="s">
        <v>565</v>
      </c>
    </row>
    <row r="7" spans="1:27" x14ac:dyDescent="0.2">
      <c r="A7" s="22" t="s">
        <v>18</v>
      </c>
    </row>
    <row r="8" spans="1:27" x14ac:dyDescent="0.2">
      <c r="A8" s="22" t="s">
        <v>20</v>
      </c>
    </row>
    <row r="9" spans="1:27" x14ac:dyDescent="0.2">
      <c r="A9" s="22" t="s">
        <v>21</v>
      </c>
    </row>
    <row r="10" spans="1:27" x14ac:dyDescent="0.2">
      <c r="A10" s="54" t="s">
        <v>566</v>
      </c>
      <c r="B10" s="509"/>
    </row>
    <row r="11" spans="1:27" x14ac:dyDescent="0.2">
      <c r="A11" s="54" t="s">
        <v>476</v>
      </c>
      <c r="B11" s="509"/>
    </row>
    <row r="12" spans="1:27" x14ac:dyDescent="0.2">
      <c r="A12" s="54" t="s">
        <v>541</v>
      </c>
      <c r="B12" s="510"/>
    </row>
    <row r="15" spans="1:27" x14ac:dyDescent="0.2">
      <c r="A15" s="60" t="s">
        <v>464</v>
      </c>
      <c r="C15" s="22"/>
      <c r="D15" s="22"/>
      <c r="E15" s="22"/>
      <c r="F15" s="22"/>
      <c r="G15" s="22"/>
      <c r="H15" s="22"/>
      <c r="I15" s="22"/>
      <c r="J15" s="22"/>
      <c r="K15" s="22"/>
      <c r="L15" s="22"/>
      <c r="M15" s="22"/>
      <c r="N15" s="22"/>
      <c r="O15" s="22"/>
      <c r="P15" s="22"/>
      <c r="Q15" s="22"/>
      <c r="R15" s="22"/>
      <c r="S15" s="22"/>
      <c r="T15" s="22"/>
      <c r="U15" s="22"/>
      <c r="V15" s="22"/>
      <c r="W15" s="22"/>
      <c r="X15" s="22"/>
    </row>
    <row r="16" spans="1:27" x14ac:dyDescent="0.2">
      <c r="A16" s="59" t="s">
        <v>44</v>
      </c>
      <c r="B16" s="45">
        <v>2</v>
      </c>
      <c r="C16" s="45">
        <v>3</v>
      </c>
      <c r="D16" s="45">
        <v>4</v>
      </c>
      <c r="E16" s="45">
        <v>5</v>
      </c>
      <c r="F16" s="45">
        <v>6</v>
      </c>
      <c r="G16" s="45">
        <v>7</v>
      </c>
      <c r="H16" s="45">
        <v>8</v>
      </c>
      <c r="I16" s="45">
        <v>9</v>
      </c>
      <c r="J16" s="45">
        <v>10</v>
      </c>
      <c r="K16" s="45">
        <v>11</v>
      </c>
      <c r="L16" s="45">
        <v>12</v>
      </c>
      <c r="M16" s="45">
        <v>13</v>
      </c>
      <c r="N16" s="45">
        <v>14</v>
      </c>
      <c r="O16" s="45">
        <v>15</v>
      </c>
      <c r="P16" s="45">
        <v>16</v>
      </c>
      <c r="Q16" s="45">
        <v>17</v>
      </c>
      <c r="R16" s="45">
        <v>18</v>
      </c>
      <c r="S16" s="45">
        <v>19</v>
      </c>
      <c r="T16" s="45">
        <v>20</v>
      </c>
      <c r="U16" s="45">
        <v>21</v>
      </c>
      <c r="V16" s="45">
        <v>22</v>
      </c>
      <c r="W16" s="45">
        <v>23</v>
      </c>
      <c r="X16" s="45">
        <v>24</v>
      </c>
      <c r="Y16" s="158">
        <v>25</v>
      </c>
      <c r="Z16" s="45">
        <v>26</v>
      </c>
      <c r="AA16" s="158">
        <v>27</v>
      </c>
    </row>
    <row r="17" spans="1:27" x14ac:dyDescent="0.2">
      <c r="A17" s="30" t="s">
        <v>45</v>
      </c>
      <c r="B17" s="22"/>
      <c r="C17" s="22"/>
      <c r="D17" s="22"/>
      <c r="E17" s="22"/>
      <c r="F17" s="22"/>
      <c r="G17" s="22"/>
      <c r="H17" s="22"/>
      <c r="I17" s="22"/>
      <c r="J17" s="22"/>
      <c r="K17" s="22"/>
      <c r="L17" s="22"/>
      <c r="M17" s="22"/>
      <c r="N17" s="22"/>
      <c r="O17" s="22"/>
      <c r="P17" s="22"/>
      <c r="Q17" s="22"/>
      <c r="R17" s="22"/>
      <c r="S17" s="22"/>
      <c r="T17" s="22"/>
      <c r="U17" s="22"/>
      <c r="V17" s="22"/>
      <c r="W17" s="22"/>
      <c r="X17" s="22"/>
    </row>
    <row r="18" spans="1:27" x14ac:dyDescent="0.2">
      <c r="A18" s="22" t="s">
        <v>13</v>
      </c>
      <c r="B18" s="22" t="s">
        <v>46</v>
      </c>
      <c r="C18" s="22" t="s">
        <v>47</v>
      </c>
      <c r="D18" s="22" t="s">
        <v>48</v>
      </c>
      <c r="E18" s="22" t="s">
        <v>49</v>
      </c>
      <c r="F18" s="22" t="s">
        <v>447</v>
      </c>
      <c r="G18" s="22"/>
      <c r="H18" s="22"/>
      <c r="I18" s="22"/>
      <c r="J18" s="22"/>
      <c r="K18" s="22"/>
      <c r="L18" s="22"/>
      <c r="M18" s="22"/>
      <c r="N18" s="22"/>
      <c r="O18" s="22"/>
      <c r="P18" s="22"/>
      <c r="Q18" s="22"/>
      <c r="R18" s="22"/>
      <c r="S18" s="22"/>
      <c r="T18" s="22"/>
      <c r="U18" s="22"/>
      <c r="V18" s="22"/>
      <c r="W18" s="22"/>
      <c r="X18" s="22"/>
      <c r="Y18" s="22"/>
      <c r="Z18" s="22"/>
      <c r="AA18" s="22"/>
    </row>
    <row r="19" spans="1:27" x14ac:dyDescent="0.2">
      <c r="A19" s="54" t="s">
        <v>14</v>
      </c>
      <c r="B19" s="22" t="s">
        <v>50</v>
      </c>
      <c r="C19" s="22" t="s">
        <v>51</v>
      </c>
      <c r="D19" s="22" t="s">
        <v>52</v>
      </c>
      <c r="E19" s="22" t="s">
        <v>53</v>
      </c>
      <c r="F19" s="22" t="s">
        <v>54</v>
      </c>
      <c r="G19" s="22" t="s">
        <v>65</v>
      </c>
      <c r="H19" s="54" t="s">
        <v>65</v>
      </c>
      <c r="I19" s="22" t="s">
        <v>66</v>
      </c>
      <c r="J19" s="22" t="s">
        <v>66</v>
      </c>
      <c r="K19" s="22" t="s">
        <v>55</v>
      </c>
      <c r="L19" s="22" t="s">
        <v>56</v>
      </c>
      <c r="M19" s="22" t="s">
        <v>57</v>
      </c>
      <c r="N19" s="54" t="s">
        <v>105</v>
      </c>
      <c r="O19" s="22" t="s">
        <v>58</v>
      </c>
      <c r="P19" s="22" t="s">
        <v>59</v>
      </c>
      <c r="Q19" s="22" t="s">
        <v>67</v>
      </c>
      <c r="R19" s="22" t="s">
        <v>67</v>
      </c>
      <c r="S19" s="22" t="s">
        <v>60</v>
      </c>
      <c r="T19" s="22" t="s">
        <v>61</v>
      </c>
      <c r="U19" s="22" t="s">
        <v>68</v>
      </c>
      <c r="V19" s="22" t="s">
        <v>68</v>
      </c>
      <c r="W19" s="22" t="s">
        <v>62</v>
      </c>
      <c r="X19" s="22" t="s">
        <v>63</v>
      </c>
      <c r="Y19" s="22" t="s">
        <v>64</v>
      </c>
      <c r="Z19" s="22" t="s">
        <v>447</v>
      </c>
      <c r="AA19" s="22"/>
    </row>
    <row r="20" spans="1:27" x14ac:dyDescent="0.2">
      <c r="A20" s="22" t="s">
        <v>565</v>
      </c>
      <c r="B20" s="22" t="s">
        <v>93</v>
      </c>
      <c r="C20" s="22" t="s">
        <v>94</v>
      </c>
      <c r="D20" s="22" t="s">
        <v>95</v>
      </c>
      <c r="E20" s="22" t="s">
        <v>96</v>
      </c>
      <c r="F20" s="22" t="s">
        <v>97</v>
      </c>
      <c r="G20" s="22" t="s">
        <v>98</v>
      </c>
      <c r="H20" s="22" t="s">
        <v>99</v>
      </c>
      <c r="I20" s="22" t="s">
        <v>100</v>
      </c>
      <c r="J20" s="22" t="s">
        <v>101</v>
      </c>
      <c r="K20" s="22" t="s">
        <v>102</v>
      </c>
      <c r="L20" s="22" t="s">
        <v>103</v>
      </c>
      <c r="M20" s="22" t="s">
        <v>104</v>
      </c>
      <c r="N20" s="22" t="s">
        <v>447</v>
      </c>
      <c r="O20" s="22"/>
      <c r="P20" s="22"/>
      <c r="Q20" s="22"/>
      <c r="R20" s="22"/>
      <c r="S20" s="22"/>
      <c r="T20" s="22"/>
      <c r="U20" s="22"/>
      <c r="V20" s="22"/>
      <c r="W20" s="22"/>
      <c r="X20" s="22"/>
      <c r="Y20" s="22"/>
      <c r="Z20" s="22"/>
      <c r="AA20" s="22"/>
    </row>
    <row r="21" spans="1:27" x14ac:dyDescent="0.2">
      <c r="A21" s="22" t="s">
        <v>18</v>
      </c>
      <c r="B21" s="22" t="s">
        <v>93</v>
      </c>
      <c r="C21" s="22" t="s">
        <v>94</v>
      </c>
      <c r="D21" s="22" t="s">
        <v>95</v>
      </c>
      <c r="E21" s="22" t="s">
        <v>96</v>
      </c>
      <c r="F21" s="22" t="s">
        <v>97</v>
      </c>
      <c r="G21" s="22" t="s">
        <v>98</v>
      </c>
      <c r="H21" s="22" t="s">
        <v>100</v>
      </c>
      <c r="I21" s="22" t="s">
        <v>101</v>
      </c>
      <c r="J21" s="22" t="s">
        <v>102</v>
      </c>
      <c r="K21" s="22" t="s">
        <v>103</v>
      </c>
      <c r="L21" s="22" t="s">
        <v>104</v>
      </c>
      <c r="M21" s="22" t="s">
        <v>447</v>
      </c>
      <c r="N21" s="22"/>
      <c r="O21" s="22"/>
      <c r="P21" s="22"/>
      <c r="Q21" s="22"/>
      <c r="R21" s="22"/>
      <c r="S21" s="22"/>
      <c r="T21" s="22"/>
      <c r="U21" s="22"/>
      <c r="V21" s="22"/>
      <c r="W21" s="22"/>
      <c r="X21" s="22"/>
      <c r="Y21" s="22"/>
      <c r="Z21" s="22"/>
      <c r="AA21" s="22"/>
    </row>
    <row r="22" spans="1:27" x14ac:dyDescent="0.2">
      <c r="A22" s="22" t="s">
        <v>20</v>
      </c>
      <c r="B22" s="22" t="s">
        <v>106</v>
      </c>
      <c r="C22" s="22" t="s">
        <v>107</v>
      </c>
      <c r="D22" s="22" t="s">
        <v>108</v>
      </c>
      <c r="E22" s="22" t="s">
        <v>109</v>
      </c>
      <c r="F22" s="22" t="s">
        <v>110</v>
      </c>
      <c r="G22" s="22" t="s">
        <v>111</v>
      </c>
      <c r="H22" s="22" t="s">
        <v>112</v>
      </c>
      <c r="I22" s="22" t="s">
        <v>113</v>
      </c>
      <c r="J22" s="22" t="s">
        <v>447</v>
      </c>
      <c r="K22" s="22"/>
      <c r="L22" s="22"/>
      <c r="M22" s="22"/>
      <c r="N22" s="22"/>
      <c r="O22" s="22"/>
      <c r="P22" s="22"/>
      <c r="Q22" s="22"/>
      <c r="R22" s="22"/>
      <c r="S22" s="22"/>
      <c r="T22" s="22"/>
      <c r="U22" s="22"/>
      <c r="V22" s="22"/>
      <c r="W22" s="22"/>
      <c r="X22" s="22"/>
      <c r="Y22" s="22"/>
      <c r="Z22" s="22"/>
      <c r="AA22" s="22"/>
    </row>
    <row r="23" spans="1:27" x14ac:dyDescent="0.2">
      <c r="A23" s="22" t="s">
        <v>21</v>
      </c>
      <c r="B23" s="22" t="s">
        <v>114</v>
      </c>
      <c r="C23" s="22" t="s">
        <v>115</v>
      </c>
      <c r="D23" s="22" t="s">
        <v>116</v>
      </c>
      <c r="E23" s="22" t="s">
        <v>117</v>
      </c>
      <c r="F23" s="22" t="s">
        <v>118</v>
      </c>
      <c r="G23" s="22" t="s">
        <v>119</v>
      </c>
      <c r="H23" s="22" t="s">
        <v>120</v>
      </c>
      <c r="I23" s="22" t="s">
        <v>121</v>
      </c>
      <c r="J23" s="22" t="s">
        <v>122</v>
      </c>
      <c r="K23" s="22" t="s">
        <v>447</v>
      </c>
      <c r="L23" s="22"/>
      <c r="M23" s="22"/>
      <c r="N23" s="22"/>
      <c r="O23" s="22"/>
      <c r="P23" s="22"/>
      <c r="Q23" s="22"/>
      <c r="R23" s="22"/>
      <c r="S23" s="22"/>
      <c r="T23" s="22"/>
      <c r="U23" s="22"/>
      <c r="V23" s="22"/>
      <c r="W23" s="22"/>
      <c r="X23" s="22"/>
      <c r="Y23" s="22"/>
      <c r="Z23" s="22"/>
      <c r="AA23" s="22"/>
    </row>
    <row r="24" spans="1:27" x14ac:dyDescent="0.2">
      <c r="A24" s="54" t="s">
        <v>566</v>
      </c>
      <c r="B24" s="22" t="s">
        <v>74</v>
      </c>
      <c r="C24" s="22" t="s">
        <v>75</v>
      </c>
      <c r="D24" s="22" t="s">
        <v>69</v>
      </c>
      <c r="E24" s="22" t="s">
        <v>76</v>
      </c>
      <c r="F24" s="22" t="s">
        <v>70</v>
      </c>
      <c r="G24" s="22" t="s">
        <v>77</v>
      </c>
      <c r="H24" s="22" t="s">
        <v>78</v>
      </c>
      <c r="I24" s="22" t="s">
        <v>79</v>
      </c>
      <c r="J24" s="22" t="s">
        <v>80</v>
      </c>
      <c r="K24" s="22" t="s">
        <v>81</v>
      </c>
      <c r="L24" s="22" t="s">
        <v>82</v>
      </c>
      <c r="M24" s="22" t="s">
        <v>83</v>
      </c>
      <c r="N24" s="22" t="s">
        <v>84</v>
      </c>
      <c r="O24" s="22" t="s">
        <v>85</v>
      </c>
      <c r="P24" s="54" t="s">
        <v>71</v>
      </c>
      <c r="Q24" s="22" t="s">
        <v>86</v>
      </c>
      <c r="R24" s="22" t="s">
        <v>72</v>
      </c>
      <c r="S24" s="22" t="s">
        <v>87</v>
      </c>
      <c r="T24" s="22" t="s">
        <v>88</v>
      </c>
      <c r="U24" s="22" t="s">
        <v>73</v>
      </c>
      <c r="V24" s="22" t="s">
        <v>89</v>
      </c>
      <c r="W24" s="22" t="s">
        <v>90</v>
      </c>
      <c r="X24" s="22" t="s">
        <v>91</v>
      </c>
      <c r="Y24" s="22" t="s">
        <v>92</v>
      </c>
      <c r="Z24" s="448" t="s">
        <v>447</v>
      </c>
      <c r="AA24" s="54"/>
    </row>
    <row r="25" spans="1:27" x14ac:dyDescent="0.2">
      <c r="A25" s="54" t="s">
        <v>476</v>
      </c>
      <c r="B25" s="22" t="s">
        <v>74</v>
      </c>
      <c r="C25" s="22" t="s">
        <v>75</v>
      </c>
      <c r="D25" s="22" t="s">
        <v>69</v>
      </c>
      <c r="E25" s="22" t="s">
        <v>76</v>
      </c>
      <c r="F25" s="22" t="s">
        <v>70</v>
      </c>
      <c r="G25" s="22" t="s">
        <v>77</v>
      </c>
      <c r="H25" s="22" t="s">
        <v>78</v>
      </c>
      <c r="I25" s="22" t="s">
        <v>79</v>
      </c>
      <c r="J25" s="22" t="s">
        <v>80</v>
      </c>
      <c r="K25" s="22" t="s">
        <v>81</v>
      </c>
      <c r="L25" s="22" t="s">
        <v>82</v>
      </c>
      <c r="M25" s="22" t="s">
        <v>83</v>
      </c>
      <c r="N25" s="22" t="s">
        <v>84</v>
      </c>
      <c r="O25" s="22" t="s">
        <v>85</v>
      </c>
      <c r="P25" s="54" t="s">
        <v>99</v>
      </c>
      <c r="Q25" s="22" t="s">
        <v>71</v>
      </c>
      <c r="R25" s="22" t="s">
        <v>86</v>
      </c>
      <c r="S25" s="22" t="s">
        <v>72</v>
      </c>
      <c r="T25" s="22" t="s">
        <v>87</v>
      </c>
      <c r="U25" s="22" t="s">
        <v>88</v>
      </c>
      <c r="V25" s="22" t="s">
        <v>73</v>
      </c>
      <c r="W25" s="22" t="s">
        <v>89</v>
      </c>
      <c r="X25" s="22" t="s">
        <v>90</v>
      </c>
      <c r="Y25" s="22" t="s">
        <v>91</v>
      </c>
      <c r="Z25" s="448" t="s">
        <v>92</v>
      </c>
      <c r="AA25" s="54" t="s">
        <v>447</v>
      </c>
    </row>
    <row r="26" spans="1:27" x14ac:dyDescent="0.2">
      <c r="A26" s="54" t="s">
        <v>541</v>
      </c>
      <c r="B26" s="22" t="s">
        <v>123</v>
      </c>
      <c r="C26" s="22" t="s">
        <v>124</v>
      </c>
      <c r="D26" s="22" t="s">
        <v>125</v>
      </c>
      <c r="E26" s="22" t="s">
        <v>126</v>
      </c>
      <c r="F26" s="22" t="s">
        <v>127</v>
      </c>
      <c r="G26" s="22" t="s">
        <v>128</v>
      </c>
      <c r="H26" s="22" t="s">
        <v>129</v>
      </c>
      <c r="I26" s="22" t="s">
        <v>130</v>
      </c>
      <c r="J26" s="22" t="s">
        <v>131</v>
      </c>
      <c r="K26" s="22" t="s">
        <v>132</v>
      </c>
      <c r="L26" s="22" t="s">
        <v>133</v>
      </c>
      <c r="M26" s="22" t="s">
        <v>134</v>
      </c>
      <c r="N26" s="22" t="s">
        <v>135</v>
      </c>
      <c r="O26" s="22" t="s">
        <v>136</v>
      </c>
      <c r="P26" s="22" t="s">
        <v>137</v>
      </c>
      <c r="Q26" s="22" t="s">
        <v>138</v>
      </c>
      <c r="R26" s="22" t="s">
        <v>139</v>
      </c>
      <c r="S26" s="22" t="s">
        <v>140</v>
      </c>
      <c r="T26" s="22" t="s">
        <v>141</v>
      </c>
      <c r="U26" s="22" t="s">
        <v>142</v>
      </c>
      <c r="V26" s="22" t="s">
        <v>143</v>
      </c>
      <c r="W26" s="22" t="s">
        <v>144</v>
      </c>
      <c r="X26" s="22" t="s">
        <v>145</v>
      </c>
      <c r="Y26" s="22" t="s">
        <v>447</v>
      </c>
      <c r="Z26" s="22"/>
      <c r="AA26" s="22"/>
    </row>
    <row r="28" spans="1:27" x14ac:dyDescent="0.2">
      <c r="A28" s="60" t="s">
        <v>463</v>
      </c>
      <c r="C28" s="22"/>
      <c r="D28" s="22"/>
      <c r="E28" s="22"/>
      <c r="F28" s="22"/>
      <c r="G28" s="22"/>
      <c r="H28" s="22"/>
      <c r="I28" s="22"/>
      <c r="J28" s="22"/>
      <c r="K28" s="22"/>
      <c r="L28" s="22"/>
      <c r="M28" s="22"/>
      <c r="N28" s="22"/>
      <c r="O28" s="22"/>
      <c r="P28" s="22"/>
      <c r="Q28" s="22"/>
      <c r="R28" s="22"/>
      <c r="S28" s="22"/>
      <c r="T28" s="22"/>
      <c r="U28" s="22"/>
      <c r="V28" s="22"/>
      <c r="W28" s="22"/>
      <c r="X28" s="22"/>
    </row>
    <row r="29" spans="1:27" x14ac:dyDescent="0.2">
      <c r="A29" s="59" t="s">
        <v>44</v>
      </c>
      <c r="B29" s="45">
        <v>2</v>
      </c>
      <c r="C29" s="45">
        <v>3</v>
      </c>
      <c r="D29" s="45">
        <v>4</v>
      </c>
      <c r="E29" s="45">
        <v>5</v>
      </c>
      <c r="F29" s="45">
        <v>6</v>
      </c>
      <c r="G29" s="45">
        <v>7</v>
      </c>
      <c r="H29" s="45">
        <v>8</v>
      </c>
      <c r="I29" s="45">
        <v>9</v>
      </c>
      <c r="J29" s="45">
        <v>10</v>
      </c>
      <c r="K29" s="45">
        <v>11</v>
      </c>
      <c r="L29" s="45">
        <v>12</v>
      </c>
      <c r="M29" s="45">
        <v>13</v>
      </c>
      <c r="N29" s="45">
        <v>14</v>
      </c>
      <c r="O29" s="45">
        <v>15</v>
      </c>
      <c r="P29" s="45">
        <v>16</v>
      </c>
      <c r="Q29" s="45">
        <v>17</v>
      </c>
      <c r="R29" s="45">
        <v>18</v>
      </c>
      <c r="S29" s="45">
        <v>19</v>
      </c>
      <c r="T29" s="45">
        <v>20</v>
      </c>
      <c r="U29" s="45">
        <v>21</v>
      </c>
      <c r="V29" s="45">
        <v>22</v>
      </c>
      <c r="W29" s="45">
        <v>23</v>
      </c>
      <c r="X29" s="45">
        <v>24</v>
      </c>
      <c r="Y29" s="158">
        <v>25</v>
      </c>
      <c r="Z29" s="45">
        <v>26</v>
      </c>
    </row>
    <row r="30" spans="1:27" x14ac:dyDescent="0.2">
      <c r="A30" s="30" t="s">
        <v>45</v>
      </c>
      <c r="B30" s="22"/>
      <c r="C30" s="22"/>
      <c r="D30" s="22"/>
      <c r="E30" s="22"/>
      <c r="F30" s="22"/>
      <c r="G30" s="22"/>
      <c r="H30" s="22"/>
      <c r="I30" s="22"/>
      <c r="J30" s="22"/>
      <c r="K30" s="22"/>
      <c r="L30" s="22"/>
      <c r="M30" s="22"/>
      <c r="N30" s="22"/>
      <c r="O30" s="22"/>
      <c r="P30" s="22"/>
      <c r="Q30" s="22"/>
      <c r="R30" s="22"/>
      <c r="S30" s="22"/>
      <c r="T30" s="22"/>
      <c r="U30" s="22"/>
      <c r="V30" s="22"/>
      <c r="W30" s="22"/>
      <c r="X30" s="22"/>
    </row>
    <row r="31" spans="1:27" x14ac:dyDescent="0.2">
      <c r="A31" s="22" t="s">
        <v>13</v>
      </c>
      <c r="B31" s="22" t="s">
        <v>46</v>
      </c>
      <c r="C31" s="22" t="s">
        <v>47</v>
      </c>
      <c r="D31" s="22" t="s">
        <v>48</v>
      </c>
      <c r="E31" s="22" t="s">
        <v>49</v>
      </c>
      <c r="F31" s="22"/>
      <c r="G31" s="22"/>
      <c r="H31" s="22"/>
      <c r="I31" s="22"/>
      <c r="J31" s="22"/>
      <c r="K31" s="22"/>
      <c r="L31" s="22"/>
      <c r="M31" s="22"/>
      <c r="N31" s="22"/>
      <c r="O31" s="22"/>
      <c r="P31" s="22"/>
      <c r="Q31" s="22"/>
      <c r="R31" s="22"/>
      <c r="S31" s="22"/>
      <c r="T31" s="22"/>
      <c r="U31" s="22"/>
      <c r="V31" s="22"/>
      <c r="W31" s="22"/>
      <c r="X31" s="22"/>
      <c r="Y31" s="22"/>
      <c r="Z31" s="22"/>
      <c r="AA31" s="22"/>
    </row>
    <row r="32" spans="1:27" x14ac:dyDescent="0.2">
      <c r="A32" s="54" t="s">
        <v>14</v>
      </c>
      <c r="B32" s="22" t="s">
        <v>50</v>
      </c>
      <c r="C32" s="22" t="s">
        <v>51</v>
      </c>
      <c r="D32" s="22" t="s">
        <v>52</v>
      </c>
      <c r="E32" s="22" t="s">
        <v>53</v>
      </c>
      <c r="F32" s="22" t="s">
        <v>54</v>
      </c>
      <c r="G32" s="32" t="s">
        <v>65</v>
      </c>
      <c r="H32" s="32" t="s">
        <v>65</v>
      </c>
      <c r="I32" s="22" t="s">
        <v>66</v>
      </c>
      <c r="J32" s="22" t="s">
        <v>66</v>
      </c>
      <c r="K32" s="22" t="s">
        <v>55</v>
      </c>
      <c r="L32" s="54" t="s">
        <v>56</v>
      </c>
      <c r="M32" s="22" t="s">
        <v>57</v>
      </c>
      <c r="N32" s="22" t="s">
        <v>105</v>
      </c>
      <c r="O32" s="32" t="s">
        <v>58</v>
      </c>
      <c r="P32" s="22" t="s">
        <v>59</v>
      </c>
      <c r="Q32" s="22" t="s">
        <v>67</v>
      </c>
      <c r="R32" s="32" t="s">
        <v>67</v>
      </c>
      <c r="S32" s="22" t="s">
        <v>60</v>
      </c>
      <c r="T32" s="22" t="s">
        <v>61</v>
      </c>
      <c r="U32" s="22" t="s">
        <v>68</v>
      </c>
      <c r="V32" s="22" t="s">
        <v>68</v>
      </c>
      <c r="W32" s="22" t="s">
        <v>62</v>
      </c>
      <c r="X32" s="22" t="s">
        <v>63</v>
      </c>
      <c r="Y32" s="22" t="s">
        <v>64</v>
      </c>
      <c r="Z32" s="22"/>
      <c r="AA32" s="22"/>
    </row>
    <row r="33" spans="1:27" x14ac:dyDescent="0.2">
      <c r="A33" s="22" t="s">
        <v>565</v>
      </c>
      <c r="B33" s="22" t="s">
        <v>93</v>
      </c>
      <c r="C33" s="22" t="s">
        <v>94</v>
      </c>
      <c r="D33" s="22" t="s">
        <v>95</v>
      </c>
      <c r="E33" s="22" t="s">
        <v>96</v>
      </c>
      <c r="F33" s="22" t="s">
        <v>97</v>
      </c>
      <c r="G33" s="22" t="s">
        <v>98</v>
      </c>
      <c r="H33" s="22" t="s">
        <v>99</v>
      </c>
      <c r="I33" s="22" t="s">
        <v>100</v>
      </c>
      <c r="J33" s="22" t="s">
        <v>101</v>
      </c>
      <c r="K33" s="22" t="s">
        <v>102</v>
      </c>
      <c r="L33" s="22" t="s">
        <v>103</v>
      </c>
      <c r="M33" s="22" t="s">
        <v>104</v>
      </c>
      <c r="N33" s="22"/>
      <c r="O33" s="22"/>
      <c r="P33" s="22"/>
      <c r="Q33" s="22"/>
      <c r="R33" s="22"/>
      <c r="S33" s="22"/>
      <c r="T33" s="22"/>
      <c r="U33" s="22"/>
      <c r="V33" s="22"/>
      <c r="W33" s="22"/>
      <c r="X33" s="22"/>
      <c r="Y33" s="22"/>
      <c r="Z33" s="22"/>
      <c r="AA33" s="22"/>
    </row>
    <row r="34" spans="1:27" x14ac:dyDescent="0.2">
      <c r="A34" s="22" t="s">
        <v>18</v>
      </c>
      <c r="B34" s="22" t="s">
        <v>93</v>
      </c>
      <c r="C34" s="22" t="s">
        <v>94</v>
      </c>
      <c r="D34" s="22" t="s">
        <v>95</v>
      </c>
      <c r="E34" s="22" t="s">
        <v>96</v>
      </c>
      <c r="F34" s="22" t="s">
        <v>97</v>
      </c>
      <c r="G34" s="22" t="s">
        <v>98</v>
      </c>
      <c r="H34" s="22" t="s">
        <v>100</v>
      </c>
      <c r="I34" s="22" t="s">
        <v>101</v>
      </c>
      <c r="J34" s="22" t="s">
        <v>102</v>
      </c>
      <c r="K34" s="22" t="s">
        <v>103</v>
      </c>
      <c r="L34" s="22" t="s">
        <v>104</v>
      </c>
      <c r="M34" s="22"/>
      <c r="N34" s="22"/>
      <c r="O34" s="22"/>
      <c r="P34" s="22"/>
      <c r="Q34" s="22"/>
      <c r="R34" s="22"/>
      <c r="S34" s="22"/>
      <c r="T34" s="22"/>
      <c r="U34" s="22"/>
      <c r="V34" s="22"/>
      <c r="W34" s="22"/>
      <c r="X34" s="22"/>
      <c r="Y34" s="22"/>
      <c r="Z34" s="22"/>
      <c r="AA34" s="22"/>
    </row>
    <row r="35" spans="1:27" x14ac:dyDescent="0.2">
      <c r="A35" s="22" t="s">
        <v>20</v>
      </c>
      <c r="B35" s="22" t="s">
        <v>106</v>
      </c>
      <c r="C35" s="22" t="s">
        <v>107</v>
      </c>
      <c r="D35" s="22" t="s">
        <v>108</v>
      </c>
      <c r="E35" s="22" t="s">
        <v>109</v>
      </c>
      <c r="F35" s="22" t="s">
        <v>110</v>
      </c>
      <c r="G35" s="22" t="s">
        <v>111</v>
      </c>
      <c r="H35" s="22" t="s">
        <v>112</v>
      </c>
      <c r="I35" s="22" t="s">
        <v>113</v>
      </c>
      <c r="J35" s="22"/>
      <c r="K35" s="22"/>
      <c r="L35" s="22"/>
      <c r="M35" s="22"/>
      <c r="N35" s="22"/>
      <c r="O35" s="22"/>
      <c r="P35" s="22"/>
      <c r="Q35" s="22"/>
      <c r="R35" s="22"/>
      <c r="S35" s="22"/>
      <c r="T35" s="22"/>
      <c r="U35" s="22"/>
      <c r="V35" s="22"/>
      <c r="W35" s="22"/>
      <c r="X35" s="22"/>
      <c r="Y35" s="22"/>
      <c r="Z35" s="22"/>
      <c r="AA35" s="22"/>
    </row>
    <row r="36" spans="1:27" x14ac:dyDescent="0.2">
      <c r="A36" s="22" t="s">
        <v>21</v>
      </c>
      <c r="B36" s="22" t="s">
        <v>114</v>
      </c>
      <c r="C36" s="22" t="s">
        <v>115</v>
      </c>
      <c r="D36" s="22" t="s">
        <v>116</v>
      </c>
      <c r="E36" s="22" t="s">
        <v>117</v>
      </c>
      <c r="F36" s="22" t="s">
        <v>118</v>
      </c>
      <c r="G36" s="22" t="s">
        <v>119</v>
      </c>
      <c r="H36" s="22" t="s">
        <v>120</v>
      </c>
      <c r="I36" s="22" t="s">
        <v>121</v>
      </c>
      <c r="J36" s="22" t="s">
        <v>122</v>
      </c>
      <c r="K36" s="22"/>
      <c r="L36" s="22"/>
      <c r="M36" s="22"/>
      <c r="N36" s="22"/>
      <c r="O36" s="22"/>
      <c r="P36" s="22"/>
      <c r="Q36" s="22"/>
      <c r="R36" s="22"/>
      <c r="S36" s="22"/>
      <c r="T36" s="22"/>
      <c r="U36" s="22"/>
      <c r="V36" s="22"/>
      <c r="W36" s="22"/>
      <c r="X36" s="22"/>
      <c r="Y36" s="22"/>
      <c r="Z36" s="22"/>
      <c r="AA36" s="22"/>
    </row>
    <row r="37" spans="1:27" x14ac:dyDescent="0.2">
      <c r="A37" s="54" t="s">
        <v>566</v>
      </c>
      <c r="B37" s="22" t="s">
        <v>74</v>
      </c>
      <c r="C37" s="22" t="s">
        <v>75</v>
      </c>
      <c r="D37" s="22" t="s">
        <v>69</v>
      </c>
      <c r="E37" s="22" t="s">
        <v>76</v>
      </c>
      <c r="F37" s="22" t="s">
        <v>70</v>
      </c>
      <c r="G37" s="22" t="s">
        <v>77</v>
      </c>
      <c r="H37" s="22" t="s">
        <v>78</v>
      </c>
      <c r="I37" s="22" t="s">
        <v>79</v>
      </c>
      <c r="J37" s="22" t="s">
        <v>80</v>
      </c>
      <c r="K37" s="22" t="s">
        <v>81</v>
      </c>
      <c r="L37" s="22" t="s">
        <v>82</v>
      </c>
      <c r="M37" s="22" t="s">
        <v>83</v>
      </c>
      <c r="N37" s="22" t="s">
        <v>84</v>
      </c>
      <c r="O37" s="22" t="s">
        <v>85</v>
      </c>
      <c r="P37" s="54" t="s">
        <v>71</v>
      </c>
      <c r="Q37" s="22" t="s">
        <v>86</v>
      </c>
      <c r="R37" s="22" t="s">
        <v>72</v>
      </c>
      <c r="S37" s="22" t="s">
        <v>87</v>
      </c>
      <c r="T37" s="22" t="s">
        <v>88</v>
      </c>
      <c r="U37" s="22" t="s">
        <v>73</v>
      </c>
      <c r="V37" s="22" t="s">
        <v>89</v>
      </c>
      <c r="W37" s="22" t="s">
        <v>90</v>
      </c>
      <c r="X37" s="22" t="s">
        <v>91</v>
      </c>
      <c r="Y37" s="22" t="s">
        <v>92</v>
      </c>
      <c r="Z37" s="448"/>
      <c r="AA37" s="22"/>
    </row>
    <row r="38" spans="1:27" x14ac:dyDescent="0.2">
      <c r="A38" s="54" t="s">
        <v>476</v>
      </c>
      <c r="B38" s="22" t="s">
        <v>74</v>
      </c>
      <c r="C38" s="22" t="s">
        <v>75</v>
      </c>
      <c r="D38" s="22" t="s">
        <v>69</v>
      </c>
      <c r="E38" s="22" t="s">
        <v>76</v>
      </c>
      <c r="F38" s="22" t="s">
        <v>70</v>
      </c>
      <c r="G38" s="22" t="s">
        <v>77</v>
      </c>
      <c r="H38" s="22" t="s">
        <v>78</v>
      </c>
      <c r="I38" s="22" t="s">
        <v>79</v>
      </c>
      <c r="J38" s="22" t="s">
        <v>80</v>
      </c>
      <c r="K38" s="22" t="s">
        <v>81</v>
      </c>
      <c r="L38" s="22" t="s">
        <v>82</v>
      </c>
      <c r="M38" s="22" t="s">
        <v>83</v>
      </c>
      <c r="N38" s="22" t="s">
        <v>84</v>
      </c>
      <c r="O38" s="22" t="s">
        <v>85</v>
      </c>
      <c r="P38" s="54" t="s">
        <v>99</v>
      </c>
      <c r="Q38" s="22" t="s">
        <v>71</v>
      </c>
      <c r="R38" s="22" t="s">
        <v>86</v>
      </c>
      <c r="S38" s="22" t="s">
        <v>72</v>
      </c>
      <c r="T38" s="22" t="s">
        <v>87</v>
      </c>
      <c r="U38" s="22" t="s">
        <v>88</v>
      </c>
      <c r="V38" s="22" t="s">
        <v>73</v>
      </c>
      <c r="W38" s="22" t="s">
        <v>89</v>
      </c>
      <c r="X38" s="22" t="s">
        <v>90</v>
      </c>
      <c r="Y38" s="22" t="s">
        <v>91</v>
      </c>
      <c r="Z38" s="448" t="s">
        <v>92</v>
      </c>
      <c r="AA38" s="22"/>
    </row>
    <row r="39" spans="1:27" x14ac:dyDescent="0.2">
      <c r="A39" s="54" t="s">
        <v>541</v>
      </c>
      <c r="B39" s="22" t="s">
        <v>123</v>
      </c>
      <c r="C39" s="22" t="s">
        <v>124</v>
      </c>
      <c r="D39" s="22" t="s">
        <v>125</v>
      </c>
      <c r="E39" s="22" t="s">
        <v>126</v>
      </c>
      <c r="F39" s="22" t="s">
        <v>127</v>
      </c>
      <c r="G39" s="22" t="s">
        <v>128</v>
      </c>
      <c r="H39" s="22" t="s">
        <v>129</v>
      </c>
      <c r="I39" s="22" t="s">
        <v>130</v>
      </c>
      <c r="J39" s="22" t="s">
        <v>131</v>
      </c>
      <c r="K39" s="22" t="s">
        <v>132</v>
      </c>
      <c r="L39" s="22" t="s">
        <v>133</v>
      </c>
      <c r="M39" s="22" t="s">
        <v>134</v>
      </c>
      <c r="N39" s="22" t="s">
        <v>135</v>
      </c>
      <c r="O39" s="22" t="s">
        <v>136</v>
      </c>
      <c r="P39" s="22" t="s">
        <v>137</v>
      </c>
      <c r="Q39" s="22" t="s">
        <v>138</v>
      </c>
      <c r="R39" s="22" t="s">
        <v>139</v>
      </c>
      <c r="S39" s="22" t="s">
        <v>140</v>
      </c>
      <c r="T39" s="22" t="s">
        <v>141</v>
      </c>
      <c r="U39" s="22" t="s">
        <v>142</v>
      </c>
      <c r="V39" s="22" t="s">
        <v>143</v>
      </c>
      <c r="W39" s="22" t="s">
        <v>144</v>
      </c>
      <c r="X39" s="22" t="s">
        <v>145</v>
      </c>
      <c r="Y39" s="22"/>
      <c r="Z39" s="22"/>
      <c r="AA39" s="22"/>
    </row>
    <row r="41" spans="1:27" x14ac:dyDescent="0.2">
      <c r="A41" s="23" t="s">
        <v>230</v>
      </c>
      <c r="B41" s="23" t="s">
        <v>231</v>
      </c>
    </row>
    <row r="42" spans="1:27" x14ac:dyDescent="0.2">
      <c r="A42" s="23"/>
    </row>
    <row r="43" spans="1:27" x14ac:dyDescent="0.2">
      <c r="A43" s="157" t="s">
        <v>229</v>
      </c>
    </row>
    <row r="44" spans="1:27" x14ac:dyDescent="0.2">
      <c r="A44" s="1" t="s">
        <v>201</v>
      </c>
      <c r="B44" s="158" t="s">
        <v>202</v>
      </c>
    </row>
    <row r="45" spans="1:27" x14ac:dyDescent="0.2">
      <c r="A45" s="1" t="s">
        <v>203</v>
      </c>
      <c r="B45" s="158" t="s">
        <v>202</v>
      </c>
    </row>
    <row r="46" spans="1:27" x14ac:dyDescent="0.2">
      <c r="A46" s="1" t="s">
        <v>214</v>
      </c>
      <c r="B46" s="158" t="s">
        <v>202</v>
      </c>
    </row>
    <row r="47" spans="1:27" x14ac:dyDescent="0.2">
      <c r="A47" s="1" t="s">
        <v>215</v>
      </c>
      <c r="B47" s="158" t="s">
        <v>202</v>
      </c>
    </row>
    <row r="48" spans="1:27" x14ac:dyDescent="0.2">
      <c r="A48" s="1" t="s">
        <v>216</v>
      </c>
      <c r="B48" s="158" t="s">
        <v>202</v>
      </c>
    </row>
    <row r="49" spans="1:2" x14ac:dyDescent="0.2">
      <c r="A49" s="1" t="s">
        <v>204</v>
      </c>
      <c r="B49" s="158" t="s">
        <v>202</v>
      </c>
    </row>
    <row r="50" spans="1:2" x14ac:dyDescent="0.2">
      <c r="A50" s="1" t="s">
        <v>205</v>
      </c>
      <c r="B50" s="158" t="s">
        <v>206</v>
      </c>
    </row>
    <row r="51" spans="1:2" x14ac:dyDescent="0.2">
      <c r="A51" s="1" t="s">
        <v>217</v>
      </c>
      <c r="B51" s="158" t="s">
        <v>202</v>
      </c>
    </row>
    <row r="52" spans="1:2" x14ac:dyDescent="0.2">
      <c r="A52" s="1" t="s">
        <v>218</v>
      </c>
      <c r="B52" s="158" t="s">
        <v>202</v>
      </c>
    </row>
    <row r="53" spans="1:2" x14ac:dyDescent="0.2">
      <c r="A53" s="1" t="s">
        <v>219</v>
      </c>
      <c r="B53" s="158" t="s">
        <v>202</v>
      </c>
    </row>
    <row r="54" spans="1:2" x14ac:dyDescent="0.2">
      <c r="A54" s="1" t="s">
        <v>220</v>
      </c>
      <c r="B54" s="158" t="s">
        <v>202</v>
      </c>
    </row>
    <row r="55" spans="1:2" x14ac:dyDescent="0.2">
      <c r="A55" s="1" t="s">
        <v>207</v>
      </c>
      <c r="B55" s="158" t="s">
        <v>202</v>
      </c>
    </row>
    <row r="56" spans="1:2" x14ac:dyDescent="0.2">
      <c r="A56" s="1" t="s">
        <v>221</v>
      </c>
      <c r="B56" s="158" t="s">
        <v>202</v>
      </c>
    </row>
    <row r="57" spans="1:2" x14ac:dyDescent="0.2">
      <c r="A57" s="1" t="s">
        <v>208</v>
      </c>
      <c r="B57" s="158" t="s">
        <v>202</v>
      </c>
    </row>
    <row r="58" spans="1:2" x14ac:dyDescent="0.2">
      <c r="A58" s="1" t="s">
        <v>222</v>
      </c>
      <c r="B58" s="158" t="s">
        <v>206</v>
      </c>
    </row>
    <row r="59" spans="1:2" x14ac:dyDescent="0.2">
      <c r="A59" s="1" t="s">
        <v>209</v>
      </c>
      <c r="B59" s="158" t="s">
        <v>202</v>
      </c>
    </row>
    <row r="60" spans="1:2" x14ac:dyDescent="0.2">
      <c r="A60" s="1" t="s">
        <v>210</v>
      </c>
      <c r="B60" s="158" t="s">
        <v>202</v>
      </c>
    </row>
    <row r="61" spans="1:2" x14ac:dyDescent="0.2">
      <c r="A61" s="156" t="s">
        <v>228</v>
      </c>
      <c r="B61" s="158" t="s">
        <v>202</v>
      </c>
    </row>
    <row r="62" spans="1:2" x14ac:dyDescent="0.2">
      <c r="A62" s="1" t="s">
        <v>223</v>
      </c>
      <c r="B62" s="158" t="s">
        <v>206</v>
      </c>
    </row>
    <row r="63" spans="1:2" x14ac:dyDescent="0.2">
      <c r="A63" s="1" t="s">
        <v>224</v>
      </c>
      <c r="B63" s="158" t="s">
        <v>202</v>
      </c>
    </row>
    <row r="64" spans="1:2" x14ac:dyDescent="0.2">
      <c r="A64" s="1" t="s">
        <v>211</v>
      </c>
      <c r="B64" s="158" t="s">
        <v>206</v>
      </c>
    </row>
    <row r="65" spans="1:9" x14ac:dyDescent="0.2">
      <c r="A65" s="1" t="s">
        <v>225</v>
      </c>
      <c r="B65" s="158" t="s">
        <v>202</v>
      </c>
    </row>
    <row r="66" spans="1:9" x14ac:dyDescent="0.2">
      <c r="A66" s="1" t="s">
        <v>226</v>
      </c>
      <c r="B66" s="158" t="s">
        <v>202</v>
      </c>
    </row>
    <row r="67" spans="1:9" x14ac:dyDescent="0.2">
      <c r="A67" s="1" t="s">
        <v>212</v>
      </c>
      <c r="B67" s="158" t="s">
        <v>202</v>
      </c>
    </row>
    <row r="68" spans="1:9" x14ac:dyDescent="0.2">
      <c r="A68" s="1" t="s">
        <v>213</v>
      </c>
      <c r="B68" s="158" t="s">
        <v>202</v>
      </c>
    </row>
    <row r="69" spans="1:9" x14ac:dyDescent="0.2">
      <c r="A69" s="1" t="s">
        <v>227</v>
      </c>
      <c r="B69" s="158" t="s">
        <v>202</v>
      </c>
    </row>
    <row r="71" spans="1:9" ht="13.5" thickBot="1" x14ac:dyDescent="0.25">
      <c r="A71" s="183" t="s">
        <v>457</v>
      </c>
      <c r="B71" s="159">
        <v>2</v>
      </c>
      <c r="C71" s="159">
        <v>3</v>
      </c>
      <c r="D71" s="159">
        <v>4</v>
      </c>
      <c r="E71" s="159">
        <v>5</v>
      </c>
      <c r="F71" s="159">
        <v>6</v>
      </c>
      <c r="G71" s="159">
        <v>7</v>
      </c>
    </row>
    <row r="72" spans="1:9" x14ac:dyDescent="0.2">
      <c r="A72" s="160"/>
      <c r="B72" s="161" t="s">
        <v>232</v>
      </c>
      <c r="C72" s="162"/>
      <c r="D72" s="163"/>
      <c r="E72" s="164" t="s">
        <v>233</v>
      </c>
      <c r="F72" s="165" t="s">
        <v>233</v>
      </c>
      <c r="G72" s="166" t="s">
        <v>234</v>
      </c>
    </row>
    <row r="73" spans="1:9" x14ac:dyDescent="0.2">
      <c r="A73" s="160"/>
      <c r="B73" s="167" t="s">
        <v>235</v>
      </c>
      <c r="C73" s="168"/>
      <c r="D73" s="169"/>
      <c r="E73" s="170" t="s">
        <v>236</v>
      </c>
      <c r="F73" s="171" t="s">
        <v>237</v>
      </c>
      <c r="G73" s="172" t="s">
        <v>238</v>
      </c>
    </row>
    <row r="74" spans="1:9" ht="13.5" thickBot="1" x14ac:dyDescent="0.25">
      <c r="A74" s="182" t="s">
        <v>45</v>
      </c>
      <c r="B74" s="173" t="s">
        <v>236</v>
      </c>
      <c r="C74" s="174" t="s">
        <v>237</v>
      </c>
      <c r="D74" s="175" t="s">
        <v>239</v>
      </c>
      <c r="E74" s="176">
        <v>0.152</v>
      </c>
      <c r="F74" s="177">
        <v>0.1033</v>
      </c>
      <c r="G74" s="178" t="s">
        <v>239</v>
      </c>
    </row>
    <row r="75" spans="1:9" x14ac:dyDescent="0.2">
      <c r="A75" s="1" t="s">
        <v>13</v>
      </c>
      <c r="B75" s="201">
        <v>151023</v>
      </c>
      <c r="C75" s="211">
        <v>144897</v>
      </c>
      <c r="D75" s="206">
        <f>SUM(B75:C75)</f>
        <v>295920</v>
      </c>
      <c r="E75" s="201">
        <f t="shared" ref="E75:E84" si="0">ROUND(B75*$E$74,0)</f>
        <v>22955</v>
      </c>
      <c r="F75" s="216">
        <f t="shared" ref="F75:F84" si="1">ROUND(C75*$F$74,0)</f>
        <v>14968</v>
      </c>
      <c r="G75" s="179">
        <f>SUM(E75:F75)</f>
        <v>37923</v>
      </c>
    </row>
    <row r="76" spans="1:9" x14ac:dyDescent="0.2">
      <c r="A76" s="54" t="s">
        <v>14</v>
      </c>
      <c r="B76" s="202">
        <v>116018</v>
      </c>
      <c r="C76" s="212">
        <v>119978</v>
      </c>
      <c r="D76" s="207">
        <f t="shared" ref="D76" si="2">SUM(B76:C76)</f>
        <v>235996</v>
      </c>
      <c r="E76" s="202">
        <f t="shared" si="0"/>
        <v>17635</v>
      </c>
      <c r="F76" s="217">
        <f t="shared" si="1"/>
        <v>12394</v>
      </c>
      <c r="G76" s="180">
        <f t="shared" ref="G76:G83" si="3">SUM(E76:F76)</f>
        <v>30029</v>
      </c>
      <c r="I76" s="447" t="s">
        <v>474</v>
      </c>
    </row>
    <row r="77" spans="1:9" x14ac:dyDescent="0.2">
      <c r="A77" s="1" t="s">
        <v>15</v>
      </c>
      <c r="B77" s="202">
        <v>42167</v>
      </c>
      <c r="C77" s="212">
        <v>43223</v>
      </c>
      <c r="D77" s="207">
        <f t="shared" ref="D77:D83" si="4">SUM(B77:C77)</f>
        <v>85390</v>
      </c>
      <c r="E77" s="202">
        <f t="shared" si="0"/>
        <v>6409</v>
      </c>
      <c r="F77" s="217">
        <f t="shared" si="1"/>
        <v>4465</v>
      </c>
      <c r="G77" s="180">
        <f t="shared" si="3"/>
        <v>10874</v>
      </c>
    </row>
    <row r="78" spans="1:9" x14ac:dyDescent="0.2">
      <c r="A78" s="1" t="s">
        <v>16</v>
      </c>
      <c r="B78" s="202">
        <v>44762</v>
      </c>
      <c r="C78" s="212">
        <v>42190</v>
      </c>
      <c r="D78" s="207">
        <f t="shared" si="4"/>
        <v>86952</v>
      </c>
      <c r="E78" s="202">
        <f t="shared" si="0"/>
        <v>6804</v>
      </c>
      <c r="F78" s="217">
        <f t="shared" si="1"/>
        <v>4358</v>
      </c>
      <c r="G78" s="180">
        <f t="shared" si="3"/>
        <v>11162</v>
      </c>
    </row>
    <row r="79" spans="1:9" x14ac:dyDescent="0.2">
      <c r="A79" s="1" t="s">
        <v>17</v>
      </c>
      <c r="B79" s="203">
        <v>44639</v>
      </c>
      <c r="C79" s="213">
        <v>44273</v>
      </c>
      <c r="D79" s="208">
        <f t="shared" si="4"/>
        <v>88912</v>
      </c>
      <c r="E79" s="203">
        <f t="shared" si="0"/>
        <v>6785</v>
      </c>
      <c r="F79" s="218">
        <f t="shared" si="1"/>
        <v>4573</v>
      </c>
      <c r="G79" s="181">
        <f t="shared" si="3"/>
        <v>11358</v>
      </c>
    </row>
    <row r="80" spans="1:9" x14ac:dyDescent="0.2">
      <c r="A80" s="1" t="s">
        <v>18</v>
      </c>
      <c r="B80" s="202">
        <v>66612</v>
      </c>
      <c r="C80" s="212">
        <v>68774</v>
      </c>
      <c r="D80" s="207">
        <f t="shared" si="4"/>
        <v>135386</v>
      </c>
      <c r="E80" s="202">
        <f t="shared" si="0"/>
        <v>10125</v>
      </c>
      <c r="F80" s="217">
        <f t="shared" si="1"/>
        <v>7104</v>
      </c>
      <c r="G80" s="180">
        <f t="shared" si="3"/>
        <v>17229</v>
      </c>
    </row>
    <row r="81" spans="1:9" x14ac:dyDescent="0.2">
      <c r="A81" s="54" t="s">
        <v>473</v>
      </c>
      <c r="B81" s="202">
        <v>83026</v>
      </c>
      <c r="C81" s="212">
        <v>75907</v>
      </c>
      <c r="D81" s="207">
        <f t="shared" si="4"/>
        <v>158933</v>
      </c>
      <c r="E81" s="202">
        <f t="shared" si="0"/>
        <v>12620</v>
      </c>
      <c r="F81" s="217">
        <f t="shared" si="1"/>
        <v>7841</v>
      </c>
      <c r="G81" s="180">
        <f t="shared" si="3"/>
        <v>20461</v>
      </c>
    </row>
    <row r="82" spans="1:9" x14ac:dyDescent="0.2">
      <c r="A82" s="1" t="s">
        <v>20</v>
      </c>
      <c r="B82" s="202">
        <v>69571</v>
      </c>
      <c r="C82" s="212">
        <v>75764</v>
      </c>
      <c r="D82" s="207">
        <f t="shared" si="4"/>
        <v>145335</v>
      </c>
      <c r="E82" s="202">
        <f t="shared" si="0"/>
        <v>10575</v>
      </c>
      <c r="F82" s="217">
        <f t="shared" si="1"/>
        <v>7826</v>
      </c>
      <c r="G82" s="180">
        <f t="shared" si="3"/>
        <v>18401</v>
      </c>
    </row>
    <row r="83" spans="1:9" x14ac:dyDescent="0.2">
      <c r="A83" s="1" t="s">
        <v>21</v>
      </c>
      <c r="B83" s="202">
        <v>86029</v>
      </c>
      <c r="C83" s="212">
        <v>88198</v>
      </c>
      <c r="D83" s="207">
        <f t="shared" si="4"/>
        <v>174227</v>
      </c>
      <c r="E83" s="202">
        <f t="shared" si="0"/>
        <v>13076</v>
      </c>
      <c r="F83" s="217">
        <f t="shared" si="1"/>
        <v>9111</v>
      </c>
      <c r="G83" s="180">
        <f t="shared" si="3"/>
        <v>22187</v>
      </c>
    </row>
    <row r="84" spans="1:9" ht="13.5" thickBot="1" x14ac:dyDescent="0.25">
      <c r="A84" s="445" t="s">
        <v>292</v>
      </c>
      <c r="B84" s="204">
        <v>70484</v>
      </c>
      <c r="C84" s="214">
        <v>74978</v>
      </c>
      <c r="D84" s="209">
        <f>SUM(B84:C84)</f>
        <v>145462</v>
      </c>
      <c r="E84" s="204">
        <f t="shared" si="0"/>
        <v>10714</v>
      </c>
      <c r="F84" s="219">
        <f t="shared" si="1"/>
        <v>7745</v>
      </c>
      <c r="G84" s="184">
        <f>SUM(E84:F84)</f>
        <v>18459</v>
      </c>
      <c r="I84" s="445" t="s">
        <v>462</v>
      </c>
    </row>
    <row r="85" spans="1:9" ht="15" customHeight="1" thickBot="1" x14ac:dyDescent="0.25">
      <c r="A85" s="185" t="s">
        <v>240</v>
      </c>
      <c r="B85" s="205">
        <f>SUM(B75:B84)</f>
        <v>774331</v>
      </c>
      <c r="C85" s="215">
        <f t="shared" ref="C85:G85" si="5">SUM(C75:C84)</f>
        <v>778182</v>
      </c>
      <c r="D85" s="210">
        <f t="shared" si="5"/>
        <v>1552513</v>
      </c>
      <c r="E85" s="205">
        <f t="shared" si="5"/>
        <v>117698</v>
      </c>
      <c r="F85" s="220">
        <f t="shared" si="5"/>
        <v>80385</v>
      </c>
      <c r="G85" s="186">
        <f t="shared" si="5"/>
        <v>198083</v>
      </c>
    </row>
    <row r="87" spans="1:9" ht="13.5" thickBot="1" x14ac:dyDescent="0.25">
      <c r="A87" s="183" t="s">
        <v>459</v>
      </c>
      <c r="B87" s="159">
        <v>2</v>
      </c>
      <c r="C87" s="159">
        <v>3</v>
      </c>
      <c r="D87" s="159">
        <v>4</v>
      </c>
      <c r="E87" s="159">
        <v>5</v>
      </c>
      <c r="F87" s="159">
        <v>6</v>
      </c>
      <c r="G87" s="159">
        <v>7</v>
      </c>
    </row>
    <row r="88" spans="1:9" x14ac:dyDescent="0.2">
      <c r="A88" s="160"/>
      <c r="B88" s="444" t="s">
        <v>458</v>
      </c>
      <c r="C88" s="162"/>
      <c r="D88" s="163"/>
      <c r="E88" s="164" t="s">
        <v>233</v>
      </c>
      <c r="F88" s="165" t="s">
        <v>233</v>
      </c>
      <c r="G88" s="166" t="s">
        <v>234</v>
      </c>
    </row>
    <row r="89" spans="1:9" x14ac:dyDescent="0.2">
      <c r="A89" s="160"/>
      <c r="B89" s="167" t="s">
        <v>235</v>
      </c>
      <c r="C89" s="168"/>
      <c r="D89" s="169"/>
      <c r="E89" s="170" t="s">
        <v>236</v>
      </c>
      <c r="F89" s="171" t="s">
        <v>237</v>
      </c>
      <c r="G89" s="172" t="s">
        <v>238</v>
      </c>
    </row>
    <row r="90" spans="1:9" ht="13.5" thickBot="1" x14ac:dyDescent="0.25">
      <c r="A90" s="182" t="s">
        <v>45</v>
      </c>
      <c r="B90" s="173" t="s">
        <v>236</v>
      </c>
      <c r="C90" s="174" t="s">
        <v>237</v>
      </c>
      <c r="D90" s="175" t="s">
        <v>239</v>
      </c>
      <c r="E90" s="176">
        <v>0.125</v>
      </c>
      <c r="F90" s="177">
        <v>9.6500000000000002E-2</v>
      </c>
      <c r="G90" s="178" t="s">
        <v>239</v>
      </c>
    </row>
    <row r="91" spans="1:9" x14ac:dyDescent="0.2">
      <c r="A91" s="1" t="s">
        <v>13</v>
      </c>
      <c r="B91" s="201">
        <v>152471</v>
      </c>
      <c r="C91" s="211">
        <v>148137</v>
      </c>
      <c r="D91" s="206">
        <f>SUM(B91:C91)</f>
        <v>300608</v>
      </c>
      <c r="E91" s="201">
        <f t="shared" ref="E91:E99" si="6">ROUND(B91*$E$90,0)</f>
        <v>19059</v>
      </c>
      <c r="F91" s="216">
        <f t="shared" ref="F91:F99" si="7">ROUND(C91*$F$90,0)</f>
        <v>14295</v>
      </c>
      <c r="G91" s="179">
        <f>SUM(E91:F91)</f>
        <v>33354</v>
      </c>
    </row>
    <row r="92" spans="1:9" x14ac:dyDescent="0.2">
      <c r="A92" s="54" t="s">
        <v>14</v>
      </c>
      <c r="B92" s="202">
        <v>199798</v>
      </c>
      <c r="C92" s="212">
        <v>200212</v>
      </c>
      <c r="D92" s="207">
        <f t="shared" ref="D92:D98" si="8">SUM(B92:C92)</f>
        <v>400010</v>
      </c>
      <c r="E92" s="202">
        <f t="shared" si="6"/>
        <v>24975</v>
      </c>
      <c r="F92" s="217">
        <f t="shared" si="7"/>
        <v>19320</v>
      </c>
      <c r="G92" s="180">
        <f t="shared" ref="G92:G98" si="9">SUM(E92:F92)</f>
        <v>44295</v>
      </c>
      <c r="I92" s="447" t="s">
        <v>475</v>
      </c>
    </row>
    <row r="93" spans="1:9" x14ac:dyDescent="0.2">
      <c r="A93" s="1" t="s">
        <v>15</v>
      </c>
      <c r="B93" s="202">
        <v>42106</v>
      </c>
      <c r="C93" s="212">
        <v>43212</v>
      </c>
      <c r="D93" s="207">
        <f t="shared" si="8"/>
        <v>85318</v>
      </c>
      <c r="E93" s="202">
        <f t="shared" si="6"/>
        <v>5263</v>
      </c>
      <c r="F93" s="217">
        <f t="shared" si="7"/>
        <v>4170</v>
      </c>
      <c r="G93" s="180">
        <f t="shared" si="9"/>
        <v>9433</v>
      </c>
    </row>
    <row r="94" spans="1:9" x14ac:dyDescent="0.2">
      <c r="A94" s="1" t="s">
        <v>16</v>
      </c>
      <c r="B94" s="202">
        <v>46459</v>
      </c>
      <c r="C94" s="212">
        <v>43045</v>
      </c>
      <c r="D94" s="207">
        <f t="shared" si="8"/>
        <v>89504</v>
      </c>
      <c r="E94" s="202">
        <f t="shared" si="6"/>
        <v>5807</v>
      </c>
      <c r="F94" s="217">
        <f t="shared" si="7"/>
        <v>4154</v>
      </c>
      <c r="G94" s="180">
        <f t="shared" si="9"/>
        <v>9961</v>
      </c>
    </row>
    <row r="95" spans="1:9" x14ac:dyDescent="0.2">
      <c r="A95" s="1" t="s">
        <v>17</v>
      </c>
      <c r="B95" s="203">
        <v>45147</v>
      </c>
      <c r="C95" s="213">
        <v>44173</v>
      </c>
      <c r="D95" s="208">
        <f t="shared" si="8"/>
        <v>89320</v>
      </c>
      <c r="E95" s="203">
        <f t="shared" si="6"/>
        <v>5643</v>
      </c>
      <c r="F95" s="218">
        <f t="shared" si="7"/>
        <v>4263</v>
      </c>
      <c r="G95" s="181">
        <f t="shared" si="9"/>
        <v>9906</v>
      </c>
    </row>
    <row r="96" spans="1:9" x14ac:dyDescent="0.2">
      <c r="A96" s="1" t="s">
        <v>18</v>
      </c>
      <c r="B96" s="202">
        <v>66147</v>
      </c>
      <c r="C96" s="212">
        <v>68379</v>
      </c>
      <c r="D96" s="207">
        <f t="shared" si="8"/>
        <v>134526</v>
      </c>
      <c r="E96" s="202">
        <f t="shared" si="6"/>
        <v>8268</v>
      </c>
      <c r="F96" s="217">
        <f t="shared" si="7"/>
        <v>6599</v>
      </c>
      <c r="G96" s="180">
        <f t="shared" si="9"/>
        <v>14867</v>
      </c>
    </row>
    <row r="97" spans="1:9" x14ac:dyDescent="0.2">
      <c r="A97" s="1" t="s">
        <v>20</v>
      </c>
      <c r="B97" s="202">
        <v>69037</v>
      </c>
      <c r="C97" s="212">
        <v>75331</v>
      </c>
      <c r="D97" s="207">
        <f t="shared" si="8"/>
        <v>144368</v>
      </c>
      <c r="E97" s="202">
        <f t="shared" si="6"/>
        <v>8630</v>
      </c>
      <c r="F97" s="217">
        <f t="shared" si="7"/>
        <v>7269</v>
      </c>
      <c r="G97" s="180">
        <f t="shared" si="9"/>
        <v>15899</v>
      </c>
    </row>
    <row r="98" spans="1:9" x14ac:dyDescent="0.2">
      <c r="A98" s="1" t="s">
        <v>21</v>
      </c>
      <c r="B98" s="202">
        <v>86293</v>
      </c>
      <c r="C98" s="212">
        <v>88626</v>
      </c>
      <c r="D98" s="207">
        <f t="shared" si="8"/>
        <v>174919</v>
      </c>
      <c r="E98" s="202">
        <f t="shared" si="6"/>
        <v>10787</v>
      </c>
      <c r="F98" s="217">
        <f t="shared" si="7"/>
        <v>8552</v>
      </c>
      <c r="G98" s="180">
        <f t="shared" si="9"/>
        <v>19339</v>
      </c>
    </row>
    <row r="99" spans="1:9" ht="13.5" thickBot="1" x14ac:dyDescent="0.25">
      <c r="A99" s="445" t="s">
        <v>292</v>
      </c>
      <c r="B99" s="204">
        <v>70498</v>
      </c>
      <c r="C99" s="214">
        <v>74916</v>
      </c>
      <c r="D99" s="209">
        <f>SUM(B99:C99)</f>
        <v>145414</v>
      </c>
      <c r="E99" s="204">
        <f t="shared" si="6"/>
        <v>8812</v>
      </c>
      <c r="F99" s="219">
        <f t="shared" si="7"/>
        <v>7229</v>
      </c>
      <c r="G99" s="184">
        <f>SUM(E99:F99)</f>
        <v>16041</v>
      </c>
      <c r="I99" s="445" t="s">
        <v>462</v>
      </c>
    </row>
    <row r="100" spans="1:9" ht="15" customHeight="1" thickBot="1" x14ac:dyDescent="0.25">
      <c r="A100" s="185" t="s">
        <v>240</v>
      </c>
      <c r="B100" s="205">
        <f>SUM(B91:B99)</f>
        <v>777956</v>
      </c>
      <c r="C100" s="215">
        <f>SUM(C91:C99)</f>
        <v>786031</v>
      </c>
      <c r="D100" s="210">
        <f>SUM(D91:D99)</f>
        <v>1563987</v>
      </c>
      <c r="E100" s="205">
        <f>SUM(E91:E99)</f>
        <v>97244</v>
      </c>
      <c r="F100" s="220">
        <f>SUM(F91:F99)</f>
        <v>75851</v>
      </c>
      <c r="G100" s="186">
        <f t="shared" ref="G100" si="10">SUM(G91:G99)</f>
        <v>173095</v>
      </c>
    </row>
    <row r="102" spans="1:9" ht="13.5" thickBot="1" x14ac:dyDescent="0.25">
      <c r="A102" s="183" t="s">
        <v>478</v>
      </c>
      <c r="B102" s="159">
        <v>2</v>
      </c>
      <c r="C102" s="159">
        <v>3</v>
      </c>
      <c r="D102" s="159">
        <v>4</v>
      </c>
      <c r="E102" s="159">
        <v>5</v>
      </c>
      <c r="F102" s="159">
        <v>6</v>
      </c>
      <c r="G102" s="159">
        <v>7</v>
      </c>
    </row>
    <row r="103" spans="1:9" x14ac:dyDescent="0.2">
      <c r="A103" s="160"/>
      <c r="B103" s="444" t="s">
        <v>479</v>
      </c>
      <c r="C103" s="162"/>
      <c r="D103" s="163"/>
      <c r="E103" s="164" t="s">
        <v>233</v>
      </c>
      <c r="F103" s="165" t="s">
        <v>233</v>
      </c>
      <c r="G103" s="166" t="s">
        <v>234</v>
      </c>
    </row>
    <row r="104" spans="1:9" x14ac:dyDescent="0.2">
      <c r="A104" s="160"/>
      <c r="B104" s="167" t="s">
        <v>235</v>
      </c>
      <c r="C104" s="168"/>
      <c r="D104" s="169"/>
      <c r="E104" s="170" t="s">
        <v>236</v>
      </c>
      <c r="F104" s="171" t="s">
        <v>237</v>
      </c>
      <c r="G104" s="172" t="s">
        <v>238</v>
      </c>
    </row>
    <row r="105" spans="1:9" ht="13.5" thickBot="1" x14ac:dyDescent="0.25">
      <c r="A105" s="182" t="s">
        <v>45</v>
      </c>
      <c r="B105" s="173" t="s">
        <v>236</v>
      </c>
      <c r="C105" s="174" t="s">
        <v>237</v>
      </c>
      <c r="D105" s="175" t="s">
        <v>239</v>
      </c>
      <c r="E105" s="176">
        <v>0.125</v>
      </c>
      <c r="F105" s="177">
        <v>8.7400000000000005E-2</v>
      </c>
      <c r="G105" s="178" t="s">
        <v>239</v>
      </c>
    </row>
    <row r="106" spans="1:9" x14ac:dyDescent="0.2">
      <c r="A106" s="1" t="s">
        <v>13</v>
      </c>
      <c r="B106" s="201">
        <v>154354</v>
      </c>
      <c r="C106" s="211">
        <v>151286</v>
      </c>
      <c r="D106" s="206">
        <f t="shared" ref="D106:D113" si="11">SUM(B106:C106)</f>
        <v>305640</v>
      </c>
      <c r="E106" s="201">
        <f t="shared" ref="E106:E113" si="12">ROUND(B106*$E$105,0)</f>
        <v>19294</v>
      </c>
      <c r="F106" s="216">
        <f t="shared" ref="F106:F113" si="13">ROUND(C106*$F$105,0)</f>
        <v>13222</v>
      </c>
      <c r="G106" s="179">
        <f t="shared" ref="G106:G113" si="14">SUM(E106:F106)</f>
        <v>32516</v>
      </c>
    </row>
    <row r="107" spans="1:9" x14ac:dyDescent="0.2">
      <c r="A107" s="54" t="s">
        <v>14</v>
      </c>
      <c r="B107" s="202">
        <v>199803</v>
      </c>
      <c r="C107" s="212">
        <v>203761</v>
      </c>
      <c r="D107" s="207">
        <f t="shared" si="11"/>
        <v>403564</v>
      </c>
      <c r="E107" s="202">
        <f t="shared" si="12"/>
        <v>24975</v>
      </c>
      <c r="F107" s="217">
        <f t="shared" si="13"/>
        <v>17809</v>
      </c>
      <c r="G107" s="180">
        <f t="shared" si="14"/>
        <v>42784</v>
      </c>
      <c r="I107" s="447" t="s">
        <v>475</v>
      </c>
    </row>
    <row r="108" spans="1:9" x14ac:dyDescent="0.2">
      <c r="A108" s="1" t="s">
        <v>15</v>
      </c>
      <c r="B108" s="202">
        <v>41914</v>
      </c>
      <c r="C108" s="212">
        <v>43108</v>
      </c>
      <c r="D108" s="207">
        <f t="shared" si="11"/>
        <v>85022</v>
      </c>
      <c r="E108" s="202">
        <f t="shared" si="12"/>
        <v>5239</v>
      </c>
      <c r="F108" s="217">
        <f t="shared" si="13"/>
        <v>3768</v>
      </c>
      <c r="G108" s="180">
        <f t="shared" si="14"/>
        <v>9007</v>
      </c>
    </row>
    <row r="109" spans="1:9" x14ac:dyDescent="0.2">
      <c r="A109" s="1" t="s">
        <v>18</v>
      </c>
      <c r="B109" s="202">
        <v>66174</v>
      </c>
      <c r="C109" s="212">
        <v>68062</v>
      </c>
      <c r="D109" s="207">
        <f t="shared" si="11"/>
        <v>134236</v>
      </c>
      <c r="E109" s="202">
        <f t="shared" si="12"/>
        <v>8272</v>
      </c>
      <c r="F109" s="217">
        <f t="shared" si="13"/>
        <v>5949</v>
      </c>
      <c r="G109" s="180">
        <f t="shared" si="14"/>
        <v>14221</v>
      </c>
    </row>
    <row r="110" spans="1:9" x14ac:dyDescent="0.2">
      <c r="A110" s="1" t="s">
        <v>20</v>
      </c>
      <c r="B110" s="202">
        <v>68654</v>
      </c>
      <c r="C110" s="212">
        <v>75039</v>
      </c>
      <c r="D110" s="207">
        <f t="shared" si="11"/>
        <v>143693</v>
      </c>
      <c r="E110" s="202">
        <f t="shared" si="12"/>
        <v>8582</v>
      </c>
      <c r="F110" s="217">
        <f t="shared" si="13"/>
        <v>6558</v>
      </c>
      <c r="G110" s="180">
        <f t="shared" si="14"/>
        <v>15140</v>
      </c>
    </row>
    <row r="111" spans="1:9" x14ac:dyDescent="0.2">
      <c r="A111" s="1" t="s">
        <v>21</v>
      </c>
      <c r="B111" s="202">
        <v>86649</v>
      </c>
      <c r="C111" s="212">
        <v>89415</v>
      </c>
      <c r="D111" s="207">
        <f t="shared" si="11"/>
        <v>176064</v>
      </c>
      <c r="E111" s="202">
        <f t="shared" si="12"/>
        <v>10831</v>
      </c>
      <c r="F111" s="217">
        <f t="shared" si="13"/>
        <v>7815</v>
      </c>
      <c r="G111" s="180">
        <f t="shared" si="14"/>
        <v>18646</v>
      </c>
    </row>
    <row r="112" spans="1:9" x14ac:dyDescent="0.2">
      <c r="A112" s="445" t="s">
        <v>292</v>
      </c>
      <c r="B112" s="202">
        <v>70202</v>
      </c>
      <c r="C112" s="212">
        <v>75009</v>
      </c>
      <c r="D112" s="207">
        <f t="shared" si="11"/>
        <v>145211</v>
      </c>
      <c r="E112" s="202">
        <f t="shared" si="12"/>
        <v>8775</v>
      </c>
      <c r="F112" s="217">
        <f t="shared" si="13"/>
        <v>6556</v>
      </c>
      <c r="G112" s="180">
        <f t="shared" si="14"/>
        <v>15331</v>
      </c>
      <c r="I112" s="445" t="s">
        <v>462</v>
      </c>
    </row>
    <row r="113" spans="1:9" ht="13.5" thickBot="1" x14ac:dyDescent="0.25">
      <c r="A113" s="448" t="s">
        <v>476</v>
      </c>
      <c r="B113" s="449">
        <v>94226</v>
      </c>
      <c r="C113" s="450">
        <v>87970</v>
      </c>
      <c r="D113" s="451">
        <f t="shared" si="11"/>
        <v>182196</v>
      </c>
      <c r="E113" s="449">
        <f t="shared" si="12"/>
        <v>11778</v>
      </c>
      <c r="F113" s="452">
        <f t="shared" si="13"/>
        <v>7689</v>
      </c>
      <c r="G113" s="453">
        <f t="shared" si="14"/>
        <v>19467</v>
      </c>
      <c r="I113" s="448" t="s">
        <v>477</v>
      </c>
    </row>
    <row r="114" spans="1:9" ht="15" customHeight="1" thickBot="1" x14ac:dyDescent="0.25">
      <c r="A114" s="185" t="s">
        <v>240</v>
      </c>
      <c r="B114" s="205">
        <f t="shared" ref="B114:G114" si="15">SUM(B106:B113)</f>
        <v>781976</v>
      </c>
      <c r="C114" s="215">
        <f t="shared" si="15"/>
        <v>793650</v>
      </c>
      <c r="D114" s="210">
        <f t="shared" si="15"/>
        <v>1575626</v>
      </c>
      <c r="E114" s="205">
        <f t="shared" si="15"/>
        <v>97746</v>
      </c>
      <c r="F114" s="220">
        <f t="shared" si="15"/>
        <v>69366</v>
      </c>
      <c r="G114" s="186">
        <f t="shared" si="15"/>
        <v>167112</v>
      </c>
    </row>
    <row r="116" spans="1:9" ht="13.5" thickBot="1" x14ac:dyDescent="0.25">
      <c r="A116" s="183" t="s">
        <v>542</v>
      </c>
      <c r="B116" s="159">
        <v>2</v>
      </c>
      <c r="C116" s="159">
        <v>3</v>
      </c>
      <c r="D116" s="159">
        <v>4</v>
      </c>
      <c r="E116" s="159">
        <v>5</v>
      </c>
      <c r="F116" s="159">
        <v>6</v>
      </c>
      <c r="G116" s="159">
        <v>7</v>
      </c>
    </row>
    <row r="117" spans="1:9" x14ac:dyDescent="0.2">
      <c r="A117" s="160"/>
      <c r="B117" s="444" t="s">
        <v>543</v>
      </c>
      <c r="C117" s="162"/>
      <c r="D117" s="163"/>
      <c r="E117" s="164" t="s">
        <v>233</v>
      </c>
      <c r="F117" s="165" t="s">
        <v>233</v>
      </c>
      <c r="G117" s="166" t="s">
        <v>234</v>
      </c>
    </row>
    <row r="118" spans="1:9" x14ac:dyDescent="0.2">
      <c r="A118" s="160"/>
      <c r="B118" s="167" t="s">
        <v>235</v>
      </c>
      <c r="C118" s="168"/>
      <c r="D118" s="169"/>
      <c r="E118" s="170" t="s">
        <v>236</v>
      </c>
      <c r="F118" s="171" t="s">
        <v>237</v>
      </c>
      <c r="G118" s="172" t="s">
        <v>238</v>
      </c>
    </row>
    <row r="119" spans="1:9" ht="13.5" thickBot="1" x14ac:dyDescent="0.25">
      <c r="A119" s="182" t="s">
        <v>45</v>
      </c>
      <c r="B119" s="173" t="s">
        <v>236</v>
      </c>
      <c r="C119" s="174" t="s">
        <v>237</v>
      </c>
      <c r="D119" s="175" t="s">
        <v>239</v>
      </c>
      <c r="E119" s="176">
        <v>8.4000000000000005E-2</v>
      </c>
      <c r="F119" s="177">
        <v>5.1999999999999998E-2</v>
      </c>
      <c r="G119" s="178" t="s">
        <v>239</v>
      </c>
    </row>
    <row r="120" spans="1:9" x14ac:dyDescent="0.2">
      <c r="A120" s="1" t="s">
        <v>13</v>
      </c>
      <c r="B120" s="201">
        <v>155473</v>
      </c>
      <c r="C120" s="211">
        <v>153874</v>
      </c>
      <c r="D120" s="206">
        <f t="shared" ref="D120:D124" si="16">SUM(B120:C120)</f>
        <v>309347</v>
      </c>
      <c r="E120" s="201">
        <f t="shared" ref="E120:E124" si="17">ROUND(B120*$E$105,0)</f>
        <v>19434</v>
      </c>
      <c r="F120" s="216">
        <f t="shared" ref="F120:F124" si="18">ROUND(C120*$F$105,0)</f>
        <v>13449</v>
      </c>
      <c r="G120" s="179">
        <f t="shared" ref="G120:G124" si="19">SUM(E120:F120)</f>
        <v>32883</v>
      </c>
    </row>
    <row r="121" spans="1:9" x14ac:dyDescent="0.2">
      <c r="A121" s="54" t="s">
        <v>14</v>
      </c>
      <c r="B121" s="202">
        <v>241518</v>
      </c>
      <c r="C121" s="212">
        <v>251467</v>
      </c>
      <c r="D121" s="207">
        <f t="shared" si="16"/>
        <v>492985</v>
      </c>
      <c r="E121" s="202">
        <f t="shared" si="17"/>
        <v>30190</v>
      </c>
      <c r="F121" s="217">
        <f t="shared" si="18"/>
        <v>21978</v>
      </c>
      <c r="G121" s="180">
        <f t="shared" si="19"/>
        <v>52168</v>
      </c>
      <c r="I121" s="510" t="s">
        <v>544</v>
      </c>
    </row>
    <row r="122" spans="1:9" x14ac:dyDescent="0.2">
      <c r="A122" s="1" t="s">
        <v>18</v>
      </c>
      <c r="B122" s="202">
        <v>65755</v>
      </c>
      <c r="C122" s="212">
        <v>67248</v>
      </c>
      <c r="D122" s="207">
        <f t="shared" si="16"/>
        <v>133003</v>
      </c>
      <c r="E122" s="202">
        <f t="shared" si="17"/>
        <v>8219</v>
      </c>
      <c r="F122" s="217">
        <f t="shared" si="18"/>
        <v>5877</v>
      </c>
      <c r="G122" s="180">
        <f t="shared" si="19"/>
        <v>14096</v>
      </c>
    </row>
    <row r="123" spans="1:9" x14ac:dyDescent="0.2">
      <c r="A123" s="1" t="s">
        <v>20</v>
      </c>
      <c r="B123" s="202">
        <v>68015</v>
      </c>
      <c r="C123" s="212">
        <v>75234</v>
      </c>
      <c r="D123" s="207">
        <f t="shared" si="16"/>
        <v>143249</v>
      </c>
      <c r="E123" s="202">
        <f t="shared" si="17"/>
        <v>8502</v>
      </c>
      <c r="F123" s="217">
        <f t="shared" si="18"/>
        <v>6575</v>
      </c>
      <c r="G123" s="180">
        <f t="shared" si="19"/>
        <v>15077</v>
      </c>
    </row>
    <row r="124" spans="1:9" x14ac:dyDescent="0.2">
      <c r="A124" s="1" t="s">
        <v>21</v>
      </c>
      <c r="B124" s="202">
        <v>86395</v>
      </c>
      <c r="C124" s="212">
        <v>89471</v>
      </c>
      <c r="D124" s="207">
        <f t="shared" si="16"/>
        <v>175866</v>
      </c>
      <c r="E124" s="202">
        <f t="shared" si="17"/>
        <v>10799</v>
      </c>
      <c r="F124" s="217">
        <f t="shared" si="18"/>
        <v>7820</v>
      </c>
      <c r="G124" s="180">
        <f t="shared" si="19"/>
        <v>18619</v>
      </c>
    </row>
    <row r="125" spans="1:9" x14ac:dyDescent="0.2">
      <c r="A125" s="1" t="s">
        <v>476</v>
      </c>
      <c r="B125" s="202">
        <v>95548</v>
      </c>
      <c r="C125" s="212">
        <v>87737</v>
      </c>
      <c r="D125" s="207">
        <f>SUM(B125:C125)</f>
        <v>183285</v>
      </c>
      <c r="E125" s="202">
        <f>ROUND(B125*$E$105,0)</f>
        <v>11944</v>
      </c>
      <c r="F125" s="217">
        <f>ROUND(C125*$F$105,0)</f>
        <v>7668</v>
      </c>
      <c r="G125" s="180">
        <f>SUM(E125:F125)</f>
        <v>19612</v>
      </c>
    </row>
    <row r="126" spans="1:9" ht="13.5" thickBot="1" x14ac:dyDescent="0.25">
      <c r="A126" s="527" t="s">
        <v>541</v>
      </c>
      <c r="B126" s="202">
        <v>70033</v>
      </c>
      <c r="C126" s="212">
        <v>75384</v>
      </c>
      <c r="D126" s="207">
        <f>SUM(B126:C126)</f>
        <v>145417</v>
      </c>
      <c r="E126" s="202">
        <f>ROUND(B126*$E$105,0)</f>
        <v>8754</v>
      </c>
      <c r="F126" s="217">
        <f>ROUND(C126*$F$105,0)</f>
        <v>6589</v>
      </c>
      <c r="G126" s="180">
        <f>SUM(E126:F126)</f>
        <v>15343</v>
      </c>
      <c r="I126" s="510" t="s">
        <v>545</v>
      </c>
    </row>
    <row r="127" spans="1:9" ht="15" customHeight="1" thickBot="1" x14ac:dyDescent="0.25">
      <c r="A127" s="185" t="s">
        <v>240</v>
      </c>
      <c r="B127" s="205">
        <f t="shared" ref="B127:G127" si="20">SUM(B120:B126)</f>
        <v>782737</v>
      </c>
      <c r="C127" s="215">
        <f t="shared" si="20"/>
        <v>800415</v>
      </c>
      <c r="D127" s="210">
        <f t="shared" si="20"/>
        <v>1583152</v>
      </c>
      <c r="E127" s="205">
        <f t="shared" si="20"/>
        <v>97842</v>
      </c>
      <c r="F127" s="220">
        <f t="shared" si="20"/>
        <v>69956</v>
      </c>
      <c r="G127" s="186">
        <f t="shared" si="20"/>
        <v>167798</v>
      </c>
    </row>
    <row r="130" spans="1:9" ht="13.5" thickBot="1" x14ac:dyDescent="0.25">
      <c r="A130" s="183" t="s">
        <v>546</v>
      </c>
      <c r="B130" s="159">
        <v>2</v>
      </c>
      <c r="C130" s="159">
        <v>3</v>
      </c>
      <c r="D130" s="159">
        <v>4</v>
      </c>
      <c r="E130" s="159">
        <v>5</v>
      </c>
      <c r="F130" s="159">
        <v>6</v>
      </c>
      <c r="G130" s="159">
        <v>7</v>
      </c>
    </row>
    <row r="131" spans="1:9" x14ac:dyDescent="0.2">
      <c r="A131" s="160"/>
      <c r="B131" s="444" t="s">
        <v>547</v>
      </c>
      <c r="C131" s="162"/>
      <c r="D131" s="163"/>
      <c r="E131" s="164" t="s">
        <v>233</v>
      </c>
      <c r="F131" s="165" t="s">
        <v>233</v>
      </c>
      <c r="G131" s="166" t="s">
        <v>234</v>
      </c>
    </row>
    <row r="132" spans="1:9" x14ac:dyDescent="0.2">
      <c r="A132" s="160"/>
      <c r="B132" s="167" t="s">
        <v>235</v>
      </c>
      <c r="C132" s="168"/>
      <c r="D132" s="169"/>
      <c r="E132" s="170" t="s">
        <v>236</v>
      </c>
      <c r="F132" s="171" t="s">
        <v>237</v>
      </c>
      <c r="G132" s="172" t="s">
        <v>238</v>
      </c>
    </row>
    <row r="133" spans="1:9" ht="13.5" thickBot="1" x14ac:dyDescent="0.25">
      <c r="A133" s="182" t="s">
        <v>45</v>
      </c>
      <c r="B133" s="173" t="s">
        <v>236</v>
      </c>
      <c r="C133" s="174" t="s">
        <v>237</v>
      </c>
      <c r="D133" s="175" t="s">
        <v>239</v>
      </c>
      <c r="E133" s="176">
        <v>8.4000000000000005E-2</v>
      </c>
      <c r="F133" s="177">
        <v>5.1999999999999998E-2</v>
      </c>
      <c r="G133" s="178" t="s">
        <v>239</v>
      </c>
    </row>
    <row r="134" spans="1:9" x14ac:dyDescent="0.2">
      <c r="A134" s="1" t="s">
        <v>13</v>
      </c>
      <c r="B134" s="201">
        <v>155833</v>
      </c>
      <c r="C134" s="211">
        <v>156471</v>
      </c>
      <c r="D134" s="206">
        <f t="shared" ref="D134:D138" si="21">SUM(B134:C134)</f>
        <v>312304</v>
      </c>
      <c r="E134" s="201">
        <f t="shared" ref="E134:E138" si="22">ROUND(B134*$E$105,0)</f>
        <v>19479</v>
      </c>
      <c r="F134" s="216">
        <f t="shared" ref="F134:F138" si="23">ROUND(C134*$F$105,0)</f>
        <v>13676</v>
      </c>
      <c r="G134" s="179">
        <f t="shared" ref="G134:G138" si="24">SUM(E134:F134)</f>
        <v>33155</v>
      </c>
    </row>
    <row r="135" spans="1:9" x14ac:dyDescent="0.2">
      <c r="A135" s="54" t="s">
        <v>14</v>
      </c>
      <c r="B135" s="202">
        <v>239338</v>
      </c>
      <c r="C135" s="212">
        <v>253845</v>
      </c>
      <c r="D135" s="207">
        <f t="shared" si="21"/>
        <v>493183</v>
      </c>
      <c r="E135" s="202">
        <f t="shared" si="22"/>
        <v>29917</v>
      </c>
      <c r="F135" s="217">
        <f t="shared" si="23"/>
        <v>22186</v>
      </c>
      <c r="G135" s="180">
        <f t="shared" si="24"/>
        <v>52103</v>
      </c>
      <c r="I135" s="510"/>
    </row>
    <row r="136" spans="1:9" x14ac:dyDescent="0.2">
      <c r="A136" s="1" t="s">
        <v>18</v>
      </c>
      <c r="B136" s="202">
        <v>58055</v>
      </c>
      <c r="C136" s="212">
        <v>58892</v>
      </c>
      <c r="D136" s="207">
        <f t="shared" si="21"/>
        <v>116947</v>
      </c>
      <c r="E136" s="202">
        <f t="shared" si="22"/>
        <v>7257</v>
      </c>
      <c r="F136" s="217">
        <f t="shared" si="23"/>
        <v>5147</v>
      </c>
      <c r="G136" s="180">
        <f t="shared" si="24"/>
        <v>12404</v>
      </c>
    </row>
    <row r="137" spans="1:9" x14ac:dyDescent="0.2">
      <c r="A137" s="1" t="s">
        <v>20</v>
      </c>
      <c r="B137" s="202">
        <v>67327</v>
      </c>
      <c r="C137" s="212">
        <v>75148</v>
      </c>
      <c r="D137" s="207">
        <f t="shared" si="21"/>
        <v>142475</v>
      </c>
      <c r="E137" s="202">
        <f t="shared" si="22"/>
        <v>8416</v>
      </c>
      <c r="F137" s="217">
        <f t="shared" si="23"/>
        <v>6568</v>
      </c>
      <c r="G137" s="180">
        <f t="shared" si="24"/>
        <v>14984</v>
      </c>
    </row>
    <row r="138" spans="1:9" x14ac:dyDescent="0.2">
      <c r="A138" s="1" t="s">
        <v>21</v>
      </c>
      <c r="B138" s="202">
        <v>85808</v>
      </c>
      <c r="C138" s="212">
        <v>89114</v>
      </c>
      <c r="D138" s="207">
        <f t="shared" si="21"/>
        <v>174922</v>
      </c>
      <c r="E138" s="202">
        <f t="shared" si="22"/>
        <v>10726</v>
      </c>
      <c r="F138" s="217">
        <f t="shared" si="23"/>
        <v>7789</v>
      </c>
      <c r="G138" s="180">
        <f t="shared" si="24"/>
        <v>18515</v>
      </c>
    </row>
    <row r="139" spans="1:9" x14ac:dyDescent="0.2">
      <c r="A139" s="1" t="s">
        <v>476</v>
      </c>
      <c r="B139" s="202">
        <v>103637</v>
      </c>
      <c r="C139" s="212">
        <v>96182</v>
      </c>
      <c r="D139" s="207">
        <f>SUM(B139:C139)</f>
        <v>199819</v>
      </c>
      <c r="E139" s="202">
        <f>ROUND(B139*$E$105,0)</f>
        <v>12955</v>
      </c>
      <c r="F139" s="217">
        <f>ROUND(C139*$F$105,0)</f>
        <v>8406</v>
      </c>
      <c r="G139" s="180">
        <f>SUM(E139:F139)</f>
        <v>21361</v>
      </c>
    </row>
    <row r="140" spans="1:9" ht="13.5" thickBot="1" x14ac:dyDescent="0.25">
      <c r="A140" s="527" t="s">
        <v>541</v>
      </c>
      <c r="B140" s="202">
        <v>69114</v>
      </c>
      <c r="C140" s="212">
        <v>75048</v>
      </c>
      <c r="D140" s="207">
        <f>SUM(B140:C140)</f>
        <v>144162</v>
      </c>
      <c r="E140" s="202">
        <f>ROUND(B140*$E$105,0)</f>
        <v>8639</v>
      </c>
      <c r="F140" s="217">
        <f>ROUND(C140*$F$105,0)</f>
        <v>6559</v>
      </c>
      <c r="G140" s="180">
        <f>SUM(E140:F140)</f>
        <v>15198</v>
      </c>
      <c r="I140" s="510"/>
    </row>
    <row r="141" spans="1:9" ht="15" customHeight="1" thickBot="1" x14ac:dyDescent="0.25">
      <c r="A141" s="185" t="s">
        <v>240</v>
      </c>
      <c r="B141" s="205">
        <f t="shared" ref="B141:G141" si="25">SUM(B134:B140)</f>
        <v>779112</v>
      </c>
      <c r="C141" s="215">
        <f t="shared" si="25"/>
        <v>804700</v>
      </c>
      <c r="D141" s="210">
        <f t="shared" si="25"/>
        <v>1583812</v>
      </c>
      <c r="E141" s="205">
        <f t="shared" si="25"/>
        <v>97389</v>
      </c>
      <c r="F141" s="220">
        <f t="shared" si="25"/>
        <v>70331</v>
      </c>
      <c r="G141" s="186">
        <f t="shared" si="25"/>
        <v>167720</v>
      </c>
    </row>
  </sheetData>
  <sheetProtection sheet="1" objects="1" scenarios="1"/>
  <conditionalFormatting sqref="B31:Y31 B18:Z18 B21:Z23 Z31:Z32 B39:Z39 B25:Z26 B34:Z36">
    <cfRule type="cellIs" dxfId="14" priority="31" operator="equal">
      <formula>""</formula>
    </cfRule>
  </conditionalFormatting>
  <conditionalFormatting sqref="B31:X31">
    <cfRule type="cellIs" dxfId="13" priority="26" operator="equal">
      <formula>""</formula>
    </cfRule>
  </conditionalFormatting>
  <conditionalFormatting sqref="Y31">
    <cfRule type="cellIs" dxfId="12" priority="25" operator="equal">
      <formula>""</formula>
    </cfRule>
  </conditionalFormatting>
  <conditionalFormatting sqref="B19:Z19">
    <cfRule type="cellIs" dxfId="11" priority="18" operator="equal">
      <formula>""</formula>
    </cfRule>
  </conditionalFormatting>
  <conditionalFormatting sqref="B32:Y32">
    <cfRule type="cellIs" dxfId="10" priority="17" operator="equal">
      <formula>""</formula>
    </cfRule>
  </conditionalFormatting>
  <conditionalFormatting sqref="Y32">
    <cfRule type="cellIs" dxfId="9" priority="15" operator="equal">
      <formula>""</formula>
    </cfRule>
  </conditionalFormatting>
  <conditionalFormatting sqref="AA18:AA19 AA21:AA23 AA25:AA26">
    <cfRule type="cellIs" dxfId="8" priority="12" operator="equal">
      <formula>""</formula>
    </cfRule>
  </conditionalFormatting>
  <conditionalFormatting sqref="B38:Z38">
    <cfRule type="cellIs" dxfId="7" priority="9" operator="equal">
      <formula>""</formula>
    </cfRule>
  </conditionalFormatting>
  <conditionalFormatting sqref="B20:Z20">
    <cfRule type="cellIs" dxfId="6" priority="8" operator="equal">
      <formula>""</formula>
    </cfRule>
  </conditionalFormatting>
  <conditionalFormatting sqref="AA20">
    <cfRule type="cellIs" dxfId="5" priority="7" operator="equal">
      <formula>""</formula>
    </cfRule>
  </conditionalFormatting>
  <conditionalFormatting sqref="B24:Z24">
    <cfRule type="cellIs" dxfId="4" priority="6" operator="equal">
      <formula>""</formula>
    </cfRule>
  </conditionalFormatting>
  <conditionalFormatting sqref="AA24">
    <cfRule type="cellIs" dxfId="3" priority="5" operator="equal">
      <formula>""</formula>
    </cfRule>
  </conditionalFormatting>
  <conditionalFormatting sqref="B33:Z33">
    <cfRule type="cellIs" dxfId="2" priority="4" operator="equal">
      <formula>""</formula>
    </cfRule>
  </conditionalFormatting>
  <conditionalFormatting sqref="AA31:AA39">
    <cfRule type="cellIs" dxfId="1" priority="3" operator="equal">
      <formula>""</formula>
    </cfRule>
  </conditionalFormatting>
  <conditionalFormatting sqref="B37:Z37">
    <cfRule type="cellIs" dxfId="0" priority="2" operator="equal">
      <formula>""</formula>
    </cfRule>
  </conditionalFormatting>
  <printOptions horizontalCentered="1"/>
  <pageMargins left="0.3" right="0.3" top="0.5" bottom="0.5" header="0.3" footer="0.3"/>
  <pageSetup scale="2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K16"/>
  <sheetViews>
    <sheetView showGridLines="0" workbookViewId="0">
      <selection activeCell="A17" sqref="A17"/>
    </sheetView>
  </sheetViews>
  <sheetFormatPr defaultRowHeight="12.75" x14ac:dyDescent="0.2"/>
  <cols>
    <col min="1" max="1" width="22.42578125" style="22" customWidth="1"/>
    <col min="2" max="16384" width="9.140625" style="22"/>
  </cols>
  <sheetData>
    <row r="1" spans="1:11" ht="15" customHeight="1" x14ac:dyDescent="0.2">
      <c r="A1" s="36" t="s">
        <v>28</v>
      </c>
    </row>
    <row r="2" spans="1:11" ht="15" customHeight="1" x14ac:dyDescent="0.2">
      <c r="A2" s="36" t="s">
        <v>196</v>
      </c>
    </row>
    <row r="3" spans="1:11" ht="15" customHeight="1" x14ac:dyDescent="0.2">
      <c r="A3" s="30" t="s">
        <v>194</v>
      </c>
      <c r="C3" s="147">
        <f>IF('Set-Up Worksheet'!F3="","Data Not Entered On Set-Up Worksheet",'Set-Up Worksheet'!F3)</f>
        <v>2018</v>
      </c>
    </row>
    <row r="4" spans="1:11" ht="15" customHeight="1" x14ac:dyDescent="0.2">
      <c r="A4" s="30" t="s">
        <v>195</v>
      </c>
      <c r="C4" s="147" t="str">
        <f>IF('Set-Up Worksheet'!F4="","Data Not Entered On Set-Up Worksheet",'Set-Up Worksheet'!F4)</f>
        <v>1st Quarter</v>
      </c>
    </row>
    <row r="5" spans="1:11" ht="15" customHeight="1" x14ac:dyDescent="0.2">
      <c r="C5" s="32"/>
    </row>
    <row r="6" spans="1:11" ht="15" customHeight="1" x14ac:dyDescent="0.2">
      <c r="A6" s="30" t="s">
        <v>193</v>
      </c>
      <c r="C6" s="32"/>
    </row>
    <row r="7" spans="1:11" ht="15" customHeight="1" x14ac:dyDescent="0.2">
      <c r="A7" s="30" t="s">
        <v>571</v>
      </c>
      <c r="C7" s="32"/>
    </row>
    <row r="8" spans="1:11" ht="15" customHeight="1" x14ac:dyDescent="0.2">
      <c r="A8" s="30"/>
      <c r="C8" s="32"/>
    </row>
    <row r="9" spans="1:11" ht="15" customHeight="1" x14ac:dyDescent="0.2">
      <c r="A9" s="30" t="s">
        <v>29</v>
      </c>
      <c r="C9" s="39" t="str">
        <f>IF('Set-Up Worksheet'!E7="","Data Not Entered On Set-Up Worksheet",'Set-Up Worksheet'!E7)</f>
        <v>Data Not Entered On Set-Up Worksheet</v>
      </c>
    </row>
    <row r="10" spans="1:11" ht="15" customHeight="1" x14ac:dyDescent="0.2">
      <c r="A10" s="30" t="s">
        <v>9</v>
      </c>
      <c r="C10" s="32" t="s">
        <v>10</v>
      </c>
    </row>
    <row r="11" spans="1:11" ht="15" customHeight="1" x14ac:dyDescent="0.2">
      <c r="A11" s="30" t="s">
        <v>197</v>
      </c>
      <c r="C11" s="40" t="str">
        <f>IF(C4="Data Not Entered On Set-Up Worksheet","Data Not Entered On Set-Up Worksheet",IF(C4="1st Quarter",'Report Schedule'!D13,IF(C4="2nd Quarter",'Report Schedule'!E13,IF(C4="3rd Quarter",'Report Schedule'!F13,IF(C4="4th Quarter",'Report Schedule'!G13,"")))))</f>
        <v>Jul - Sep 2017</v>
      </c>
    </row>
    <row r="14" spans="1:11" ht="79.5" customHeight="1" x14ac:dyDescent="0.2">
      <c r="A14" s="560" t="s">
        <v>461</v>
      </c>
      <c r="B14" s="560"/>
      <c r="C14" s="560"/>
      <c r="D14" s="560"/>
      <c r="E14" s="560"/>
      <c r="F14" s="560"/>
      <c r="G14" s="560"/>
      <c r="H14" s="560"/>
      <c r="I14" s="560"/>
      <c r="J14" s="560"/>
      <c r="K14" s="47"/>
    </row>
    <row r="15" spans="1:11" x14ac:dyDescent="0.2">
      <c r="A15" s="47"/>
      <c r="B15" s="47"/>
      <c r="C15" s="47"/>
      <c r="D15" s="47"/>
      <c r="E15" s="47"/>
      <c r="F15" s="47"/>
      <c r="G15" s="47"/>
      <c r="H15" s="47"/>
      <c r="I15" s="47"/>
      <c r="J15" s="47"/>
      <c r="K15" s="47"/>
    </row>
    <row r="16" spans="1:11" x14ac:dyDescent="0.2">
      <c r="A16" s="47"/>
      <c r="B16" s="47"/>
      <c r="C16" s="47"/>
      <c r="D16" s="47"/>
      <c r="E16" s="47"/>
      <c r="F16" s="47"/>
      <c r="G16" s="47"/>
      <c r="H16" s="47"/>
      <c r="I16" s="47"/>
      <c r="J16" s="47"/>
      <c r="K16" s="47"/>
    </row>
  </sheetData>
  <sheetProtection sheet="1" objects="1" scenarios="1"/>
  <mergeCells count="1">
    <mergeCell ref="A14:J14"/>
  </mergeCells>
  <conditionalFormatting sqref="C3:C4">
    <cfRule type="expression" dxfId="931" priority="4">
      <formula>C3="Data Not Entered On Set-Up Worksheet"</formula>
    </cfRule>
  </conditionalFormatting>
  <conditionalFormatting sqref="C9">
    <cfRule type="expression" dxfId="930" priority="3">
      <formula>C9="Data Not Entered On Set-Up Worksheet"</formula>
    </cfRule>
  </conditionalFormatting>
  <conditionalFormatting sqref="C11">
    <cfRule type="expression" dxfId="929" priority="1">
      <formula>C11="Data Not Entered On Set-Up Worksheet"</formula>
    </cfRule>
  </conditionalFormatting>
  <pageMargins left="0.5" right="0.5" top="0.5" bottom="0.5" header="0.3" footer="0.3"/>
  <pageSetup orientation="landscape" r:id="rId1"/>
  <headerFooter>
    <oddFooter>&amp;LNC DHHS LME-MCO Performance Measures Report Part II DMH/DD/SAS Measures&amp;C&amp;P&amp;R&amp;F</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V43"/>
  <sheetViews>
    <sheetView showGridLines="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x14ac:dyDescent="0.2"/>
  <cols>
    <col min="1" max="1" width="22.42578125" style="22" customWidth="1"/>
    <col min="2" max="10" width="20.7109375" style="22" customWidth="1"/>
    <col min="11" max="11" width="8.85546875" style="22" bestFit="1" customWidth="1"/>
    <col min="12" max="16384" width="9.140625" style="22"/>
  </cols>
  <sheetData>
    <row r="1" spans="1:22" ht="15" customHeight="1" x14ac:dyDescent="0.2">
      <c r="A1" s="36" t="s">
        <v>28</v>
      </c>
    </row>
    <row r="2" spans="1:22" ht="15" customHeight="1" x14ac:dyDescent="0.2">
      <c r="A2" s="36" t="s">
        <v>196</v>
      </c>
    </row>
    <row r="3" spans="1:22" ht="15" customHeight="1" x14ac:dyDescent="0.2">
      <c r="A3" s="30" t="s">
        <v>194</v>
      </c>
      <c r="C3" s="147">
        <f>IF('Set-Up Worksheet'!F3="","Data Not Entered On Set-Up Worksheet",'Set-Up Worksheet'!F3)</f>
        <v>2018</v>
      </c>
    </row>
    <row r="4" spans="1:22" ht="15" customHeight="1" x14ac:dyDescent="0.2">
      <c r="A4" s="30" t="s">
        <v>195</v>
      </c>
      <c r="C4" s="147" t="str">
        <f>IF('Set-Up Worksheet'!F4="","Data Not Entered On Set-Up Worksheet",'Set-Up Worksheet'!F4)</f>
        <v>1st Quarter</v>
      </c>
    </row>
    <row r="5" spans="1:22" ht="15" customHeight="1" x14ac:dyDescent="0.2">
      <c r="A5" s="30"/>
      <c r="E5" s="32"/>
      <c r="F5" s="32"/>
    </row>
    <row r="6" spans="1:22" ht="15" customHeight="1" x14ac:dyDescent="0.2">
      <c r="A6" s="30" t="s">
        <v>193</v>
      </c>
      <c r="E6" s="32"/>
      <c r="F6" s="32"/>
    </row>
    <row r="7" spans="1:22" ht="15" customHeight="1" x14ac:dyDescent="0.2">
      <c r="A7" s="30" t="s">
        <v>570</v>
      </c>
      <c r="E7" s="32"/>
      <c r="F7" s="32"/>
    </row>
    <row r="8" spans="1:22" ht="15" customHeight="1" x14ac:dyDescent="0.2">
      <c r="A8" s="30"/>
      <c r="E8" s="32"/>
      <c r="F8" s="32"/>
      <c r="N8" s="54"/>
      <c r="O8" s="54"/>
      <c r="P8" s="55"/>
      <c r="Q8" s="54"/>
      <c r="R8" s="54"/>
      <c r="S8" s="54"/>
      <c r="T8" s="54"/>
      <c r="U8" s="30"/>
      <c r="V8" s="35"/>
    </row>
    <row r="9" spans="1:22" ht="15" customHeight="1" x14ac:dyDescent="0.2">
      <c r="A9" s="30" t="s">
        <v>29</v>
      </c>
      <c r="C9" s="39" t="str">
        <f>IF('Set-Up Worksheet'!E7="","Data Not Entered On Set-Up Worksheet",'Set-Up Worksheet'!E7)</f>
        <v>Data Not Entered On Set-Up Worksheet</v>
      </c>
    </row>
    <row r="10" spans="1:22" ht="15" customHeight="1" x14ac:dyDescent="0.2">
      <c r="A10" s="30" t="s">
        <v>9</v>
      </c>
      <c r="C10" s="32" t="s">
        <v>10</v>
      </c>
      <c r="E10" s="79" t="s">
        <v>40</v>
      </c>
    </row>
    <row r="11" spans="1:22" ht="15" customHeight="1" x14ac:dyDescent="0.2">
      <c r="A11" s="30" t="s">
        <v>197</v>
      </c>
      <c r="C11" s="40" t="str">
        <f>IF(C4="Data Not Entered On Set-Up Worksheet","Data Not Entered On Set-Up Worksheet",IF(C4="1st Quarter",'Report Schedule'!D16,IF(C4="2nd Quarter",'Report Schedule'!E16,IF(C4="3rd Quarter",'Report Schedule'!F16,IF(C4="4th Quarter",'Report Schedule'!G16,"")))))</f>
        <v>Apr - Jun 2017</v>
      </c>
      <c r="E11" s="359" t="s">
        <v>416</v>
      </c>
      <c r="I11" s="79"/>
    </row>
    <row r="12" spans="1:22" ht="15" customHeight="1" x14ac:dyDescent="0.2">
      <c r="A12" s="30"/>
    </row>
    <row r="13" spans="1:22" ht="13.5" thickBot="1" x14ac:dyDescent="0.25"/>
    <row r="14" spans="1:22" s="35" customFormat="1" ht="26.1" customHeight="1" thickBot="1" x14ac:dyDescent="0.25">
      <c r="A14" s="226" t="s">
        <v>242</v>
      </c>
      <c r="B14" s="384" t="s">
        <v>39</v>
      </c>
      <c r="C14" s="315"/>
      <c r="D14" s="329"/>
      <c r="E14" s="386" t="s">
        <v>241</v>
      </c>
      <c r="F14" s="85"/>
      <c r="G14" s="65"/>
      <c r="H14" s="387" t="s">
        <v>243</v>
      </c>
      <c r="I14" s="331"/>
      <c r="J14" s="332"/>
    </row>
    <row r="15" spans="1:22" ht="13.5" thickBot="1" x14ac:dyDescent="0.25">
      <c r="B15" s="225" t="s">
        <v>3</v>
      </c>
      <c r="C15" s="225" t="s">
        <v>4</v>
      </c>
      <c r="D15" s="225" t="s">
        <v>8</v>
      </c>
      <c r="E15" s="225" t="s">
        <v>3</v>
      </c>
      <c r="F15" s="225" t="s">
        <v>4</v>
      </c>
      <c r="G15" s="225" t="s">
        <v>8</v>
      </c>
      <c r="H15" s="225" t="s">
        <v>3</v>
      </c>
      <c r="I15" s="225" t="s">
        <v>4</v>
      </c>
      <c r="J15" s="225" t="s">
        <v>8</v>
      </c>
    </row>
    <row r="16" spans="1:22" ht="63.95" customHeight="1" x14ac:dyDescent="0.2">
      <c r="A16" s="75" t="s">
        <v>43</v>
      </c>
      <c r="B16" s="239" t="s">
        <v>573</v>
      </c>
      <c r="C16" s="240" t="s">
        <v>574</v>
      </c>
      <c r="D16" s="330" t="s">
        <v>575</v>
      </c>
      <c r="E16" s="66" t="s">
        <v>573</v>
      </c>
      <c r="F16" s="67" t="s">
        <v>574</v>
      </c>
      <c r="G16" s="84" t="s">
        <v>575</v>
      </c>
      <c r="H16" s="239" t="s">
        <v>573</v>
      </c>
      <c r="I16" s="240" t="s">
        <v>574</v>
      </c>
      <c r="J16" s="330" t="s">
        <v>575</v>
      </c>
    </row>
    <row r="17" spans="1:10" ht="18" customHeight="1" x14ac:dyDescent="0.2">
      <c r="A17" s="76" t="str">
        <f>IF($C$9="Data Not Entered On Set-Up Worksheet","",IF(OR(VLOOKUP($C$9,County_Lookup,2,FALSE)="",VLOOKUP($C$9,County_Lookup,2,FALSE)=0),"",VLOOKUP($C$9,County_Lookup,2,FALSE)))</f>
        <v/>
      </c>
      <c r="B17" s="86"/>
      <c r="C17" s="224"/>
      <c r="D17" s="150" t="str">
        <f>IF($A17="","",IF(C17=0,0,B17/C17))</f>
        <v/>
      </c>
      <c r="E17" s="86"/>
      <c r="F17" s="224"/>
      <c r="G17" s="150" t="str">
        <f>IF($A17="","",IF(F17=0,0,E17/F17))</f>
        <v/>
      </c>
      <c r="H17" s="86"/>
      <c r="I17" s="224"/>
      <c r="J17" s="150" t="str">
        <f>IF($A17="","",IF(I17=0,0,H17/I17))</f>
        <v/>
      </c>
    </row>
    <row r="18" spans="1:10" ht="18" customHeight="1" x14ac:dyDescent="0.2">
      <c r="A18" s="77" t="str">
        <f>IF($C$9="Data Not Entered On Set-Up Worksheet","",IF(OR(VLOOKUP($C$9,County_Lookup,3,FALSE)="",VLOOKUP($C$9,County_Lookup,3,FALSE)=0),"",VLOOKUP($C$9,County_Lookup,3,FALSE)))</f>
        <v/>
      </c>
      <c r="B18" s="86"/>
      <c r="C18" s="224"/>
      <c r="D18" s="150" t="str">
        <f t="shared" ref="D18:D43" si="0">IF($A18="","",IF(C18=0,0,B18/C18))</f>
        <v/>
      </c>
      <c r="E18" s="86"/>
      <c r="F18" s="224"/>
      <c r="G18" s="150" t="str">
        <f t="shared" ref="G18:G43" si="1">IF($A18="","",IF(F18=0,0,E18/F18))</f>
        <v/>
      </c>
      <c r="H18" s="86"/>
      <c r="I18" s="224"/>
      <c r="J18" s="150" t="str">
        <f t="shared" ref="J18:J43" si="2">IF($A18="","",IF(I18=0,0,H18/I18))</f>
        <v/>
      </c>
    </row>
    <row r="19" spans="1:10" ht="18" customHeight="1" x14ac:dyDescent="0.2">
      <c r="A19" s="77" t="str">
        <f>IF($C$9="Data Not Entered On Set-Up Worksheet","",IF(OR(VLOOKUP($C$9,County_Lookup,4,FALSE)="",VLOOKUP($C$9,County_Lookup,4,FALSE)=0),"",VLOOKUP($C$9,County_Lookup,4,FALSE)))</f>
        <v/>
      </c>
      <c r="B19" s="86"/>
      <c r="C19" s="224"/>
      <c r="D19" s="150" t="str">
        <f t="shared" si="0"/>
        <v/>
      </c>
      <c r="E19" s="86"/>
      <c r="F19" s="224"/>
      <c r="G19" s="150" t="str">
        <f t="shared" si="1"/>
        <v/>
      </c>
      <c r="H19" s="86"/>
      <c r="I19" s="224"/>
      <c r="J19" s="150" t="str">
        <f t="shared" si="2"/>
        <v/>
      </c>
    </row>
    <row r="20" spans="1:10" ht="18" customHeight="1" x14ac:dyDescent="0.2">
      <c r="A20" s="77" t="str">
        <f>IF($C$9="Data Not Entered On Set-Up Worksheet","",IF(OR(VLOOKUP($C$9,County_Lookup,5,FALSE)="",VLOOKUP($C$9,County_Lookup,5,FALSE)=0),"",VLOOKUP($C$9,County_Lookup,5,FALSE)))</f>
        <v/>
      </c>
      <c r="B20" s="86"/>
      <c r="C20" s="224"/>
      <c r="D20" s="150" t="str">
        <f t="shared" si="0"/>
        <v/>
      </c>
      <c r="E20" s="86"/>
      <c r="F20" s="224"/>
      <c r="G20" s="150" t="str">
        <f t="shared" si="1"/>
        <v/>
      </c>
      <c r="H20" s="86"/>
      <c r="I20" s="224"/>
      <c r="J20" s="150" t="str">
        <f t="shared" si="2"/>
        <v/>
      </c>
    </row>
    <row r="21" spans="1:10" ht="18" customHeight="1" x14ac:dyDescent="0.2">
      <c r="A21" s="77" t="str">
        <f>IF($C$9="Data Not Entered On Set-Up Worksheet","",IF(OR(VLOOKUP($C$9,County_Lookup,6,FALSE)="",VLOOKUP($C$9,County_Lookup,6,FALSE)=0),"",VLOOKUP($C$9,County_Lookup,6,FALSE)))</f>
        <v/>
      </c>
      <c r="B21" s="86"/>
      <c r="C21" s="224"/>
      <c r="D21" s="150" t="str">
        <f t="shared" si="0"/>
        <v/>
      </c>
      <c r="E21" s="86"/>
      <c r="F21" s="224"/>
      <c r="G21" s="150" t="str">
        <f t="shared" si="1"/>
        <v/>
      </c>
      <c r="H21" s="86"/>
      <c r="I21" s="224"/>
      <c r="J21" s="150" t="str">
        <f t="shared" si="2"/>
        <v/>
      </c>
    </row>
    <row r="22" spans="1:10" ht="18" customHeight="1" x14ac:dyDescent="0.2">
      <c r="A22" s="77" t="str">
        <f>IF($C$9="Data Not Entered On Set-Up Worksheet","",IF(OR(VLOOKUP($C$9,County_Lookup,7,FALSE)="",VLOOKUP($C$9,County_Lookup,7,FALSE)=0),"",VLOOKUP($C$9,County_Lookup,7,FALSE)))</f>
        <v/>
      </c>
      <c r="B22" s="86"/>
      <c r="C22" s="224"/>
      <c r="D22" s="150" t="str">
        <f t="shared" si="0"/>
        <v/>
      </c>
      <c r="E22" s="86"/>
      <c r="F22" s="224"/>
      <c r="G22" s="150" t="str">
        <f t="shared" si="1"/>
        <v/>
      </c>
      <c r="H22" s="86"/>
      <c r="I22" s="224"/>
      <c r="J22" s="150" t="str">
        <f t="shared" si="2"/>
        <v/>
      </c>
    </row>
    <row r="23" spans="1:10" ht="18" customHeight="1" x14ac:dyDescent="0.2">
      <c r="A23" s="76" t="str">
        <f>IF($C$9="Data Not Entered On Set-Up Worksheet","",IF(OR(VLOOKUP($C$9,County_Lookup,8,FALSE)="",VLOOKUP($C$9,County_Lookup,8,FALSE)=0),"",VLOOKUP($C$9,County_Lookup,8,FALSE)))</f>
        <v/>
      </c>
      <c r="B23" s="86"/>
      <c r="C23" s="224"/>
      <c r="D23" s="150" t="str">
        <f t="shared" si="0"/>
        <v/>
      </c>
      <c r="E23" s="86"/>
      <c r="F23" s="224"/>
      <c r="G23" s="150" t="str">
        <f t="shared" si="1"/>
        <v/>
      </c>
      <c r="H23" s="86"/>
      <c r="I23" s="224"/>
      <c r="J23" s="150" t="str">
        <f t="shared" si="2"/>
        <v/>
      </c>
    </row>
    <row r="24" spans="1:10" ht="18" customHeight="1" x14ac:dyDescent="0.2">
      <c r="A24" s="77" t="str">
        <f>IF($C$9="Data Not Entered On Set-Up Worksheet","",IF(OR(VLOOKUP($C$9,County_Lookup,9,FALSE)="",VLOOKUP($C$9,County_Lookup,9,FALSE)=0),"",VLOOKUP($C$9,County_Lookup,9,FALSE)))</f>
        <v/>
      </c>
      <c r="B24" s="86"/>
      <c r="C24" s="224"/>
      <c r="D24" s="150" t="str">
        <f t="shared" si="0"/>
        <v/>
      </c>
      <c r="E24" s="86"/>
      <c r="F24" s="224"/>
      <c r="G24" s="150" t="str">
        <f t="shared" si="1"/>
        <v/>
      </c>
      <c r="H24" s="86"/>
      <c r="I24" s="224"/>
      <c r="J24" s="150" t="str">
        <f t="shared" si="2"/>
        <v/>
      </c>
    </row>
    <row r="25" spans="1:10" ht="18" customHeight="1" x14ac:dyDescent="0.2">
      <c r="A25" s="77" t="str">
        <f>IF($C$9="Data Not Entered On Set-Up Worksheet","",IF(OR(VLOOKUP($C$9,County_Lookup,10,FALSE)="",VLOOKUP($C$9,County_Lookup,10,FALSE)=0),"",VLOOKUP($C$9,County_Lookup,10,FALSE)))</f>
        <v/>
      </c>
      <c r="B25" s="86"/>
      <c r="C25" s="224"/>
      <c r="D25" s="150" t="str">
        <f t="shared" si="0"/>
        <v/>
      </c>
      <c r="E25" s="86"/>
      <c r="F25" s="224"/>
      <c r="G25" s="150" t="str">
        <f t="shared" si="1"/>
        <v/>
      </c>
      <c r="H25" s="86"/>
      <c r="I25" s="224"/>
      <c r="J25" s="150" t="str">
        <f t="shared" si="2"/>
        <v/>
      </c>
    </row>
    <row r="26" spans="1:10" ht="18" customHeight="1" x14ac:dyDescent="0.2">
      <c r="A26" s="77" t="str">
        <f>IF($C$9="Data Not Entered On Set-Up Worksheet","",IF(OR(VLOOKUP($C$9,County_Lookup,11,FALSE)="",VLOOKUP($C$9,County_Lookup,11,FALSE)=0),"",VLOOKUP($C$9,County_Lookup,11,FALSE)))</f>
        <v/>
      </c>
      <c r="B26" s="86"/>
      <c r="C26" s="224"/>
      <c r="D26" s="150" t="str">
        <f t="shared" si="0"/>
        <v/>
      </c>
      <c r="E26" s="86"/>
      <c r="F26" s="224"/>
      <c r="G26" s="150" t="str">
        <f t="shared" si="1"/>
        <v/>
      </c>
      <c r="H26" s="86"/>
      <c r="I26" s="224"/>
      <c r="J26" s="150" t="str">
        <f t="shared" si="2"/>
        <v/>
      </c>
    </row>
    <row r="27" spans="1:10" ht="18" customHeight="1" x14ac:dyDescent="0.2">
      <c r="A27" s="77" t="str">
        <f>IF($C$9="Data Not Entered On Set-Up Worksheet","",IF(OR(VLOOKUP($C$9,County_Lookup,12,FALSE)="",VLOOKUP($C$9,County_Lookup,12,FALSE)=0),"",VLOOKUP($C$9,County_Lookup,12,FALSE)))</f>
        <v/>
      </c>
      <c r="B27" s="86"/>
      <c r="C27" s="224"/>
      <c r="D27" s="150" t="str">
        <f t="shared" si="0"/>
        <v/>
      </c>
      <c r="E27" s="86"/>
      <c r="F27" s="224"/>
      <c r="G27" s="150" t="str">
        <f t="shared" si="1"/>
        <v/>
      </c>
      <c r="H27" s="86"/>
      <c r="I27" s="224"/>
      <c r="J27" s="150" t="str">
        <f t="shared" si="2"/>
        <v/>
      </c>
    </row>
    <row r="28" spans="1:10" ht="18" customHeight="1" x14ac:dyDescent="0.2">
      <c r="A28" s="77" t="str">
        <f>IF($C$9="Data Not Entered On Set-Up Worksheet","",IF(OR(VLOOKUP($C$9,County_Lookup,13,FALSE)="",VLOOKUP($C$9,County_Lookup,13,FALSE)=0),"",VLOOKUP($C$9,County_Lookup,13,FALSE)))</f>
        <v/>
      </c>
      <c r="B28" s="86"/>
      <c r="C28" s="224"/>
      <c r="D28" s="150" t="str">
        <f t="shared" si="0"/>
        <v/>
      </c>
      <c r="E28" s="86"/>
      <c r="F28" s="224"/>
      <c r="G28" s="150" t="str">
        <f t="shared" si="1"/>
        <v/>
      </c>
      <c r="H28" s="86"/>
      <c r="I28" s="224"/>
      <c r="J28" s="150" t="str">
        <f t="shared" si="2"/>
        <v/>
      </c>
    </row>
    <row r="29" spans="1:10" ht="18" customHeight="1" x14ac:dyDescent="0.2">
      <c r="A29" s="77" t="str">
        <f>IF($C$9="Data Not Entered On Set-Up Worksheet","",IF(OR(VLOOKUP($C$9,County_Lookup,14,FALSE)="",VLOOKUP($C$9,County_Lookup,14,FALSE)=0),"",VLOOKUP($C$9,County_Lookup,14,FALSE)))</f>
        <v/>
      </c>
      <c r="B29" s="86"/>
      <c r="C29" s="224"/>
      <c r="D29" s="150" t="str">
        <f t="shared" si="0"/>
        <v/>
      </c>
      <c r="E29" s="86"/>
      <c r="F29" s="224"/>
      <c r="G29" s="150" t="str">
        <f t="shared" si="1"/>
        <v/>
      </c>
      <c r="H29" s="86"/>
      <c r="I29" s="224"/>
      <c r="J29" s="150" t="str">
        <f t="shared" si="2"/>
        <v/>
      </c>
    </row>
    <row r="30" spans="1:10" ht="18" customHeight="1" x14ac:dyDescent="0.2">
      <c r="A30" s="76" t="str">
        <f>IF($C$9="Data Not Entered On Set-Up Worksheet","",IF(OR(VLOOKUP($C$9,County_Lookup,15,FALSE)="",VLOOKUP($C$9,County_Lookup,15,FALSE)=0),"",VLOOKUP($C$9,County_Lookup,15,FALSE)))</f>
        <v/>
      </c>
      <c r="B30" s="86"/>
      <c r="C30" s="224"/>
      <c r="D30" s="150" t="str">
        <f t="shared" si="0"/>
        <v/>
      </c>
      <c r="E30" s="86"/>
      <c r="F30" s="224"/>
      <c r="G30" s="150" t="str">
        <f t="shared" si="1"/>
        <v/>
      </c>
      <c r="H30" s="86"/>
      <c r="I30" s="224"/>
      <c r="J30" s="150" t="str">
        <f t="shared" si="2"/>
        <v/>
      </c>
    </row>
    <row r="31" spans="1:10" ht="18" customHeight="1" x14ac:dyDescent="0.2">
      <c r="A31" s="77" t="str">
        <f>IF($C$9="Data Not Entered On Set-Up Worksheet","",IF(OR(VLOOKUP($C$9,County_Lookup,16,FALSE)="",VLOOKUP($C$9,County_Lookup,16,FALSE)=0),"",VLOOKUP($C$9,County_Lookup,16,FALSE)))</f>
        <v/>
      </c>
      <c r="B31" s="86"/>
      <c r="C31" s="224"/>
      <c r="D31" s="150" t="str">
        <f t="shared" si="0"/>
        <v/>
      </c>
      <c r="E31" s="86"/>
      <c r="F31" s="224"/>
      <c r="G31" s="150" t="str">
        <f t="shared" si="1"/>
        <v/>
      </c>
      <c r="H31" s="86"/>
      <c r="I31" s="224"/>
      <c r="J31" s="150" t="str">
        <f t="shared" si="2"/>
        <v/>
      </c>
    </row>
    <row r="32" spans="1:10" ht="18" customHeight="1" x14ac:dyDescent="0.2">
      <c r="A32" s="77" t="str">
        <f>IF($C$9="Data Not Entered On Set-Up Worksheet","",IF(OR(VLOOKUP($C$9,County_Lookup,17,FALSE)="",VLOOKUP($C$9,County_Lookup,17,FALSE)=0),"",VLOOKUP($C$9,County_Lookup,17,FALSE)))</f>
        <v/>
      </c>
      <c r="B32" s="86"/>
      <c r="C32" s="224"/>
      <c r="D32" s="150" t="str">
        <f t="shared" si="0"/>
        <v/>
      </c>
      <c r="E32" s="86"/>
      <c r="F32" s="224"/>
      <c r="G32" s="150" t="str">
        <f t="shared" si="1"/>
        <v/>
      </c>
      <c r="H32" s="86"/>
      <c r="I32" s="224"/>
      <c r="J32" s="150" t="str">
        <f t="shared" si="2"/>
        <v/>
      </c>
    </row>
    <row r="33" spans="1:10" ht="18" customHeight="1" x14ac:dyDescent="0.2">
      <c r="A33" s="77" t="str">
        <f>IF($C$9="Data Not Entered On Set-Up Worksheet","",IF(OR(VLOOKUP($C$9,County_Lookup,18,FALSE)="",VLOOKUP($C$9,County_Lookup,18,FALSE)=0),"",VLOOKUP($C$9,County_Lookup,18,FALSE)))</f>
        <v/>
      </c>
      <c r="B33" s="86"/>
      <c r="C33" s="224"/>
      <c r="D33" s="150" t="str">
        <f t="shared" si="0"/>
        <v/>
      </c>
      <c r="E33" s="86"/>
      <c r="F33" s="224"/>
      <c r="G33" s="150" t="str">
        <f t="shared" si="1"/>
        <v/>
      </c>
      <c r="H33" s="86"/>
      <c r="I33" s="224"/>
      <c r="J33" s="150" t="str">
        <f t="shared" si="2"/>
        <v/>
      </c>
    </row>
    <row r="34" spans="1:10" ht="18" customHeight="1" x14ac:dyDescent="0.2">
      <c r="A34" s="77" t="str">
        <f>IF($C$9="Data Not Entered On Set-Up Worksheet","",IF(OR(VLOOKUP($C$9,County_Lookup,19,FALSE)="",VLOOKUP($C$9,County_Lookup,19,FALSE)=0),"",VLOOKUP($C$9,County_Lookup,19,FALSE)))</f>
        <v/>
      </c>
      <c r="B34" s="86"/>
      <c r="C34" s="224"/>
      <c r="D34" s="150" t="str">
        <f t="shared" si="0"/>
        <v/>
      </c>
      <c r="E34" s="86"/>
      <c r="F34" s="224"/>
      <c r="G34" s="150" t="str">
        <f t="shared" si="1"/>
        <v/>
      </c>
      <c r="H34" s="86"/>
      <c r="I34" s="224"/>
      <c r="J34" s="150" t="str">
        <f t="shared" si="2"/>
        <v/>
      </c>
    </row>
    <row r="35" spans="1:10" ht="18" customHeight="1" x14ac:dyDescent="0.2">
      <c r="A35" s="77" t="str">
        <f>IF($C$9="Data Not Entered On Set-Up Worksheet","",IF(OR(VLOOKUP($C$9,County_Lookup,20,FALSE)="",VLOOKUP($C$9,County_Lookup,20,FALSE)=0),"",VLOOKUP($C$9,County_Lookup,20,FALSE)))</f>
        <v/>
      </c>
      <c r="B35" s="86"/>
      <c r="C35" s="224"/>
      <c r="D35" s="150" t="str">
        <f t="shared" si="0"/>
        <v/>
      </c>
      <c r="E35" s="86"/>
      <c r="F35" s="224"/>
      <c r="G35" s="150" t="str">
        <f t="shared" si="1"/>
        <v/>
      </c>
      <c r="H35" s="86"/>
      <c r="I35" s="224"/>
      <c r="J35" s="150" t="str">
        <f t="shared" si="2"/>
        <v/>
      </c>
    </row>
    <row r="36" spans="1:10" ht="18" customHeight="1" x14ac:dyDescent="0.2">
      <c r="A36" s="77" t="str">
        <f>IF($C$9="Data Not Entered On Set-Up Worksheet","",IF(OR(VLOOKUP($C$9,County_Lookup,21,FALSE)="",VLOOKUP($C$9,County_Lookup,21,FALSE)=0),"",VLOOKUP($C$9,County_Lookup,21,FALSE)))</f>
        <v/>
      </c>
      <c r="B36" s="86"/>
      <c r="C36" s="224"/>
      <c r="D36" s="150" t="str">
        <f t="shared" si="0"/>
        <v/>
      </c>
      <c r="E36" s="86"/>
      <c r="F36" s="224"/>
      <c r="G36" s="150" t="str">
        <f t="shared" si="1"/>
        <v/>
      </c>
      <c r="H36" s="86"/>
      <c r="I36" s="224"/>
      <c r="J36" s="150" t="str">
        <f t="shared" si="2"/>
        <v/>
      </c>
    </row>
    <row r="37" spans="1:10" ht="18" customHeight="1" x14ac:dyDescent="0.2">
      <c r="A37" s="76" t="str">
        <f>IF($C$9="Data Not Entered On Set-Up Worksheet","",IF(OR(VLOOKUP($C$9,County_Lookup,22,FALSE)="",VLOOKUP($C$9,County_Lookup,22,FALSE)=0),"",VLOOKUP($C$9,County_Lookup,22,FALSE)))</f>
        <v/>
      </c>
      <c r="B37" s="86"/>
      <c r="C37" s="224"/>
      <c r="D37" s="150" t="str">
        <f t="shared" si="0"/>
        <v/>
      </c>
      <c r="E37" s="86"/>
      <c r="F37" s="224"/>
      <c r="G37" s="150" t="str">
        <f t="shared" si="1"/>
        <v/>
      </c>
      <c r="H37" s="86"/>
      <c r="I37" s="224"/>
      <c r="J37" s="150" t="str">
        <f t="shared" si="2"/>
        <v/>
      </c>
    </row>
    <row r="38" spans="1:10" ht="18" customHeight="1" x14ac:dyDescent="0.2">
      <c r="A38" s="77" t="str">
        <f>IF($C$9="Data Not Entered On Set-Up Worksheet","",IF(OR(VLOOKUP($C$9,County_Lookup,23,FALSE)="",VLOOKUP($C$9,County_Lookup,23,FALSE)=0),"",VLOOKUP($C$9,County_Lookup,23,FALSE)))</f>
        <v/>
      </c>
      <c r="B38" s="86"/>
      <c r="C38" s="224"/>
      <c r="D38" s="150" t="str">
        <f t="shared" si="0"/>
        <v/>
      </c>
      <c r="E38" s="86"/>
      <c r="F38" s="224"/>
      <c r="G38" s="150" t="str">
        <f t="shared" si="1"/>
        <v/>
      </c>
      <c r="H38" s="86"/>
      <c r="I38" s="224"/>
      <c r="J38" s="150" t="str">
        <f t="shared" si="2"/>
        <v/>
      </c>
    </row>
    <row r="39" spans="1:10" ht="18" customHeight="1" x14ac:dyDescent="0.2">
      <c r="A39" s="77" t="str">
        <f>IF($C$9="Data Not Entered On Set-Up Worksheet","",IF(OR(VLOOKUP($C$9,County_Lookup,24,FALSE)="",VLOOKUP($C$9,County_Lookup,24,FALSE)=0),"",VLOOKUP($C$9,County_Lookup,24,FALSE)))</f>
        <v/>
      </c>
      <c r="B39" s="86"/>
      <c r="C39" s="224"/>
      <c r="D39" s="150" t="str">
        <f t="shared" ref="D39:D41" si="3">IF($A39="","",IF(C39=0,0,B39/C39))</f>
        <v/>
      </c>
      <c r="E39" s="86"/>
      <c r="F39" s="224"/>
      <c r="G39" s="150" t="str">
        <f t="shared" ref="G39:G41" si="4">IF($A39="","",IF(F39=0,0,E39/F39))</f>
        <v/>
      </c>
      <c r="H39" s="86"/>
      <c r="I39" s="224"/>
      <c r="J39" s="150" t="str">
        <f t="shared" ref="J39:J41" si="5">IF($A39="","",IF(I39=0,0,H39/I39))</f>
        <v/>
      </c>
    </row>
    <row r="40" spans="1:10" ht="18" customHeight="1" x14ac:dyDescent="0.2">
      <c r="A40" s="77" t="str">
        <f>IF($C$9="Data Not Entered On Set-Up Worksheet","",IF(OR(VLOOKUP($C$9,County_Lookup,25,FALSE)="",VLOOKUP($C$9,County_Lookup,25,FALSE)=0),"",VLOOKUP($C$9,County_Lookup,25,FALSE)))</f>
        <v/>
      </c>
      <c r="B40" s="86"/>
      <c r="C40" s="224"/>
      <c r="D40" s="150" t="str">
        <f t="shared" si="3"/>
        <v/>
      </c>
      <c r="E40" s="86"/>
      <c r="F40" s="224"/>
      <c r="G40" s="150" t="str">
        <f t="shared" si="4"/>
        <v/>
      </c>
      <c r="H40" s="86"/>
      <c r="I40" s="224"/>
      <c r="J40" s="150" t="str">
        <f t="shared" si="5"/>
        <v/>
      </c>
    </row>
    <row r="41" spans="1:10" ht="18" customHeight="1" x14ac:dyDescent="0.2">
      <c r="A41" s="77" t="str">
        <f>IF($C$9="Data Not Entered On Set-Up Worksheet","",IF(OR(VLOOKUP($C$9,County_Lookup,26,FALSE)="",VLOOKUP($C$9,County_Lookup,26,FALSE)=0),"",VLOOKUP($C$9,County_Lookup,26,FALSE)))</f>
        <v/>
      </c>
      <c r="B41" s="86"/>
      <c r="C41" s="224"/>
      <c r="D41" s="150" t="str">
        <f t="shared" si="3"/>
        <v/>
      </c>
      <c r="E41" s="86"/>
      <c r="F41" s="224"/>
      <c r="G41" s="150" t="str">
        <f t="shared" si="4"/>
        <v/>
      </c>
      <c r="H41" s="86"/>
      <c r="I41" s="224"/>
      <c r="J41" s="150" t="str">
        <f t="shared" si="5"/>
        <v/>
      </c>
    </row>
    <row r="42" spans="1:10" ht="18" customHeight="1" x14ac:dyDescent="0.2">
      <c r="A42" s="77" t="str">
        <f>IF($C$9="Data Not Entered On Set-Up Worksheet","",IF(OR(VLOOKUP($C$9,County_Lookup,27,FALSE)="",VLOOKUP($C$9,County_Lookup,27,FALSE)=0),"",VLOOKUP($C$9,County_Lookup,27,FALSE)))</f>
        <v/>
      </c>
      <c r="B42" s="86"/>
      <c r="C42" s="224"/>
      <c r="D42" s="150" t="str">
        <f t="shared" si="0"/>
        <v/>
      </c>
      <c r="E42" s="86"/>
      <c r="F42" s="224"/>
      <c r="G42" s="150" t="str">
        <f t="shared" si="1"/>
        <v/>
      </c>
      <c r="H42" s="86"/>
      <c r="I42" s="224"/>
      <c r="J42" s="150" t="str">
        <f t="shared" si="2"/>
        <v/>
      </c>
    </row>
    <row r="43" spans="1:10" ht="18" customHeight="1" thickBot="1" x14ac:dyDescent="0.25">
      <c r="A43" s="78" t="s">
        <v>0</v>
      </c>
      <c r="B43" s="71">
        <f>SUM(B17:B42)</f>
        <v>0</v>
      </c>
      <c r="C43" s="72">
        <f>SUM(C17:C42)</f>
        <v>0</v>
      </c>
      <c r="D43" s="151">
        <f t="shared" si="0"/>
        <v>0</v>
      </c>
      <c r="E43" s="71">
        <f>SUM(E17:E42)</f>
        <v>0</v>
      </c>
      <c r="F43" s="72">
        <f>SUM(F17:F42)</f>
        <v>0</v>
      </c>
      <c r="G43" s="151">
        <f t="shared" si="1"/>
        <v>0</v>
      </c>
      <c r="H43" s="71">
        <f>SUM(H17:H42)</f>
        <v>0</v>
      </c>
      <c r="I43" s="72">
        <f>SUM(I17:I42)</f>
        <v>0</v>
      </c>
      <c r="J43" s="151">
        <f t="shared" si="2"/>
        <v>0</v>
      </c>
    </row>
  </sheetData>
  <sheetProtection sheet="1" objects="1" scenarios="1"/>
  <conditionalFormatting sqref="C3:C4 I11 E10">
    <cfRule type="expression" dxfId="928" priority="43">
      <formula>C3="Data Not Entered On Set-Up Worksheet"</formula>
    </cfRule>
  </conditionalFormatting>
  <conditionalFormatting sqref="C9">
    <cfRule type="expression" dxfId="927" priority="42">
      <formula>C9="Data Not Entered On Set-Up Worksheet"</formula>
    </cfRule>
  </conditionalFormatting>
  <conditionalFormatting sqref="E11">
    <cfRule type="expression" dxfId="926" priority="41">
      <formula>E11="Data Not Entered On Set-Up Worksheet"</formula>
    </cfRule>
  </conditionalFormatting>
  <conditionalFormatting sqref="B17:C38 B42:C42">
    <cfRule type="expression" dxfId="925" priority="40">
      <formula>AND($A17&lt;&gt;"",B17="")</formula>
    </cfRule>
  </conditionalFormatting>
  <conditionalFormatting sqref="E17:F38 E42:F42">
    <cfRule type="expression" dxfId="924" priority="28">
      <formula>AND($A17&lt;&gt;"",E17="")</formula>
    </cfRule>
  </conditionalFormatting>
  <conditionalFormatting sqref="H17:I38 H42:I42">
    <cfRule type="expression" dxfId="923" priority="27">
      <formula>AND($A17&lt;&gt;"",H17="")</formula>
    </cfRule>
  </conditionalFormatting>
  <conditionalFormatting sqref="C11">
    <cfRule type="expression" dxfId="922" priority="10">
      <formula>C11="Data Not Entered On Set-Up Worksheet"</formula>
    </cfRule>
  </conditionalFormatting>
  <conditionalFormatting sqref="B39:C39">
    <cfRule type="expression" dxfId="921" priority="9">
      <formula>AND($A39&lt;&gt;"",B39="")</formula>
    </cfRule>
  </conditionalFormatting>
  <conditionalFormatting sqref="E39:F39">
    <cfRule type="expression" dxfId="920" priority="8">
      <formula>AND($A39&lt;&gt;"",E39="")</formula>
    </cfRule>
  </conditionalFormatting>
  <conditionalFormatting sqref="H39:I39">
    <cfRule type="expression" dxfId="919" priority="7">
      <formula>AND($A39&lt;&gt;"",H39="")</formula>
    </cfRule>
  </conditionalFormatting>
  <conditionalFormatting sqref="B40:C40">
    <cfRule type="expression" dxfId="918" priority="6">
      <formula>AND($A40&lt;&gt;"",B40="")</formula>
    </cfRule>
  </conditionalFormatting>
  <conditionalFormatting sqref="E40:F40">
    <cfRule type="expression" dxfId="917" priority="5">
      <formula>AND($A40&lt;&gt;"",E40="")</formula>
    </cfRule>
  </conditionalFormatting>
  <conditionalFormatting sqref="H40:I40">
    <cfRule type="expression" dxfId="916" priority="4">
      <formula>AND($A40&lt;&gt;"",H40="")</formula>
    </cfRule>
  </conditionalFormatting>
  <conditionalFormatting sqref="B41:C41">
    <cfRule type="expression" dxfId="915" priority="3">
      <formula>AND($A41&lt;&gt;"",B41="")</formula>
    </cfRule>
  </conditionalFormatting>
  <conditionalFormatting sqref="E41:F41">
    <cfRule type="expression" dxfId="914" priority="2">
      <formula>AND($A41&lt;&gt;"",E41="")</formula>
    </cfRule>
  </conditionalFormatting>
  <conditionalFormatting sqref="H41:I41">
    <cfRule type="expression" dxfId="913" priority="1">
      <formula>AND($A41&lt;&gt;"",H41="")</formula>
    </cfRule>
  </conditionalFormatting>
  <pageMargins left="0.5" right="0.5" top="0.5" bottom="0.5" header="0.3" footer="0.3"/>
  <pageSetup scale="58" orientation="landscape" r:id="rId1"/>
  <headerFooter>
    <oddFooter>&amp;LNC DHHS LME-MCO Performance Measures Report Part II DMH/DD/SAS Measures&amp;C&amp;P&amp;R&amp;F</oddFooter>
  </headerFooter>
  <rowBreaks count="1" manualBreakCount="1">
    <brk id="43"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AZ77"/>
  <sheetViews>
    <sheetView showGridLines="0" workbookViewId="0">
      <pane xSplit="1" ySplit="18" topLeftCell="B19" activePane="bottomRight" state="frozen"/>
      <selection activeCell="E7" sqref="E7:I7"/>
      <selection pane="topRight" activeCell="E7" sqref="E7:I7"/>
      <selection pane="bottomLeft" activeCell="E7" sqref="E7:I7"/>
      <selection pane="bottomRight" activeCell="B19" sqref="B19"/>
    </sheetView>
  </sheetViews>
  <sheetFormatPr defaultRowHeight="12.75" x14ac:dyDescent="0.2"/>
  <cols>
    <col min="1" max="1" width="22.42578125" style="22" customWidth="1"/>
    <col min="2" max="37" width="17.7109375" style="22" customWidth="1"/>
    <col min="38" max="38" width="21.7109375" style="22" customWidth="1"/>
    <col min="39" max="39" width="17.7109375" style="22" customWidth="1"/>
    <col min="40" max="40" width="21.7109375" style="22" customWidth="1"/>
    <col min="41" max="41" width="8.85546875" style="22" bestFit="1" customWidth="1"/>
    <col min="42" max="16384" width="9.140625" style="22"/>
  </cols>
  <sheetData>
    <row r="1" spans="1:52" ht="15" customHeight="1" x14ac:dyDescent="0.2">
      <c r="A1" s="36" t="s">
        <v>28</v>
      </c>
      <c r="N1" s="30" t="s">
        <v>329</v>
      </c>
      <c r="Z1" s="30" t="s">
        <v>329</v>
      </c>
      <c r="AL1" s="30" t="s">
        <v>329</v>
      </c>
    </row>
    <row r="2" spans="1:52" ht="15" customHeight="1" x14ac:dyDescent="0.2">
      <c r="A2" s="36" t="s">
        <v>196</v>
      </c>
      <c r="N2" s="321" t="s">
        <v>330</v>
      </c>
      <c r="Z2" s="321" t="s">
        <v>330</v>
      </c>
      <c r="AL2" s="321" t="s">
        <v>330</v>
      </c>
    </row>
    <row r="3" spans="1:52" ht="15" customHeight="1" x14ac:dyDescent="0.2">
      <c r="A3" s="30" t="s">
        <v>194</v>
      </c>
      <c r="C3" s="147">
        <f>IF('Set-Up Worksheet'!F3="","Data Not Entered On Set-Up Worksheet",'Set-Up Worksheet'!F3)</f>
        <v>2018</v>
      </c>
      <c r="F3" s="38"/>
      <c r="I3" s="38"/>
      <c r="L3" s="38"/>
      <c r="O3" s="147">
        <f t="shared" ref="O3:O11" si="0">C3</f>
        <v>2018</v>
      </c>
      <c r="R3" s="38"/>
      <c r="U3" s="38"/>
      <c r="X3" s="38"/>
      <c r="AA3" s="147">
        <f t="shared" ref="AA3:AA11" si="1">C3</f>
        <v>2018</v>
      </c>
      <c r="AD3" s="38"/>
      <c r="AG3" s="38"/>
      <c r="AJ3" s="38"/>
      <c r="AM3" s="147">
        <f t="shared" ref="AM3:AM11" si="2">C3</f>
        <v>2018</v>
      </c>
    </row>
    <row r="4" spans="1:52" ht="15" customHeight="1" x14ac:dyDescent="0.2">
      <c r="A4" s="30" t="s">
        <v>195</v>
      </c>
      <c r="C4" s="147" t="str">
        <f>IF('Set-Up Worksheet'!F4="","Data Not Entered On Set-Up Worksheet",'Set-Up Worksheet'!F4)</f>
        <v>1st Quarter</v>
      </c>
      <c r="F4" s="32"/>
      <c r="I4" s="32"/>
      <c r="L4" s="32"/>
      <c r="O4" s="147" t="str">
        <f t="shared" si="0"/>
        <v>1st Quarter</v>
      </c>
      <c r="R4" s="32"/>
      <c r="U4" s="32"/>
      <c r="X4" s="32"/>
      <c r="AA4" s="147" t="str">
        <f t="shared" si="1"/>
        <v>1st Quarter</v>
      </c>
      <c r="AD4" s="32"/>
      <c r="AG4" s="32"/>
      <c r="AJ4" s="32"/>
      <c r="AM4" s="147" t="str">
        <f t="shared" si="2"/>
        <v>1st Quarter</v>
      </c>
    </row>
    <row r="5" spans="1:52" ht="15" customHeight="1" x14ac:dyDescent="0.2">
      <c r="A5" s="30"/>
      <c r="C5" s="32"/>
      <c r="F5" s="32"/>
      <c r="I5" s="32"/>
      <c r="L5" s="32"/>
      <c r="O5" s="39"/>
      <c r="R5" s="32"/>
      <c r="U5" s="32"/>
      <c r="X5" s="32"/>
      <c r="AA5" s="39"/>
      <c r="AD5" s="32"/>
      <c r="AG5" s="32"/>
      <c r="AJ5" s="32"/>
      <c r="AM5" s="39"/>
    </row>
    <row r="6" spans="1:52" ht="15" customHeight="1" x14ac:dyDescent="0.2">
      <c r="A6" s="30" t="s">
        <v>244</v>
      </c>
      <c r="C6" s="32"/>
      <c r="F6" s="32"/>
      <c r="I6" s="32"/>
      <c r="L6" s="32"/>
      <c r="N6" s="30"/>
      <c r="O6" s="39"/>
      <c r="R6" s="32"/>
      <c r="U6" s="32"/>
      <c r="X6" s="32"/>
      <c r="Z6" s="30"/>
      <c r="AA6" s="39"/>
      <c r="AD6" s="32"/>
      <c r="AG6" s="32"/>
      <c r="AJ6" s="32"/>
      <c r="AL6" s="30"/>
      <c r="AM6" s="39"/>
    </row>
    <row r="7" spans="1:52" ht="15" customHeight="1" x14ac:dyDescent="0.2">
      <c r="A7" s="30" t="s">
        <v>245</v>
      </c>
      <c r="C7" s="32"/>
      <c r="F7" s="32"/>
      <c r="I7" s="32"/>
      <c r="L7" s="32"/>
      <c r="N7" s="321" t="s">
        <v>334</v>
      </c>
      <c r="O7" s="39"/>
      <c r="R7" s="32"/>
      <c r="U7" s="32"/>
      <c r="X7" s="32"/>
      <c r="Z7" s="321" t="s">
        <v>334</v>
      </c>
      <c r="AA7" s="39"/>
      <c r="AD7" s="32"/>
      <c r="AG7" s="32"/>
      <c r="AJ7" s="32"/>
      <c r="AL7" s="321" t="s">
        <v>334</v>
      </c>
      <c r="AM7" s="39"/>
    </row>
    <row r="8" spans="1:52" ht="15" customHeight="1" x14ac:dyDescent="0.2">
      <c r="A8" s="30"/>
      <c r="C8" s="32"/>
      <c r="F8" s="32"/>
      <c r="I8" s="32"/>
      <c r="L8" s="32"/>
      <c r="O8" s="39"/>
      <c r="R8" s="32"/>
      <c r="U8" s="32"/>
      <c r="X8" s="32"/>
      <c r="AA8" s="39"/>
      <c r="AD8" s="32"/>
      <c r="AG8" s="32"/>
      <c r="AJ8" s="32"/>
      <c r="AM8" s="39"/>
      <c r="AR8" s="54"/>
      <c r="AS8" s="54"/>
      <c r="AT8" s="55"/>
      <c r="AU8" s="54"/>
      <c r="AV8" s="54"/>
      <c r="AW8" s="54"/>
      <c r="AX8" s="54"/>
      <c r="AY8" s="30"/>
      <c r="AZ8" s="35"/>
    </row>
    <row r="9" spans="1:52" ht="15" customHeight="1" x14ac:dyDescent="0.2">
      <c r="A9" s="30" t="s">
        <v>29</v>
      </c>
      <c r="C9" s="39" t="str">
        <f>IF('Set-Up Worksheet'!E7="","Data Not Entered On Set-Up Worksheet",'Set-Up Worksheet'!E7)</f>
        <v>Data Not Entered On Set-Up Worksheet</v>
      </c>
      <c r="F9" s="79" t="s">
        <v>305</v>
      </c>
      <c r="I9" s="39"/>
      <c r="L9" s="39"/>
      <c r="O9" s="39" t="str">
        <f t="shared" si="0"/>
        <v>Data Not Entered On Set-Up Worksheet</v>
      </c>
      <c r="R9" s="39"/>
      <c r="U9" s="39"/>
      <c r="X9" s="39"/>
      <c r="AA9" s="39" t="str">
        <f t="shared" si="1"/>
        <v>Data Not Entered On Set-Up Worksheet</v>
      </c>
      <c r="AD9" s="39"/>
      <c r="AG9" s="39"/>
      <c r="AJ9" s="39"/>
      <c r="AM9" s="39" t="str">
        <f t="shared" si="2"/>
        <v>Data Not Entered On Set-Up Worksheet</v>
      </c>
    </row>
    <row r="10" spans="1:52" ht="15" customHeight="1" x14ac:dyDescent="0.2">
      <c r="A10" s="30" t="s">
        <v>9</v>
      </c>
      <c r="C10" s="32" t="s">
        <v>10</v>
      </c>
      <c r="F10" s="79" t="s">
        <v>306</v>
      </c>
      <c r="I10" s="32"/>
      <c r="L10" s="32"/>
      <c r="O10" s="39" t="str">
        <f t="shared" si="0"/>
        <v>Behavioral Health</v>
      </c>
      <c r="R10" s="32"/>
      <c r="U10" s="32"/>
      <c r="X10" s="32"/>
      <c r="AA10" s="39" t="str">
        <f t="shared" si="1"/>
        <v>Behavioral Health</v>
      </c>
      <c r="AD10" s="32"/>
      <c r="AG10" s="32"/>
      <c r="AJ10" s="32"/>
      <c r="AM10" s="39" t="str">
        <f t="shared" si="2"/>
        <v>Behavioral Health</v>
      </c>
    </row>
    <row r="11" spans="1:52" ht="15" customHeight="1" x14ac:dyDescent="0.2">
      <c r="A11" s="30" t="s">
        <v>197</v>
      </c>
      <c r="C11" s="40" t="str">
        <f>IF(C4="Data Not Entered On Set-Up Worksheet","Data Not Entered On Set-Up Worksheet",IF(C4="1st Quarter",'Report Schedule'!D19,IF(C4="2nd Quarter",'Report Schedule'!E19,IF(C4="3rd Quarter",'Report Schedule'!F19,IF(C4="4th Quarter",'Report Schedule'!G19,"")))))</f>
        <v>Apr - Jun 2017</v>
      </c>
      <c r="F11" s="359" t="s">
        <v>416</v>
      </c>
      <c r="I11" s="40"/>
      <c r="L11" s="40"/>
      <c r="O11" s="40" t="str">
        <f t="shared" si="0"/>
        <v>Apr - Jun 2017</v>
      </c>
      <c r="R11" s="40"/>
      <c r="U11" s="40"/>
      <c r="X11" s="40"/>
      <c r="AA11" s="40" t="str">
        <f t="shared" si="1"/>
        <v>Apr - Jun 2017</v>
      </c>
      <c r="AD11" s="40"/>
      <c r="AG11" s="40"/>
      <c r="AJ11" s="40"/>
      <c r="AM11" s="40" t="str">
        <f t="shared" si="2"/>
        <v>Apr - Jun 2017</v>
      </c>
    </row>
    <row r="12" spans="1:52" ht="15" customHeight="1" x14ac:dyDescent="0.2">
      <c r="A12" s="30"/>
      <c r="C12" s="40"/>
      <c r="I12" s="40"/>
      <c r="L12" s="40"/>
      <c r="O12" s="40"/>
      <c r="R12" s="40"/>
      <c r="U12" s="40"/>
      <c r="X12" s="40"/>
      <c r="AA12" s="40"/>
      <c r="AD12" s="40"/>
      <c r="AG12" s="40"/>
      <c r="AJ12" s="40"/>
      <c r="AM12" s="40"/>
    </row>
    <row r="13" spans="1:52" ht="20.100000000000001" customHeight="1" x14ac:dyDescent="0.2">
      <c r="A13" s="312" t="s">
        <v>308</v>
      </c>
      <c r="B13" s="243" t="str">
        <f>"Measurement Period:  "&amp;$C$11</f>
        <v>Measurement Period:  Apr - Jun 2017</v>
      </c>
      <c r="C13" s="243"/>
      <c r="D13" s="243"/>
      <c r="E13" s="243"/>
      <c r="F13" s="243"/>
      <c r="G13" s="243"/>
      <c r="H13" s="243"/>
      <c r="I13" s="243"/>
      <c r="J13" s="243"/>
      <c r="K13" s="243"/>
      <c r="L13" s="243"/>
      <c r="M13" s="243"/>
      <c r="N13" s="243" t="str">
        <f>"Measurement Period:  "&amp;$C$11</f>
        <v>Measurement Period:  Apr - Jun 2017</v>
      </c>
      <c r="O13" s="243"/>
      <c r="P13" s="243"/>
      <c r="Q13" s="243"/>
      <c r="R13" s="243"/>
      <c r="S13" s="243"/>
      <c r="T13" s="243"/>
      <c r="U13" s="243"/>
      <c r="V13" s="243"/>
      <c r="W13" s="243"/>
      <c r="X13" s="243"/>
      <c r="Y13" s="243"/>
      <c r="Z13" s="243" t="str">
        <f>"Measurement Period:  "&amp;$C$11</f>
        <v>Measurement Period:  Apr - Jun 2017</v>
      </c>
      <c r="AA13" s="243"/>
      <c r="AB13" s="243"/>
      <c r="AC13" s="243"/>
      <c r="AD13" s="243"/>
      <c r="AE13" s="243"/>
      <c r="AF13" s="243"/>
      <c r="AG13" s="243"/>
      <c r="AH13" s="243"/>
      <c r="AI13" s="243"/>
      <c r="AJ13" s="243"/>
      <c r="AK13" s="243"/>
      <c r="AL13" s="243" t="str">
        <f>"Measurement Period:  "&amp;$C$11</f>
        <v>Measurement Period:  Apr - Jun 2017</v>
      </c>
      <c r="AM13" s="44"/>
      <c r="AN13" s="44"/>
    </row>
    <row r="14" spans="1:52" ht="13.5" thickBot="1" x14ac:dyDescent="0.25"/>
    <row r="15" spans="1:52" ht="18" customHeight="1" thickBot="1" x14ac:dyDescent="0.25">
      <c r="A15" s="226" t="s">
        <v>251</v>
      </c>
      <c r="B15" s="234" t="s">
        <v>248</v>
      </c>
      <c r="C15" s="235"/>
      <c r="D15" s="236"/>
      <c r="E15" s="63" t="s">
        <v>249</v>
      </c>
      <c r="F15" s="231"/>
      <c r="G15" s="231"/>
      <c r="H15" s="231"/>
      <c r="I15" s="231"/>
      <c r="J15" s="231"/>
      <c r="K15" s="231"/>
      <c r="L15" s="231"/>
      <c r="M15" s="232"/>
      <c r="N15" s="234" t="s">
        <v>253</v>
      </c>
      <c r="O15" s="235"/>
      <c r="P15" s="236"/>
      <c r="Q15" s="63" t="s">
        <v>254</v>
      </c>
      <c r="R15" s="231"/>
      <c r="S15" s="231"/>
      <c r="T15" s="231"/>
      <c r="U15" s="231"/>
      <c r="V15" s="231"/>
      <c r="W15" s="231"/>
      <c r="X15" s="231"/>
      <c r="Y15" s="232"/>
      <c r="Z15" s="234" t="s">
        <v>255</v>
      </c>
      <c r="AA15" s="235"/>
      <c r="AB15" s="236"/>
      <c r="AC15" s="63" t="s">
        <v>256</v>
      </c>
      <c r="AD15" s="231"/>
      <c r="AE15" s="231"/>
      <c r="AF15" s="231"/>
      <c r="AG15" s="231"/>
      <c r="AH15" s="231"/>
      <c r="AI15" s="231"/>
      <c r="AJ15" s="231"/>
      <c r="AK15" s="232"/>
      <c r="AL15" s="234" t="s">
        <v>260</v>
      </c>
      <c r="AM15" s="235"/>
      <c r="AN15" s="236"/>
    </row>
    <row r="16" spans="1:52" s="35" customFormat="1" ht="18" customHeight="1" thickBot="1" x14ac:dyDescent="0.25">
      <c r="A16" s="233" t="s">
        <v>252</v>
      </c>
      <c r="B16" s="234" t="s">
        <v>246</v>
      </c>
      <c r="C16" s="237"/>
      <c r="D16" s="238"/>
      <c r="E16" s="63" t="s">
        <v>146</v>
      </c>
      <c r="F16" s="64"/>
      <c r="G16" s="65"/>
      <c r="H16" s="63" t="s">
        <v>247</v>
      </c>
      <c r="I16" s="64"/>
      <c r="J16" s="65"/>
      <c r="K16" s="63" t="s">
        <v>250</v>
      </c>
      <c r="L16" s="64"/>
      <c r="M16" s="65"/>
      <c r="N16" s="234" t="s">
        <v>246</v>
      </c>
      <c r="O16" s="237"/>
      <c r="P16" s="238"/>
      <c r="Q16" s="63" t="s">
        <v>146</v>
      </c>
      <c r="R16" s="64"/>
      <c r="S16" s="65"/>
      <c r="T16" s="63" t="s">
        <v>247</v>
      </c>
      <c r="U16" s="64"/>
      <c r="V16" s="65"/>
      <c r="W16" s="63" t="s">
        <v>250</v>
      </c>
      <c r="X16" s="64"/>
      <c r="Y16" s="65"/>
      <c r="Z16" s="234" t="s">
        <v>246</v>
      </c>
      <c r="AA16" s="237"/>
      <c r="AB16" s="238"/>
      <c r="AC16" s="63" t="s">
        <v>146</v>
      </c>
      <c r="AD16" s="64"/>
      <c r="AE16" s="65"/>
      <c r="AF16" s="63" t="s">
        <v>247</v>
      </c>
      <c r="AG16" s="64"/>
      <c r="AH16" s="65"/>
      <c r="AI16" s="63" t="s">
        <v>250</v>
      </c>
      <c r="AJ16" s="64"/>
      <c r="AK16" s="65"/>
      <c r="AL16" s="234" t="s">
        <v>259</v>
      </c>
      <c r="AM16" s="237"/>
      <c r="AN16" s="238"/>
    </row>
    <row r="17" spans="1:46" s="35" customFormat="1" ht="13.5" thickBot="1" x14ac:dyDescent="0.25">
      <c r="A17" s="30"/>
      <c r="B17" s="56" t="s">
        <v>3</v>
      </c>
      <c r="C17" s="57" t="s">
        <v>4</v>
      </c>
      <c r="D17" s="58" t="s">
        <v>5</v>
      </c>
      <c r="E17" s="56" t="s">
        <v>3</v>
      </c>
      <c r="F17" s="57" t="s">
        <v>4</v>
      </c>
      <c r="G17" s="58" t="s">
        <v>5</v>
      </c>
      <c r="H17" s="56" t="s">
        <v>3</v>
      </c>
      <c r="I17" s="57" t="s">
        <v>4</v>
      </c>
      <c r="J17" s="58" t="s">
        <v>5</v>
      </c>
      <c r="K17" s="56" t="s">
        <v>3</v>
      </c>
      <c r="L17" s="57" t="s">
        <v>4</v>
      </c>
      <c r="M17" s="58" t="s">
        <v>5</v>
      </c>
      <c r="N17" s="56" t="s">
        <v>3</v>
      </c>
      <c r="O17" s="57" t="s">
        <v>4</v>
      </c>
      <c r="P17" s="58" t="s">
        <v>5</v>
      </c>
      <c r="Q17" s="56" t="s">
        <v>3</v>
      </c>
      <c r="R17" s="57" t="s">
        <v>4</v>
      </c>
      <c r="S17" s="58" t="s">
        <v>5</v>
      </c>
      <c r="T17" s="56" t="s">
        <v>3</v>
      </c>
      <c r="U17" s="57" t="s">
        <v>4</v>
      </c>
      <c r="V17" s="58" t="s">
        <v>5</v>
      </c>
      <c r="W17" s="56" t="s">
        <v>3</v>
      </c>
      <c r="X17" s="57" t="s">
        <v>4</v>
      </c>
      <c r="Y17" s="58" t="s">
        <v>5</v>
      </c>
      <c r="Z17" s="56" t="s">
        <v>3</v>
      </c>
      <c r="AA17" s="57" t="s">
        <v>4</v>
      </c>
      <c r="AB17" s="58" t="s">
        <v>5</v>
      </c>
      <c r="AC17" s="56" t="s">
        <v>3</v>
      </c>
      <c r="AD17" s="57" t="s">
        <v>4</v>
      </c>
      <c r="AE17" s="58" t="s">
        <v>5</v>
      </c>
      <c r="AF17" s="56" t="s">
        <v>3</v>
      </c>
      <c r="AG17" s="57" t="s">
        <v>4</v>
      </c>
      <c r="AH17" s="58" t="s">
        <v>5</v>
      </c>
      <c r="AI17" s="56" t="s">
        <v>3</v>
      </c>
      <c r="AJ17" s="57" t="s">
        <v>4</v>
      </c>
      <c r="AK17" s="58" t="s">
        <v>5</v>
      </c>
      <c r="AL17" s="56" t="s">
        <v>3</v>
      </c>
      <c r="AM17" s="57" t="s">
        <v>4</v>
      </c>
      <c r="AN17" s="58" t="s">
        <v>5</v>
      </c>
      <c r="AO17" s="33"/>
      <c r="AP17" s="30"/>
      <c r="AQ17" s="30"/>
      <c r="AR17" s="30"/>
      <c r="AS17" s="30"/>
      <c r="AT17" s="30"/>
    </row>
    <row r="18" spans="1:46" ht="39.950000000000003" customHeight="1" x14ac:dyDescent="0.2">
      <c r="A18" s="75" t="s">
        <v>43</v>
      </c>
      <c r="B18" s="239" t="s">
        <v>429</v>
      </c>
      <c r="C18" s="240" t="s">
        <v>42</v>
      </c>
      <c r="D18" s="241" t="s">
        <v>430</v>
      </c>
      <c r="E18" s="66" t="s">
        <v>429</v>
      </c>
      <c r="F18" s="67" t="s">
        <v>42</v>
      </c>
      <c r="G18" s="68" t="s">
        <v>430</v>
      </c>
      <c r="H18" s="66" t="s">
        <v>429</v>
      </c>
      <c r="I18" s="67" t="s">
        <v>42</v>
      </c>
      <c r="J18" s="68" t="s">
        <v>430</v>
      </c>
      <c r="K18" s="66" t="s">
        <v>429</v>
      </c>
      <c r="L18" s="67" t="s">
        <v>42</v>
      </c>
      <c r="M18" s="68" t="s">
        <v>430</v>
      </c>
      <c r="N18" s="239" t="s">
        <v>429</v>
      </c>
      <c r="O18" s="240" t="s">
        <v>42</v>
      </c>
      <c r="P18" s="241" t="s">
        <v>430</v>
      </c>
      <c r="Q18" s="66" t="s">
        <v>429</v>
      </c>
      <c r="R18" s="67" t="s">
        <v>42</v>
      </c>
      <c r="S18" s="68" t="s">
        <v>430</v>
      </c>
      <c r="T18" s="66" t="s">
        <v>429</v>
      </c>
      <c r="U18" s="67" t="s">
        <v>42</v>
      </c>
      <c r="V18" s="68" t="s">
        <v>430</v>
      </c>
      <c r="W18" s="66" t="s">
        <v>429</v>
      </c>
      <c r="X18" s="67" t="s">
        <v>42</v>
      </c>
      <c r="Y18" s="68" t="s">
        <v>430</v>
      </c>
      <c r="Z18" s="239" t="s">
        <v>429</v>
      </c>
      <c r="AA18" s="240" t="s">
        <v>42</v>
      </c>
      <c r="AB18" s="241" t="s">
        <v>430</v>
      </c>
      <c r="AC18" s="66" t="s">
        <v>429</v>
      </c>
      <c r="AD18" s="67" t="s">
        <v>42</v>
      </c>
      <c r="AE18" s="68" t="s">
        <v>430</v>
      </c>
      <c r="AF18" s="66" t="s">
        <v>429</v>
      </c>
      <c r="AG18" s="67" t="s">
        <v>42</v>
      </c>
      <c r="AH18" s="68" t="s">
        <v>430</v>
      </c>
      <c r="AI18" s="66" t="s">
        <v>429</v>
      </c>
      <c r="AJ18" s="67" t="s">
        <v>42</v>
      </c>
      <c r="AK18" s="68" t="s">
        <v>430</v>
      </c>
      <c r="AL18" s="239" t="s">
        <v>257</v>
      </c>
      <c r="AM18" s="240" t="s">
        <v>42</v>
      </c>
      <c r="AN18" s="241" t="s">
        <v>258</v>
      </c>
    </row>
    <row r="19" spans="1:46" ht="18" customHeight="1" x14ac:dyDescent="0.2">
      <c r="A19" s="76" t="str">
        <f>IF($C$9="Data Not Entered On Set-Up Worksheet","",IF(OR(VLOOKUP($C$9,County_Lookup_MC,2,FALSE)="",VLOOKUP($C$9,County_Lookup_MC,2,FALSE)=0),"",VLOOKUP($C$9,County_Lookup_MC,2,FALSE)))</f>
        <v/>
      </c>
      <c r="B19" s="69"/>
      <c r="C19" s="61"/>
      <c r="D19" s="70" t="str">
        <f>IF($A19="","",IF(C19=0,0,B19/C19))</f>
        <v/>
      </c>
      <c r="E19" s="69"/>
      <c r="F19" s="61"/>
      <c r="G19" s="70" t="str">
        <f>IF($A19="","",IF(F19=0,0,E19/F19))</f>
        <v/>
      </c>
      <c r="H19" s="69"/>
      <c r="I19" s="61"/>
      <c r="J19" s="70" t="str">
        <f>IF($A19="","",IF(I19=0,0,H19/I19))</f>
        <v/>
      </c>
      <c r="K19" s="74" t="str">
        <f>IF($A19="","",SUM(E19,H19))</f>
        <v/>
      </c>
      <c r="L19" s="62" t="str">
        <f>IF($A19="","",SUM(F19,I19))</f>
        <v/>
      </c>
      <c r="M19" s="70" t="str">
        <f>IF($A19="","",IF(L19=0,0,K19/L19))</f>
        <v/>
      </c>
      <c r="N19" s="69"/>
      <c r="O19" s="61"/>
      <c r="P19" s="70" t="str">
        <f>IF($A19="","",IF(O19=0,0,N19/O19))</f>
        <v/>
      </c>
      <c r="Q19" s="69"/>
      <c r="R19" s="61"/>
      <c r="S19" s="70" t="str">
        <f>IF($A19="","",IF(R19=0,0,Q19/R19))</f>
        <v/>
      </c>
      <c r="T19" s="69"/>
      <c r="U19" s="61"/>
      <c r="V19" s="70" t="str">
        <f>IF($A19="","",IF(U19=0,0,T19/U19))</f>
        <v/>
      </c>
      <c r="W19" s="74" t="str">
        <f>IF($A19="","",SUM(Q19,T19))</f>
        <v/>
      </c>
      <c r="X19" s="62" t="str">
        <f>IF($A19="","",SUM(R19,U19))</f>
        <v/>
      </c>
      <c r="Y19" s="70" t="str">
        <f>IF($A19="","",IF(X19=0,0,W19/X19))</f>
        <v/>
      </c>
      <c r="Z19" s="69"/>
      <c r="AA19" s="61"/>
      <c r="AB19" s="70" t="str">
        <f>IF($A19="","",IF(AA19=0,0,Z19/AA19))</f>
        <v/>
      </c>
      <c r="AC19" s="69"/>
      <c r="AD19" s="61"/>
      <c r="AE19" s="70" t="str">
        <f>IF($A19="","",IF(AD19=0,0,AC19/AD19))</f>
        <v/>
      </c>
      <c r="AF19" s="69"/>
      <c r="AG19" s="61"/>
      <c r="AH19" s="70" t="str">
        <f>IF($A19="","",IF(AG19=0,0,AF19/AG19))</f>
        <v/>
      </c>
      <c r="AI19" s="74" t="str">
        <f>IF($A19="","",SUM(AC19,AF19))</f>
        <v/>
      </c>
      <c r="AJ19" s="62" t="str">
        <f>IF($A19="","",SUM(AD19,AG19))</f>
        <v/>
      </c>
      <c r="AK19" s="70" t="str">
        <f>IF($A19="","",IF(AJ19=0,0,AI19/AJ19))</f>
        <v/>
      </c>
      <c r="AL19" s="69"/>
      <c r="AM19" s="61"/>
      <c r="AN19" s="70" t="str">
        <f>IF($A19="","",IF(AM19=0,0,AL19/AM19))</f>
        <v/>
      </c>
    </row>
    <row r="20" spans="1:46" ht="18" customHeight="1" x14ac:dyDescent="0.2">
      <c r="A20" s="77" t="str">
        <f>IF($C$9="Data Not Entered On Set-Up Worksheet","",IF(OR(VLOOKUP($C$9,County_Lookup_MC,3,FALSE)="",VLOOKUP($C$9,County_Lookup_MC,3,FALSE)=0),"",VLOOKUP($C$9,County_Lookup_MC,3,FALSE)))</f>
        <v/>
      </c>
      <c r="B20" s="69"/>
      <c r="C20" s="61"/>
      <c r="D20" s="70" t="str">
        <f t="shared" ref="D20:D43" si="3">IF($A20="","",IF(C20=0,0,B20/C20))</f>
        <v/>
      </c>
      <c r="E20" s="69"/>
      <c r="F20" s="61"/>
      <c r="G20" s="70" t="str">
        <f t="shared" ref="G20:G43" si="4">IF($A20="","",IF(F20=0,0,E20/F20))</f>
        <v/>
      </c>
      <c r="H20" s="69"/>
      <c r="I20" s="61"/>
      <c r="J20" s="70" t="str">
        <f t="shared" ref="J20:J43" si="5">IF($A20="","",IF(I20=0,0,H20/I20))</f>
        <v/>
      </c>
      <c r="K20" s="74" t="str">
        <f t="shared" ref="K20:K43" si="6">IF($A20="","",SUM(E20,H20))</f>
        <v/>
      </c>
      <c r="L20" s="62" t="str">
        <f t="shared" ref="L20:L43" si="7">IF($A20="","",SUM(F20,I20))</f>
        <v/>
      </c>
      <c r="M20" s="70" t="str">
        <f t="shared" ref="M20:M43" si="8">IF($A20="","",IF(L20=0,0,K20/L20))</f>
        <v/>
      </c>
      <c r="N20" s="69"/>
      <c r="O20" s="61"/>
      <c r="P20" s="70" t="str">
        <f t="shared" ref="P20:P43" si="9">IF($A20="","",IF(O20=0,0,N20/O20))</f>
        <v/>
      </c>
      <c r="Q20" s="69"/>
      <c r="R20" s="61"/>
      <c r="S20" s="70" t="str">
        <f t="shared" ref="S20:S43" si="10">IF($A20="","",IF(R20=0,0,Q20/R20))</f>
        <v/>
      </c>
      <c r="T20" s="69"/>
      <c r="U20" s="61"/>
      <c r="V20" s="70" t="str">
        <f t="shared" ref="V20:V43" si="11">IF($A20="","",IF(U20=0,0,T20/U20))</f>
        <v/>
      </c>
      <c r="W20" s="74" t="str">
        <f t="shared" ref="W20:W43" si="12">IF($A20="","",SUM(Q20,T20))</f>
        <v/>
      </c>
      <c r="X20" s="62" t="str">
        <f t="shared" ref="X20:X43" si="13">IF($A20="","",SUM(R20,U20))</f>
        <v/>
      </c>
      <c r="Y20" s="70" t="str">
        <f t="shared" ref="Y20:Y43" si="14">IF($A20="","",IF(X20=0,0,W20/X20))</f>
        <v/>
      </c>
      <c r="Z20" s="69"/>
      <c r="AA20" s="61"/>
      <c r="AB20" s="70" t="str">
        <f t="shared" ref="AB20:AB43" si="15">IF($A20="","",IF(AA20=0,0,Z20/AA20))</f>
        <v/>
      </c>
      <c r="AC20" s="69"/>
      <c r="AD20" s="61"/>
      <c r="AE20" s="70" t="str">
        <f t="shared" ref="AE20:AE43" si="16">IF($A20="","",IF(AD20=0,0,AC20/AD20))</f>
        <v/>
      </c>
      <c r="AF20" s="69"/>
      <c r="AG20" s="61"/>
      <c r="AH20" s="70" t="str">
        <f t="shared" ref="AH20:AH43" si="17">IF($A20="","",IF(AG20=0,0,AF20/AG20))</f>
        <v/>
      </c>
      <c r="AI20" s="74" t="str">
        <f t="shared" ref="AI20:AI43" si="18">IF($A20="","",SUM(AC20,AF20))</f>
        <v/>
      </c>
      <c r="AJ20" s="62" t="str">
        <f t="shared" ref="AJ20:AJ43" si="19">IF($A20="","",SUM(AD20,AG20))</f>
        <v/>
      </c>
      <c r="AK20" s="70" t="str">
        <f t="shared" ref="AK20:AK43" si="20">IF($A20="","",IF(AJ20=0,0,AI20/AJ20))</f>
        <v/>
      </c>
      <c r="AL20" s="69"/>
      <c r="AM20" s="61"/>
      <c r="AN20" s="70" t="str">
        <f t="shared" ref="AN20:AN43" si="21">IF($A20="","",IF(AM20=0,0,AL20/AM20))</f>
        <v/>
      </c>
    </row>
    <row r="21" spans="1:46" ht="18" customHeight="1" x14ac:dyDescent="0.2">
      <c r="A21" s="77" t="str">
        <f>IF($C$9="Data Not Entered On Set-Up Worksheet","",IF(OR(VLOOKUP($C$9,County_Lookup_MC,4,FALSE)="",VLOOKUP($C$9,County_Lookup_MC,4,FALSE)=0),"",VLOOKUP($C$9,County_Lookup_MC,4,FALSE)))</f>
        <v/>
      </c>
      <c r="B21" s="69"/>
      <c r="C21" s="61"/>
      <c r="D21" s="70" t="str">
        <f t="shared" si="3"/>
        <v/>
      </c>
      <c r="E21" s="69"/>
      <c r="F21" s="61"/>
      <c r="G21" s="70" t="str">
        <f t="shared" si="4"/>
        <v/>
      </c>
      <c r="H21" s="69"/>
      <c r="I21" s="61"/>
      <c r="J21" s="70" t="str">
        <f t="shared" si="5"/>
        <v/>
      </c>
      <c r="K21" s="74" t="str">
        <f t="shared" si="6"/>
        <v/>
      </c>
      <c r="L21" s="62" t="str">
        <f t="shared" si="7"/>
        <v/>
      </c>
      <c r="M21" s="70" t="str">
        <f t="shared" si="8"/>
        <v/>
      </c>
      <c r="N21" s="69"/>
      <c r="O21" s="61"/>
      <c r="P21" s="70" t="str">
        <f t="shared" si="9"/>
        <v/>
      </c>
      <c r="Q21" s="69"/>
      <c r="R21" s="61"/>
      <c r="S21" s="70" t="str">
        <f t="shared" si="10"/>
        <v/>
      </c>
      <c r="T21" s="69"/>
      <c r="U21" s="61"/>
      <c r="V21" s="70" t="str">
        <f t="shared" si="11"/>
        <v/>
      </c>
      <c r="W21" s="74" t="str">
        <f t="shared" si="12"/>
        <v/>
      </c>
      <c r="X21" s="62" t="str">
        <f t="shared" si="13"/>
        <v/>
      </c>
      <c r="Y21" s="70" t="str">
        <f t="shared" si="14"/>
        <v/>
      </c>
      <c r="Z21" s="69"/>
      <c r="AA21" s="61"/>
      <c r="AB21" s="70" t="str">
        <f t="shared" si="15"/>
        <v/>
      </c>
      <c r="AC21" s="69"/>
      <c r="AD21" s="61"/>
      <c r="AE21" s="70" t="str">
        <f t="shared" si="16"/>
        <v/>
      </c>
      <c r="AF21" s="69"/>
      <c r="AG21" s="61"/>
      <c r="AH21" s="70" t="str">
        <f t="shared" si="17"/>
        <v/>
      </c>
      <c r="AI21" s="74" t="str">
        <f t="shared" si="18"/>
        <v/>
      </c>
      <c r="AJ21" s="62" t="str">
        <f t="shared" si="19"/>
        <v/>
      </c>
      <c r="AK21" s="70" t="str">
        <f t="shared" si="20"/>
        <v/>
      </c>
      <c r="AL21" s="69"/>
      <c r="AM21" s="61"/>
      <c r="AN21" s="70" t="str">
        <f t="shared" si="21"/>
        <v/>
      </c>
    </row>
    <row r="22" spans="1:46" ht="18" customHeight="1" x14ac:dyDescent="0.2">
      <c r="A22" s="77" t="str">
        <f>IF($C$9="Data Not Entered On Set-Up Worksheet","",IF(OR(VLOOKUP($C$9,County_Lookup_MC,5,FALSE)="",VLOOKUP($C$9,County_Lookup_MC,5,FALSE)=0),"",VLOOKUP($C$9,County_Lookup_MC,5,FALSE)))</f>
        <v/>
      </c>
      <c r="B22" s="69"/>
      <c r="C22" s="61"/>
      <c r="D22" s="70" t="str">
        <f t="shared" si="3"/>
        <v/>
      </c>
      <c r="E22" s="69"/>
      <c r="F22" s="61"/>
      <c r="G22" s="70" t="str">
        <f t="shared" si="4"/>
        <v/>
      </c>
      <c r="H22" s="69"/>
      <c r="I22" s="61"/>
      <c r="J22" s="70" t="str">
        <f t="shared" si="5"/>
        <v/>
      </c>
      <c r="K22" s="74" t="str">
        <f t="shared" si="6"/>
        <v/>
      </c>
      <c r="L22" s="62" t="str">
        <f t="shared" si="7"/>
        <v/>
      </c>
      <c r="M22" s="70" t="str">
        <f t="shared" si="8"/>
        <v/>
      </c>
      <c r="N22" s="69"/>
      <c r="O22" s="61"/>
      <c r="P22" s="70" t="str">
        <f t="shared" si="9"/>
        <v/>
      </c>
      <c r="Q22" s="69"/>
      <c r="R22" s="61"/>
      <c r="S22" s="70" t="str">
        <f t="shared" si="10"/>
        <v/>
      </c>
      <c r="T22" s="69"/>
      <c r="U22" s="61"/>
      <c r="V22" s="70" t="str">
        <f t="shared" si="11"/>
        <v/>
      </c>
      <c r="W22" s="74" t="str">
        <f t="shared" si="12"/>
        <v/>
      </c>
      <c r="X22" s="62" t="str">
        <f t="shared" si="13"/>
        <v/>
      </c>
      <c r="Y22" s="70" t="str">
        <f t="shared" si="14"/>
        <v/>
      </c>
      <c r="Z22" s="69"/>
      <c r="AA22" s="61"/>
      <c r="AB22" s="70" t="str">
        <f t="shared" si="15"/>
        <v/>
      </c>
      <c r="AC22" s="69"/>
      <c r="AD22" s="61"/>
      <c r="AE22" s="70" t="str">
        <f t="shared" si="16"/>
        <v/>
      </c>
      <c r="AF22" s="69"/>
      <c r="AG22" s="61"/>
      <c r="AH22" s="70" t="str">
        <f t="shared" si="17"/>
        <v/>
      </c>
      <c r="AI22" s="74" t="str">
        <f t="shared" si="18"/>
        <v/>
      </c>
      <c r="AJ22" s="62" t="str">
        <f t="shared" si="19"/>
        <v/>
      </c>
      <c r="AK22" s="70" t="str">
        <f t="shared" si="20"/>
        <v/>
      </c>
      <c r="AL22" s="69"/>
      <c r="AM22" s="61"/>
      <c r="AN22" s="70" t="str">
        <f t="shared" si="21"/>
        <v/>
      </c>
    </row>
    <row r="23" spans="1:46" ht="18" customHeight="1" x14ac:dyDescent="0.2">
      <c r="A23" s="77" t="str">
        <f>IF($C$9="Data Not Entered On Set-Up Worksheet","",IF(OR(VLOOKUP($C$9,County_Lookup_MC,6,FALSE)="",VLOOKUP($C$9,County_Lookup_MC,6,FALSE)=0),"",VLOOKUP($C$9,County_Lookup_MC,6,FALSE)))</f>
        <v/>
      </c>
      <c r="B23" s="69"/>
      <c r="C23" s="61"/>
      <c r="D23" s="70" t="str">
        <f t="shared" si="3"/>
        <v/>
      </c>
      <c r="E23" s="69"/>
      <c r="F23" s="61"/>
      <c r="G23" s="70" t="str">
        <f t="shared" si="4"/>
        <v/>
      </c>
      <c r="H23" s="69"/>
      <c r="I23" s="61"/>
      <c r="J23" s="70" t="str">
        <f t="shared" si="5"/>
        <v/>
      </c>
      <c r="K23" s="74" t="str">
        <f t="shared" si="6"/>
        <v/>
      </c>
      <c r="L23" s="62" t="str">
        <f t="shared" si="7"/>
        <v/>
      </c>
      <c r="M23" s="70" t="str">
        <f t="shared" si="8"/>
        <v/>
      </c>
      <c r="N23" s="69"/>
      <c r="O23" s="61"/>
      <c r="P23" s="70" t="str">
        <f t="shared" si="9"/>
        <v/>
      </c>
      <c r="Q23" s="69"/>
      <c r="R23" s="61"/>
      <c r="S23" s="70" t="str">
        <f t="shared" si="10"/>
        <v/>
      </c>
      <c r="T23" s="69"/>
      <c r="U23" s="61"/>
      <c r="V23" s="70" t="str">
        <f t="shared" si="11"/>
        <v/>
      </c>
      <c r="W23" s="74" t="str">
        <f t="shared" si="12"/>
        <v/>
      </c>
      <c r="X23" s="62" t="str">
        <f t="shared" si="13"/>
        <v/>
      </c>
      <c r="Y23" s="70" t="str">
        <f t="shared" si="14"/>
        <v/>
      </c>
      <c r="Z23" s="69"/>
      <c r="AA23" s="61"/>
      <c r="AB23" s="70" t="str">
        <f t="shared" si="15"/>
        <v/>
      </c>
      <c r="AC23" s="69"/>
      <c r="AD23" s="61"/>
      <c r="AE23" s="70" t="str">
        <f t="shared" si="16"/>
        <v/>
      </c>
      <c r="AF23" s="69"/>
      <c r="AG23" s="61"/>
      <c r="AH23" s="70" t="str">
        <f t="shared" si="17"/>
        <v/>
      </c>
      <c r="AI23" s="74" t="str">
        <f t="shared" si="18"/>
        <v/>
      </c>
      <c r="AJ23" s="62" t="str">
        <f t="shared" si="19"/>
        <v/>
      </c>
      <c r="AK23" s="70" t="str">
        <f t="shared" si="20"/>
        <v/>
      </c>
      <c r="AL23" s="69"/>
      <c r="AM23" s="61"/>
      <c r="AN23" s="70" t="str">
        <f t="shared" si="21"/>
        <v/>
      </c>
    </row>
    <row r="24" spans="1:46" ht="18" customHeight="1" x14ac:dyDescent="0.2">
      <c r="A24" s="77" t="str">
        <f>IF($C$9="Data Not Entered On Set-Up Worksheet","",IF(OR(VLOOKUP($C$9,County_Lookup_MC,7,FALSE)="",VLOOKUP($C$9,County_Lookup_MC,7,FALSE)=0),"",VLOOKUP($C$9,County_Lookup_MC,7,FALSE)))</f>
        <v/>
      </c>
      <c r="B24" s="69"/>
      <c r="C24" s="61"/>
      <c r="D24" s="70" t="str">
        <f t="shared" si="3"/>
        <v/>
      </c>
      <c r="E24" s="69"/>
      <c r="F24" s="61"/>
      <c r="G24" s="70" t="str">
        <f t="shared" si="4"/>
        <v/>
      </c>
      <c r="H24" s="69"/>
      <c r="I24" s="61"/>
      <c r="J24" s="70" t="str">
        <f t="shared" si="5"/>
        <v/>
      </c>
      <c r="K24" s="74" t="str">
        <f t="shared" si="6"/>
        <v/>
      </c>
      <c r="L24" s="62" t="str">
        <f t="shared" si="7"/>
        <v/>
      </c>
      <c r="M24" s="70" t="str">
        <f t="shared" si="8"/>
        <v/>
      </c>
      <c r="N24" s="69"/>
      <c r="O24" s="61"/>
      <c r="P24" s="70" t="str">
        <f t="shared" si="9"/>
        <v/>
      </c>
      <c r="Q24" s="69"/>
      <c r="R24" s="61"/>
      <c r="S24" s="70" t="str">
        <f t="shared" si="10"/>
        <v/>
      </c>
      <c r="T24" s="69"/>
      <c r="U24" s="61"/>
      <c r="V24" s="70" t="str">
        <f t="shared" si="11"/>
        <v/>
      </c>
      <c r="W24" s="74" t="str">
        <f t="shared" si="12"/>
        <v/>
      </c>
      <c r="X24" s="62" t="str">
        <f t="shared" si="13"/>
        <v/>
      </c>
      <c r="Y24" s="70" t="str">
        <f t="shared" si="14"/>
        <v/>
      </c>
      <c r="Z24" s="69"/>
      <c r="AA24" s="61"/>
      <c r="AB24" s="70" t="str">
        <f t="shared" si="15"/>
        <v/>
      </c>
      <c r="AC24" s="69"/>
      <c r="AD24" s="61"/>
      <c r="AE24" s="70" t="str">
        <f t="shared" si="16"/>
        <v/>
      </c>
      <c r="AF24" s="69"/>
      <c r="AG24" s="61"/>
      <c r="AH24" s="70" t="str">
        <f t="shared" si="17"/>
        <v/>
      </c>
      <c r="AI24" s="74" t="str">
        <f t="shared" si="18"/>
        <v/>
      </c>
      <c r="AJ24" s="62" t="str">
        <f t="shared" si="19"/>
        <v/>
      </c>
      <c r="AK24" s="70" t="str">
        <f t="shared" si="20"/>
        <v/>
      </c>
      <c r="AL24" s="69"/>
      <c r="AM24" s="61"/>
      <c r="AN24" s="70" t="str">
        <f t="shared" si="21"/>
        <v/>
      </c>
    </row>
    <row r="25" spans="1:46" ht="18" customHeight="1" x14ac:dyDescent="0.2">
      <c r="A25" s="76" t="str">
        <f>IF($C$9="Data Not Entered On Set-Up Worksheet","",IF(OR(VLOOKUP($C$9,County_Lookup_MC,8,FALSE)="",VLOOKUP($C$9,County_Lookup_MC,8,FALSE)=0),"",VLOOKUP($C$9,County_Lookup_MC,8,FALSE)))</f>
        <v/>
      </c>
      <c r="B25" s="69"/>
      <c r="C25" s="61"/>
      <c r="D25" s="70" t="str">
        <f t="shared" si="3"/>
        <v/>
      </c>
      <c r="E25" s="69"/>
      <c r="F25" s="61"/>
      <c r="G25" s="70" t="str">
        <f t="shared" si="4"/>
        <v/>
      </c>
      <c r="H25" s="69"/>
      <c r="I25" s="61"/>
      <c r="J25" s="70" t="str">
        <f t="shared" si="5"/>
        <v/>
      </c>
      <c r="K25" s="74" t="str">
        <f t="shared" si="6"/>
        <v/>
      </c>
      <c r="L25" s="62" t="str">
        <f t="shared" si="7"/>
        <v/>
      </c>
      <c r="M25" s="70" t="str">
        <f t="shared" si="8"/>
        <v/>
      </c>
      <c r="N25" s="69"/>
      <c r="O25" s="61"/>
      <c r="P25" s="70" t="str">
        <f t="shared" si="9"/>
        <v/>
      </c>
      <c r="Q25" s="69"/>
      <c r="R25" s="61"/>
      <c r="S25" s="70" t="str">
        <f t="shared" si="10"/>
        <v/>
      </c>
      <c r="T25" s="69"/>
      <c r="U25" s="61"/>
      <c r="V25" s="70" t="str">
        <f t="shared" si="11"/>
        <v/>
      </c>
      <c r="W25" s="74" t="str">
        <f t="shared" si="12"/>
        <v/>
      </c>
      <c r="X25" s="62" t="str">
        <f t="shared" si="13"/>
        <v/>
      </c>
      <c r="Y25" s="70" t="str">
        <f t="shared" si="14"/>
        <v/>
      </c>
      <c r="Z25" s="69"/>
      <c r="AA25" s="61"/>
      <c r="AB25" s="70" t="str">
        <f t="shared" si="15"/>
        <v/>
      </c>
      <c r="AC25" s="69"/>
      <c r="AD25" s="61"/>
      <c r="AE25" s="70" t="str">
        <f t="shared" si="16"/>
        <v/>
      </c>
      <c r="AF25" s="69"/>
      <c r="AG25" s="61"/>
      <c r="AH25" s="70" t="str">
        <f t="shared" si="17"/>
        <v/>
      </c>
      <c r="AI25" s="74" t="str">
        <f t="shared" si="18"/>
        <v/>
      </c>
      <c r="AJ25" s="62" t="str">
        <f t="shared" si="19"/>
        <v/>
      </c>
      <c r="AK25" s="70" t="str">
        <f t="shared" si="20"/>
        <v/>
      </c>
      <c r="AL25" s="69"/>
      <c r="AM25" s="61"/>
      <c r="AN25" s="70" t="str">
        <f t="shared" si="21"/>
        <v/>
      </c>
    </row>
    <row r="26" spans="1:46" ht="18" customHeight="1" x14ac:dyDescent="0.2">
      <c r="A26" s="77" t="str">
        <f>IF($C$9="Data Not Entered On Set-Up Worksheet","",IF(OR(VLOOKUP($C$9,County_Lookup_MC,9,FALSE)="",VLOOKUP($C$9,County_Lookup_MC,9,FALSE)=0),"",VLOOKUP($C$9,County_Lookup_MC,9,FALSE)))</f>
        <v/>
      </c>
      <c r="B26" s="69"/>
      <c r="C26" s="61"/>
      <c r="D26" s="70" t="str">
        <f t="shared" si="3"/>
        <v/>
      </c>
      <c r="E26" s="69"/>
      <c r="F26" s="61"/>
      <c r="G26" s="70" t="str">
        <f t="shared" si="4"/>
        <v/>
      </c>
      <c r="H26" s="69"/>
      <c r="I26" s="61"/>
      <c r="J26" s="70" t="str">
        <f t="shared" si="5"/>
        <v/>
      </c>
      <c r="K26" s="74" t="str">
        <f t="shared" si="6"/>
        <v/>
      </c>
      <c r="L26" s="62" t="str">
        <f t="shared" si="7"/>
        <v/>
      </c>
      <c r="M26" s="70" t="str">
        <f t="shared" si="8"/>
        <v/>
      </c>
      <c r="N26" s="69"/>
      <c r="O26" s="61"/>
      <c r="P26" s="70" t="str">
        <f t="shared" si="9"/>
        <v/>
      </c>
      <c r="Q26" s="69"/>
      <c r="R26" s="61"/>
      <c r="S26" s="70" t="str">
        <f t="shared" si="10"/>
        <v/>
      </c>
      <c r="T26" s="69"/>
      <c r="U26" s="61"/>
      <c r="V26" s="70" t="str">
        <f t="shared" si="11"/>
        <v/>
      </c>
      <c r="W26" s="74" t="str">
        <f t="shared" si="12"/>
        <v/>
      </c>
      <c r="X26" s="62" t="str">
        <f t="shared" si="13"/>
        <v/>
      </c>
      <c r="Y26" s="70" t="str">
        <f t="shared" si="14"/>
        <v/>
      </c>
      <c r="Z26" s="69"/>
      <c r="AA26" s="61"/>
      <c r="AB26" s="70" t="str">
        <f t="shared" si="15"/>
        <v/>
      </c>
      <c r="AC26" s="69"/>
      <c r="AD26" s="61"/>
      <c r="AE26" s="70" t="str">
        <f t="shared" si="16"/>
        <v/>
      </c>
      <c r="AF26" s="69"/>
      <c r="AG26" s="61"/>
      <c r="AH26" s="70" t="str">
        <f t="shared" si="17"/>
        <v/>
      </c>
      <c r="AI26" s="74" t="str">
        <f t="shared" si="18"/>
        <v/>
      </c>
      <c r="AJ26" s="62" t="str">
        <f t="shared" si="19"/>
        <v/>
      </c>
      <c r="AK26" s="70" t="str">
        <f t="shared" si="20"/>
        <v/>
      </c>
      <c r="AL26" s="69"/>
      <c r="AM26" s="61"/>
      <c r="AN26" s="70" t="str">
        <f t="shared" si="21"/>
        <v/>
      </c>
    </row>
    <row r="27" spans="1:46" ht="18" customHeight="1" x14ac:dyDescent="0.2">
      <c r="A27" s="77" t="str">
        <f>IF($C$9="Data Not Entered On Set-Up Worksheet","",IF(OR(VLOOKUP($C$9,County_Lookup_MC,10,FALSE)="",VLOOKUP($C$9,County_Lookup_MC,10,FALSE)=0),"",VLOOKUP($C$9,County_Lookup_MC,10,FALSE)))</f>
        <v/>
      </c>
      <c r="B27" s="69"/>
      <c r="C27" s="61"/>
      <c r="D27" s="70" t="str">
        <f t="shared" si="3"/>
        <v/>
      </c>
      <c r="E27" s="69"/>
      <c r="F27" s="61"/>
      <c r="G27" s="70" t="str">
        <f t="shared" si="4"/>
        <v/>
      </c>
      <c r="H27" s="69"/>
      <c r="I27" s="61"/>
      <c r="J27" s="70" t="str">
        <f t="shared" si="5"/>
        <v/>
      </c>
      <c r="K27" s="74" t="str">
        <f t="shared" si="6"/>
        <v/>
      </c>
      <c r="L27" s="62" t="str">
        <f t="shared" si="7"/>
        <v/>
      </c>
      <c r="M27" s="70" t="str">
        <f t="shared" si="8"/>
        <v/>
      </c>
      <c r="N27" s="69"/>
      <c r="O27" s="61"/>
      <c r="P27" s="70" t="str">
        <f t="shared" si="9"/>
        <v/>
      </c>
      <c r="Q27" s="69"/>
      <c r="R27" s="61"/>
      <c r="S27" s="70" t="str">
        <f t="shared" si="10"/>
        <v/>
      </c>
      <c r="T27" s="69"/>
      <c r="U27" s="61"/>
      <c r="V27" s="70" t="str">
        <f t="shared" si="11"/>
        <v/>
      </c>
      <c r="W27" s="74" t="str">
        <f t="shared" si="12"/>
        <v/>
      </c>
      <c r="X27" s="62" t="str">
        <f t="shared" si="13"/>
        <v/>
      </c>
      <c r="Y27" s="70" t="str">
        <f t="shared" si="14"/>
        <v/>
      </c>
      <c r="Z27" s="69"/>
      <c r="AA27" s="61"/>
      <c r="AB27" s="70" t="str">
        <f t="shared" si="15"/>
        <v/>
      </c>
      <c r="AC27" s="69"/>
      <c r="AD27" s="61"/>
      <c r="AE27" s="70" t="str">
        <f t="shared" si="16"/>
        <v/>
      </c>
      <c r="AF27" s="69"/>
      <c r="AG27" s="61"/>
      <c r="AH27" s="70" t="str">
        <f t="shared" si="17"/>
        <v/>
      </c>
      <c r="AI27" s="74" t="str">
        <f t="shared" si="18"/>
        <v/>
      </c>
      <c r="AJ27" s="62" t="str">
        <f t="shared" si="19"/>
        <v/>
      </c>
      <c r="AK27" s="70" t="str">
        <f t="shared" si="20"/>
        <v/>
      </c>
      <c r="AL27" s="69"/>
      <c r="AM27" s="61"/>
      <c r="AN27" s="70" t="str">
        <f t="shared" si="21"/>
        <v/>
      </c>
    </row>
    <row r="28" spans="1:46" ht="18" customHeight="1" x14ac:dyDescent="0.2">
      <c r="A28" s="77" t="str">
        <f>IF($C$9="Data Not Entered On Set-Up Worksheet","",IF(OR(VLOOKUP($C$9,County_Lookup_MC,11,FALSE)="",VLOOKUP($C$9,County_Lookup_MC,11,FALSE)=0),"",VLOOKUP($C$9,County_Lookup_MC,11,FALSE)))</f>
        <v/>
      </c>
      <c r="B28" s="69"/>
      <c r="C28" s="61"/>
      <c r="D28" s="70" t="str">
        <f t="shared" si="3"/>
        <v/>
      </c>
      <c r="E28" s="69"/>
      <c r="F28" s="61"/>
      <c r="G28" s="70" t="str">
        <f t="shared" si="4"/>
        <v/>
      </c>
      <c r="H28" s="69"/>
      <c r="I28" s="61"/>
      <c r="J28" s="70" t="str">
        <f t="shared" si="5"/>
        <v/>
      </c>
      <c r="K28" s="74" t="str">
        <f t="shared" si="6"/>
        <v/>
      </c>
      <c r="L28" s="62" t="str">
        <f t="shared" si="7"/>
        <v/>
      </c>
      <c r="M28" s="70" t="str">
        <f t="shared" si="8"/>
        <v/>
      </c>
      <c r="N28" s="69"/>
      <c r="O28" s="61"/>
      <c r="P28" s="70" t="str">
        <f t="shared" si="9"/>
        <v/>
      </c>
      <c r="Q28" s="69"/>
      <c r="R28" s="61"/>
      <c r="S28" s="70" t="str">
        <f t="shared" si="10"/>
        <v/>
      </c>
      <c r="T28" s="69"/>
      <c r="U28" s="61"/>
      <c r="V28" s="70" t="str">
        <f t="shared" si="11"/>
        <v/>
      </c>
      <c r="W28" s="74" t="str">
        <f t="shared" si="12"/>
        <v/>
      </c>
      <c r="X28" s="62" t="str">
        <f t="shared" si="13"/>
        <v/>
      </c>
      <c r="Y28" s="70" t="str">
        <f t="shared" si="14"/>
        <v/>
      </c>
      <c r="Z28" s="69"/>
      <c r="AA28" s="61"/>
      <c r="AB28" s="70" t="str">
        <f t="shared" si="15"/>
        <v/>
      </c>
      <c r="AC28" s="69"/>
      <c r="AD28" s="61"/>
      <c r="AE28" s="70" t="str">
        <f t="shared" si="16"/>
        <v/>
      </c>
      <c r="AF28" s="69"/>
      <c r="AG28" s="61"/>
      <c r="AH28" s="70" t="str">
        <f t="shared" si="17"/>
        <v/>
      </c>
      <c r="AI28" s="74" t="str">
        <f t="shared" si="18"/>
        <v/>
      </c>
      <c r="AJ28" s="62" t="str">
        <f t="shared" si="19"/>
        <v/>
      </c>
      <c r="AK28" s="70" t="str">
        <f t="shared" si="20"/>
        <v/>
      </c>
      <c r="AL28" s="69"/>
      <c r="AM28" s="61"/>
      <c r="AN28" s="70" t="str">
        <f t="shared" si="21"/>
        <v/>
      </c>
    </row>
    <row r="29" spans="1:46" ht="18" customHeight="1" x14ac:dyDescent="0.2">
      <c r="A29" s="77" t="str">
        <f>IF($C$9="Data Not Entered On Set-Up Worksheet","",IF(OR(VLOOKUP($C$9,County_Lookup_MC,12,FALSE)="",VLOOKUP($C$9,County_Lookup_MC,12,FALSE)=0),"",VLOOKUP($C$9,County_Lookup_MC,12,FALSE)))</f>
        <v/>
      </c>
      <c r="B29" s="69"/>
      <c r="C29" s="61"/>
      <c r="D29" s="70" t="str">
        <f t="shared" si="3"/>
        <v/>
      </c>
      <c r="E29" s="69"/>
      <c r="F29" s="61"/>
      <c r="G29" s="70" t="str">
        <f t="shared" si="4"/>
        <v/>
      </c>
      <c r="H29" s="69"/>
      <c r="I29" s="61"/>
      <c r="J29" s="70" t="str">
        <f t="shared" si="5"/>
        <v/>
      </c>
      <c r="K29" s="74" t="str">
        <f t="shared" si="6"/>
        <v/>
      </c>
      <c r="L29" s="62" t="str">
        <f t="shared" si="7"/>
        <v/>
      </c>
      <c r="M29" s="70" t="str">
        <f t="shared" si="8"/>
        <v/>
      </c>
      <c r="N29" s="69"/>
      <c r="O29" s="61"/>
      <c r="P29" s="70" t="str">
        <f t="shared" si="9"/>
        <v/>
      </c>
      <c r="Q29" s="69"/>
      <c r="R29" s="61"/>
      <c r="S29" s="70" t="str">
        <f t="shared" si="10"/>
        <v/>
      </c>
      <c r="T29" s="69"/>
      <c r="U29" s="61"/>
      <c r="V29" s="70" t="str">
        <f t="shared" si="11"/>
        <v/>
      </c>
      <c r="W29" s="74" t="str">
        <f t="shared" si="12"/>
        <v/>
      </c>
      <c r="X29" s="62" t="str">
        <f t="shared" si="13"/>
        <v/>
      </c>
      <c r="Y29" s="70" t="str">
        <f t="shared" si="14"/>
        <v/>
      </c>
      <c r="Z29" s="69"/>
      <c r="AA29" s="61"/>
      <c r="AB29" s="70" t="str">
        <f t="shared" si="15"/>
        <v/>
      </c>
      <c r="AC29" s="69"/>
      <c r="AD29" s="61"/>
      <c r="AE29" s="70" t="str">
        <f t="shared" si="16"/>
        <v/>
      </c>
      <c r="AF29" s="69"/>
      <c r="AG29" s="61"/>
      <c r="AH29" s="70" t="str">
        <f t="shared" si="17"/>
        <v/>
      </c>
      <c r="AI29" s="74" t="str">
        <f t="shared" si="18"/>
        <v/>
      </c>
      <c r="AJ29" s="62" t="str">
        <f t="shared" si="19"/>
        <v/>
      </c>
      <c r="AK29" s="70" t="str">
        <f t="shared" si="20"/>
        <v/>
      </c>
      <c r="AL29" s="69"/>
      <c r="AM29" s="61"/>
      <c r="AN29" s="70" t="str">
        <f t="shared" si="21"/>
        <v/>
      </c>
    </row>
    <row r="30" spans="1:46" ht="18" customHeight="1" x14ac:dyDescent="0.2">
      <c r="A30" s="77" t="str">
        <f>IF($C$9="Data Not Entered On Set-Up Worksheet","",IF(OR(VLOOKUP($C$9,County_Lookup_MC,13,FALSE)="",VLOOKUP($C$9,County_Lookup_MC,13,FALSE)=0),"",VLOOKUP($C$9,County_Lookup_MC,13,FALSE)))</f>
        <v/>
      </c>
      <c r="B30" s="69"/>
      <c r="C30" s="61"/>
      <c r="D30" s="70" t="str">
        <f t="shared" si="3"/>
        <v/>
      </c>
      <c r="E30" s="69"/>
      <c r="F30" s="61"/>
      <c r="G30" s="70" t="str">
        <f t="shared" si="4"/>
        <v/>
      </c>
      <c r="H30" s="69"/>
      <c r="I30" s="61"/>
      <c r="J30" s="70" t="str">
        <f t="shared" si="5"/>
        <v/>
      </c>
      <c r="K30" s="74" t="str">
        <f t="shared" si="6"/>
        <v/>
      </c>
      <c r="L30" s="62" t="str">
        <f t="shared" si="7"/>
        <v/>
      </c>
      <c r="M30" s="70" t="str">
        <f t="shared" si="8"/>
        <v/>
      </c>
      <c r="N30" s="69"/>
      <c r="O30" s="61"/>
      <c r="P30" s="70" t="str">
        <f t="shared" si="9"/>
        <v/>
      </c>
      <c r="Q30" s="69"/>
      <c r="R30" s="61"/>
      <c r="S30" s="70" t="str">
        <f t="shared" si="10"/>
        <v/>
      </c>
      <c r="T30" s="69"/>
      <c r="U30" s="61"/>
      <c r="V30" s="70" t="str">
        <f t="shared" si="11"/>
        <v/>
      </c>
      <c r="W30" s="74" t="str">
        <f t="shared" si="12"/>
        <v/>
      </c>
      <c r="X30" s="62" t="str">
        <f t="shared" si="13"/>
        <v/>
      </c>
      <c r="Y30" s="70" t="str">
        <f t="shared" si="14"/>
        <v/>
      </c>
      <c r="Z30" s="69"/>
      <c r="AA30" s="61"/>
      <c r="AB30" s="70" t="str">
        <f t="shared" si="15"/>
        <v/>
      </c>
      <c r="AC30" s="69"/>
      <c r="AD30" s="61"/>
      <c r="AE30" s="70" t="str">
        <f t="shared" si="16"/>
        <v/>
      </c>
      <c r="AF30" s="69"/>
      <c r="AG30" s="61"/>
      <c r="AH30" s="70" t="str">
        <f t="shared" si="17"/>
        <v/>
      </c>
      <c r="AI30" s="74" t="str">
        <f t="shared" si="18"/>
        <v/>
      </c>
      <c r="AJ30" s="62" t="str">
        <f t="shared" si="19"/>
        <v/>
      </c>
      <c r="AK30" s="70" t="str">
        <f t="shared" si="20"/>
        <v/>
      </c>
      <c r="AL30" s="69"/>
      <c r="AM30" s="61"/>
      <c r="AN30" s="70" t="str">
        <f t="shared" si="21"/>
        <v/>
      </c>
    </row>
    <row r="31" spans="1:46" ht="18" customHeight="1" x14ac:dyDescent="0.2">
      <c r="A31" s="77" t="str">
        <f>IF($C$9="Data Not Entered On Set-Up Worksheet","",IF(OR(VLOOKUP($C$9,County_Lookup_MC,14,FALSE)="",VLOOKUP($C$9,County_Lookup_MC,14,FALSE)=0),"",VLOOKUP($C$9,County_Lookup_MC,14,FALSE)))</f>
        <v/>
      </c>
      <c r="B31" s="69"/>
      <c r="C31" s="61"/>
      <c r="D31" s="70" t="str">
        <f t="shared" si="3"/>
        <v/>
      </c>
      <c r="E31" s="69"/>
      <c r="F31" s="61"/>
      <c r="G31" s="70" t="str">
        <f t="shared" si="4"/>
        <v/>
      </c>
      <c r="H31" s="69"/>
      <c r="I31" s="61"/>
      <c r="J31" s="70" t="str">
        <f t="shared" si="5"/>
        <v/>
      </c>
      <c r="K31" s="74" t="str">
        <f t="shared" si="6"/>
        <v/>
      </c>
      <c r="L31" s="62" t="str">
        <f t="shared" si="7"/>
        <v/>
      </c>
      <c r="M31" s="70" t="str">
        <f t="shared" si="8"/>
        <v/>
      </c>
      <c r="N31" s="69"/>
      <c r="O31" s="61"/>
      <c r="P31" s="70" t="str">
        <f t="shared" si="9"/>
        <v/>
      </c>
      <c r="Q31" s="69"/>
      <c r="R31" s="61"/>
      <c r="S31" s="70" t="str">
        <f t="shared" si="10"/>
        <v/>
      </c>
      <c r="T31" s="69"/>
      <c r="U31" s="61"/>
      <c r="V31" s="70" t="str">
        <f t="shared" si="11"/>
        <v/>
      </c>
      <c r="W31" s="74" t="str">
        <f t="shared" si="12"/>
        <v/>
      </c>
      <c r="X31" s="62" t="str">
        <f t="shared" si="13"/>
        <v/>
      </c>
      <c r="Y31" s="70" t="str">
        <f t="shared" si="14"/>
        <v/>
      </c>
      <c r="Z31" s="69"/>
      <c r="AA31" s="61"/>
      <c r="AB31" s="70" t="str">
        <f t="shared" si="15"/>
        <v/>
      </c>
      <c r="AC31" s="69"/>
      <c r="AD31" s="61"/>
      <c r="AE31" s="70" t="str">
        <f t="shared" si="16"/>
        <v/>
      </c>
      <c r="AF31" s="69"/>
      <c r="AG31" s="61"/>
      <c r="AH31" s="70" t="str">
        <f t="shared" si="17"/>
        <v/>
      </c>
      <c r="AI31" s="74" t="str">
        <f t="shared" si="18"/>
        <v/>
      </c>
      <c r="AJ31" s="62" t="str">
        <f t="shared" si="19"/>
        <v/>
      </c>
      <c r="AK31" s="70" t="str">
        <f t="shared" si="20"/>
        <v/>
      </c>
      <c r="AL31" s="69"/>
      <c r="AM31" s="61"/>
      <c r="AN31" s="70" t="str">
        <f t="shared" si="21"/>
        <v/>
      </c>
    </row>
    <row r="32" spans="1:46" ht="18" customHeight="1" x14ac:dyDescent="0.2">
      <c r="A32" s="76" t="str">
        <f>IF($C$9="Data Not Entered On Set-Up Worksheet","",IF(OR(VLOOKUP($C$9,County_Lookup_MC,15,FALSE)="",VLOOKUP($C$9,County_Lookup_MC,15,FALSE)=0),"",VLOOKUP($C$9,County_Lookup_MC,15,FALSE)))</f>
        <v/>
      </c>
      <c r="B32" s="69"/>
      <c r="C32" s="61"/>
      <c r="D32" s="70" t="str">
        <f t="shared" si="3"/>
        <v/>
      </c>
      <c r="E32" s="69"/>
      <c r="F32" s="61"/>
      <c r="G32" s="70" t="str">
        <f t="shared" si="4"/>
        <v/>
      </c>
      <c r="H32" s="69"/>
      <c r="I32" s="61"/>
      <c r="J32" s="70" t="str">
        <f t="shared" si="5"/>
        <v/>
      </c>
      <c r="K32" s="74" t="str">
        <f t="shared" si="6"/>
        <v/>
      </c>
      <c r="L32" s="62" t="str">
        <f t="shared" si="7"/>
        <v/>
      </c>
      <c r="M32" s="70" t="str">
        <f t="shared" si="8"/>
        <v/>
      </c>
      <c r="N32" s="69"/>
      <c r="O32" s="61"/>
      <c r="P32" s="70" t="str">
        <f t="shared" si="9"/>
        <v/>
      </c>
      <c r="Q32" s="69"/>
      <c r="R32" s="61"/>
      <c r="S32" s="70" t="str">
        <f t="shared" si="10"/>
        <v/>
      </c>
      <c r="T32" s="69"/>
      <c r="U32" s="61"/>
      <c r="V32" s="70" t="str">
        <f t="shared" si="11"/>
        <v/>
      </c>
      <c r="W32" s="74" t="str">
        <f t="shared" si="12"/>
        <v/>
      </c>
      <c r="X32" s="62" t="str">
        <f t="shared" si="13"/>
        <v/>
      </c>
      <c r="Y32" s="70" t="str">
        <f t="shared" si="14"/>
        <v/>
      </c>
      <c r="Z32" s="69"/>
      <c r="AA32" s="61"/>
      <c r="AB32" s="70" t="str">
        <f t="shared" si="15"/>
        <v/>
      </c>
      <c r="AC32" s="69"/>
      <c r="AD32" s="61"/>
      <c r="AE32" s="70" t="str">
        <f t="shared" si="16"/>
        <v/>
      </c>
      <c r="AF32" s="69"/>
      <c r="AG32" s="61"/>
      <c r="AH32" s="70" t="str">
        <f t="shared" si="17"/>
        <v/>
      </c>
      <c r="AI32" s="74" t="str">
        <f t="shared" si="18"/>
        <v/>
      </c>
      <c r="AJ32" s="62" t="str">
        <f t="shared" si="19"/>
        <v/>
      </c>
      <c r="AK32" s="70" t="str">
        <f t="shared" si="20"/>
        <v/>
      </c>
      <c r="AL32" s="69"/>
      <c r="AM32" s="61"/>
      <c r="AN32" s="70" t="str">
        <f t="shared" si="21"/>
        <v/>
      </c>
    </row>
    <row r="33" spans="1:40" ht="18" customHeight="1" x14ac:dyDescent="0.2">
      <c r="A33" s="77" t="str">
        <f>IF($C$9="Data Not Entered On Set-Up Worksheet","",IF(OR(VLOOKUP($C$9,County_Lookup_MC,16,FALSE)="",VLOOKUP($C$9,County_Lookup_MC,16,FALSE)=0),"",VLOOKUP($C$9,County_Lookup_MC,16,FALSE)))</f>
        <v/>
      </c>
      <c r="B33" s="69"/>
      <c r="C33" s="61"/>
      <c r="D33" s="70" t="str">
        <f t="shared" si="3"/>
        <v/>
      </c>
      <c r="E33" s="69"/>
      <c r="F33" s="61"/>
      <c r="G33" s="70" t="str">
        <f t="shared" si="4"/>
        <v/>
      </c>
      <c r="H33" s="69"/>
      <c r="I33" s="61"/>
      <c r="J33" s="70" t="str">
        <f t="shared" si="5"/>
        <v/>
      </c>
      <c r="K33" s="74" t="str">
        <f t="shared" si="6"/>
        <v/>
      </c>
      <c r="L33" s="62" t="str">
        <f t="shared" si="7"/>
        <v/>
      </c>
      <c r="M33" s="70" t="str">
        <f t="shared" si="8"/>
        <v/>
      </c>
      <c r="N33" s="69"/>
      <c r="O33" s="61"/>
      <c r="P33" s="70" t="str">
        <f t="shared" si="9"/>
        <v/>
      </c>
      <c r="Q33" s="69"/>
      <c r="R33" s="61"/>
      <c r="S33" s="70" t="str">
        <f t="shared" si="10"/>
        <v/>
      </c>
      <c r="T33" s="69"/>
      <c r="U33" s="61"/>
      <c r="V33" s="70" t="str">
        <f t="shared" si="11"/>
        <v/>
      </c>
      <c r="W33" s="74" t="str">
        <f t="shared" si="12"/>
        <v/>
      </c>
      <c r="X33" s="62" t="str">
        <f t="shared" si="13"/>
        <v/>
      </c>
      <c r="Y33" s="70" t="str">
        <f t="shared" si="14"/>
        <v/>
      </c>
      <c r="Z33" s="69"/>
      <c r="AA33" s="61"/>
      <c r="AB33" s="70" t="str">
        <f t="shared" si="15"/>
        <v/>
      </c>
      <c r="AC33" s="69"/>
      <c r="AD33" s="61"/>
      <c r="AE33" s="70" t="str">
        <f t="shared" si="16"/>
        <v/>
      </c>
      <c r="AF33" s="69"/>
      <c r="AG33" s="61"/>
      <c r="AH33" s="70" t="str">
        <f t="shared" si="17"/>
        <v/>
      </c>
      <c r="AI33" s="74" t="str">
        <f t="shared" si="18"/>
        <v/>
      </c>
      <c r="AJ33" s="62" t="str">
        <f t="shared" si="19"/>
        <v/>
      </c>
      <c r="AK33" s="70" t="str">
        <f t="shared" si="20"/>
        <v/>
      </c>
      <c r="AL33" s="69"/>
      <c r="AM33" s="61"/>
      <c r="AN33" s="70" t="str">
        <f t="shared" si="21"/>
        <v/>
      </c>
    </row>
    <row r="34" spans="1:40" ht="18" customHeight="1" x14ac:dyDescent="0.2">
      <c r="A34" s="77" t="str">
        <f>IF($C$9="Data Not Entered On Set-Up Worksheet","",IF(OR(VLOOKUP($C$9,County_Lookup_MC,17,FALSE)="",VLOOKUP($C$9,County_Lookup_MC,17,FALSE)=0),"",VLOOKUP($C$9,County_Lookup_MC,17,FALSE)))</f>
        <v/>
      </c>
      <c r="B34" s="69"/>
      <c r="C34" s="61"/>
      <c r="D34" s="70" t="str">
        <f t="shared" si="3"/>
        <v/>
      </c>
      <c r="E34" s="69"/>
      <c r="F34" s="61"/>
      <c r="G34" s="70" t="str">
        <f t="shared" si="4"/>
        <v/>
      </c>
      <c r="H34" s="69"/>
      <c r="I34" s="61"/>
      <c r="J34" s="70" t="str">
        <f t="shared" si="5"/>
        <v/>
      </c>
      <c r="K34" s="74" t="str">
        <f t="shared" si="6"/>
        <v/>
      </c>
      <c r="L34" s="62" t="str">
        <f t="shared" si="7"/>
        <v/>
      </c>
      <c r="M34" s="70" t="str">
        <f t="shared" si="8"/>
        <v/>
      </c>
      <c r="N34" s="69"/>
      <c r="O34" s="61"/>
      <c r="P34" s="70" t="str">
        <f t="shared" si="9"/>
        <v/>
      </c>
      <c r="Q34" s="69"/>
      <c r="R34" s="61"/>
      <c r="S34" s="70" t="str">
        <f t="shared" si="10"/>
        <v/>
      </c>
      <c r="T34" s="69"/>
      <c r="U34" s="61"/>
      <c r="V34" s="70" t="str">
        <f t="shared" si="11"/>
        <v/>
      </c>
      <c r="W34" s="74" t="str">
        <f t="shared" si="12"/>
        <v/>
      </c>
      <c r="X34" s="62" t="str">
        <f t="shared" si="13"/>
        <v/>
      </c>
      <c r="Y34" s="70" t="str">
        <f t="shared" si="14"/>
        <v/>
      </c>
      <c r="Z34" s="69"/>
      <c r="AA34" s="61"/>
      <c r="AB34" s="70" t="str">
        <f t="shared" si="15"/>
        <v/>
      </c>
      <c r="AC34" s="69"/>
      <c r="AD34" s="61"/>
      <c r="AE34" s="70" t="str">
        <f t="shared" si="16"/>
        <v/>
      </c>
      <c r="AF34" s="69"/>
      <c r="AG34" s="61"/>
      <c r="AH34" s="70" t="str">
        <f t="shared" si="17"/>
        <v/>
      </c>
      <c r="AI34" s="74" t="str">
        <f t="shared" si="18"/>
        <v/>
      </c>
      <c r="AJ34" s="62" t="str">
        <f t="shared" si="19"/>
        <v/>
      </c>
      <c r="AK34" s="70" t="str">
        <f t="shared" si="20"/>
        <v/>
      </c>
      <c r="AL34" s="69"/>
      <c r="AM34" s="61"/>
      <c r="AN34" s="70" t="str">
        <f t="shared" si="21"/>
        <v/>
      </c>
    </row>
    <row r="35" spans="1:40" ht="18" customHeight="1" x14ac:dyDescent="0.2">
      <c r="A35" s="77" t="str">
        <f>IF($C$9="Data Not Entered On Set-Up Worksheet","",IF(OR(VLOOKUP($C$9,County_Lookup_MC,18,FALSE)="",VLOOKUP($C$9,County_Lookup_MC,18,FALSE)=0),"",VLOOKUP($C$9,County_Lookup_MC,18,FALSE)))</f>
        <v/>
      </c>
      <c r="B35" s="69"/>
      <c r="C35" s="61"/>
      <c r="D35" s="70" t="str">
        <f t="shared" si="3"/>
        <v/>
      </c>
      <c r="E35" s="69"/>
      <c r="F35" s="61"/>
      <c r="G35" s="70" t="str">
        <f t="shared" si="4"/>
        <v/>
      </c>
      <c r="H35" s="69"/>
      <c r="I35" s="61"/>
      <c r="J35" s="70" t="str">
        <f t="shared" si="5"/>
        <v/>
      </c>
      <c r="K35" s="74" t="str">
        <f t="shared" si="6"/>
        <v/>
      </c>
      <c r="L35" s="62" t="str">
        <f t="shared" si="7"/>
        <v/>
      </c>
      <c r="M35" s="70" t="str">
        <f t="shared" si="8"/>
        <v/>
      </c>
      <c r="N35" s="69"/>
      <c r="O35" s="61"/>
      <c r="P35" s="70" t="str">
        <f t="shared" si="9"/>
        <v/>
      </c>
      <c r="Q35" s="69"/>
      <c r="R35" s="61"/>
      <c r="S35" s="70" t="str">
        <f t="shared" si="10"/>
        <v/>
      </c>
      <c r="T35" s="69"/>
      <c r="U35" s="61"/>
      <c r="V35" s="70" t="str">
        <f t="shared" si="11"/>
        <v/>
      </c>
      <c r="W35" s="74" t="str">
        <f t="shared" si="12"/>
        <v/>
      </c>
      <c r="X35" s="62" t="str">
        <f t="shared" si="13"/>
        <v/>
      </c>
      <c r="Y35" s="70" t="str">
        <f t="shared" si="14"/>
        <v/>
      </c>
      <c r="Z35" s="69"/>
      <c r="AA35" s="61"/>
      <c r="AB35" s="70" t="str">
        <f t="shared" si="15"/>
        <v/>
      </c>
      <c r="AC35" s="69"/>
      <c r="AD35" s="61"/>
      <c r="AE35" s="70" t="str">
        <f t="shared" si="16"/>
        <v/>
      </c>
      <c r="AF35" s="69"/>
      <c r="AG35" s="61"/>
      <c r="AH35" s="70" t="str">
        <f t="shared" si="17"/>
        <v/>
      </c>
      <c r="AI35" s="74" t="str">
        <f t="shared" si="18"/>
        <v/>
      </c>
      <c r="AJ35" s="62" t="str">
        <f t="shared" si="19"/>
        <v/>
      </c>
      <c r="AK35" s="70" t="str">
        <f t="shared" si="20"/>
        <v/>
      </c>
      <c r="AL35" s="69"/>
      <c r="AM35" s="61"/>
      <c r="AN35" s="70" t="str">
        <f t="shared" si="21"/>
        <v/>
      </c>
    </row>
    <row r="36" spans="1:40" ht="18" customHeight="1" x14ac:dyDescent="0.2">
      <c r="A36" s="77" t="str">
        <f>IF($C$9="Data Not Entered On Set-Up Worksheet","",IF(OR(VLOOKUP($C$9,County_Lookup_MC,19,FALSE)="",VLOOKUP($C$9,County_Lookup_MC,19,FALSE)=0),"",VLOOKUP($C$9,County_Lookup_MC,19,FALSE)))</f>
        <v/>
      </c>
      <c r="B36" s="69"/>
      <c r="C36" s="61"/>
      <c r="D36" s="70" t="str">
        <f t="shared" si="3"/>
        <v/>
      </c>
      <c r="E36" s="69"/>
      <c r="F36" s="61"/>
      <c r="G36" s="70" t="str">
        <f t="shared" si="4"/>
        <v/>
      </c>
      <c r="H36" s="69"/>
      <c r="I36" s="61"/>
      <c r="J36" s="70" t="str">
        <f t="shared" si="5"/>
        <v/>
      </c>
      <c r="K36" s="74" t="str">
        <f t="shared" si="6"/>
        <v/>
      </c>
      <c r="L36" s="62" t="str">
        <f t="shared" si="7"/>
        <v/>
      </c>
      <c r="M36" s="70" t="str">
        <f t="shared" si="8"/>
        <v/>
      </c>
      <c r="N36" s="69"/>
      <c r="O36" s="61"/>
      <c r="P36" s="70" t="str">
        <f t="shared" si="9"/>
        <v/>
      </c>
      <c r="Q36" s="69"/>
      <c r="R36" s="61"/>
      <c r="S36" s="70" t="str">
        <f t="shared" si="10"/>
        <v/>
      </c>
      <c r="T36" s="69"/>
      <c r="U36" s="61"/>
      <c r="V36" s="70" t="str">
        <f t="shared" si="11"/>
        <v/>
      </c>
      <c r="W36" s="74" t="str">
        <f t="shared" si="12"/>
        <v/>
      </c>
      <c r="X36" s="62" t="str">
        <f t="shared" si="13"/>
        <v/>
      </c>
      <c r="Y36" s="70" t="str">
        <f t="shared" si="14"/>
        <v/>
      </c>
      <c r="Z36" s="69"/>
      <c r="AA36" s="61"/>
      <c r="AB36" s="70" t="str">
        <f t="shared" si="15"/>
        <v/>
      </c>
      <c r="AC36" s="69"/>
      <c r="AD36" s="61"/>
      <c r="AE36" s="70" t="str">
        <f t="shared" si="16"/>
        <v/>
      </c>
      <c r="AF36" s="69"/>
      <c r="AG36" s="61"/>
      <c r="AH36" s="70" t="str">
        <f t="shared" si="17"/>
        <v/>
      </c>
      <c r="AI36" s="74" t="str">
        <f t="shared" si="18"/>
        <v/>
      </c>
      <c r="AJ36" s="62" t="str">
        <f t="shared" si="19"/>
        <v/>
      </c>
      <c r="AK36" s="70" t="str">
        <f t="shared" si="20"/>
        <v/>
      </c>
      <c r="AL36" s="69"/>
      <c r="AM36" s="61"/>
      <c r="AN36" s="70" t="str">
        <f t="shared" si="21"/>
        <v/>
      </c>
    </row>
    <row r="37" spans="1:40" ht="18" customHeight="1" x14ac:dyDescent="0.2">
      <c r="A37" s="77" t="str">
        <f>IF($C$9="Data Not Entered On Set-Up Worksheet","",IF(OR(VLOOKUP($C$9,County_Lookup_MC,20,FALSE)="",VLOOKUP($C$9,County_Lookup_MC,20,FALSE)=0),"",VLOOKUP($C$9,County_Lookup_MC,20,FALSE)))</f>
        <v/>
      </c>
      <c r="B37" s="69"/>
      <c r="C37" s="61"/>
      <c r="D37" s="70" t="str">
        <f t="shared" si="3"/>
        <v/>
      </c>
      <c r="E37" s="69"/>
      <c r="F37" s="61"/>
      <c r="G37" s="70" t="str">
        <f t="shared" si="4"/>
        <v/>
      </c>
      <c r="H37" s="69"/>
      <c r="I37" s="61"/>
      <c r="J37" s="70" t="str">
        <f t="shared" si="5"/>
        <v/>
      </c>
      <c r="K37" s="74" t="str">
        <f t="shared" si="6"/>
        <v/>
      </c>
      <c r="L37" s="62" t="str">
        <f t="shared" si="7"/>
        <v/>
      </c>
      <c r="M37" s="70" t="str">
        <f t="shared" si="8"/>
        <v/>
      </c>
      <c r="N37" s="69"/>
      <c r="O37" s="61"/>
      <c r="P37" s="70" t="str">
        <f t="shared" si="9"/>
        <v/>
      </c>
      <c r="Q37" s="69"/>
      <c r="R37" s="61"/>
      <c r="S37" s="70" t="str">
        <f t="shared" si="10"/>
        <v/>
      </c>
      <c r="T37" s="69"/>
      <c r="U37" s="61"/>
      <c r="V37" s="70" t="str">
        <f t="shared" si="11"/>
        <v/>
      </c>
      <c r="W37" s="74" t="str">
        <f t="shared" si="12"/>
        <v/>
      </c>
      <c r="X37" s="62" t="str">
        <f t="shared" si="13"/>
        <v/>
      </c>
      <c r="Y37" s="70" t="str">
        <f t="shared" si="14"/>
        <v/>
      </c>
      <c r="Z37" s="69"/>
      <c r="AA37" s="61"/>
      <c r="AB37" s="70" t="str">
        <f t="shared" si="15"/>
        <v/>
      </c>
      <c r="AC37" s="69"/>
      <c r="AD37" s="61"/>
      <c r="AE37" s="70" t="str">
        <f t="shared" si="16"/>
        <v/>
      </c>
      <c r="AF37" s="69"/>
      <c r="AG37" s="61"/>
      <c r="AH37" s="70" t="str">
        <f t="shared" si="17"/>
        <v/>
      </c>
      <c r="AI37" s="74" t="str">
        <f t="shared" si="18"/>
        <v/>
      </c>
      <c r="AJ37" s="62" t="str">
        <f t="shared" si="19"/>
        <v/>
      </c>
      <c r="AK37" s="70" t="str">
        <f t="shared" si="20"/>
        <v/>
      </c>
      <c r="AL37" s="69"/>
      <c r="AM37" s="61"/>
      <c r="AN37" s="70" t="str">
        <f t="shared" si="21"/>
        <v/>
      </c>
    </row>
    <row r="38" spans="1:40" ht="18" customHeight="1" x14ac:dyDescent="0.2">
      <c r="A38" s="77" t="str">
        <f>IF($C$9="Data Not Entered On Set-Up Worksheet","",IF(OR(VLOOKUP($C$9,County_Lookup_MC,21,FALSE)="",VLOOKUP($C$9,County_Lookup_MC,21,FALSE)=0),"",VLOOKUP($C$9,County_Lookup_MC,21,FALSE)))</f>
        <v/>
      </c>
      <c r="B38" s="69"/>
      <c r="C38" s="61"/>
      <c r="D38" s="70" t="str">
        <f t="shared" si="3"/>
        <v/>
      </c>
      <c r="E38" s="69"/>
      <c r="F38" s="61"/>
      <c r="G38" s="70" t="str">
        <f t="shared" si="4"/>
        <v/>
      </c>
      <c r="H38" s="69"/>
      <c r="I38" s="61"/>
      <c r="J38" s="70" t="str">
        <f t="shared" si="5"/>
        <v/>
      </c>
      <c r="K38" s="74" t="str">
        <f t="shared" si="6"/>
        <v/>
      </c>
      <c r="L38" s="62" t="str">
        <f t="shared" si="7"/>
        <v/>
      </c>
      <c r="M38" s="70" t="str">
        <f t="shared" si="8"/>
        <v/>
      </c>
      <c r="N38" s="69"/>
      <c r="O38" s="61"/>
      <c r="P38" s="70" t="str">
        <f t="shared" si="9"/>
        <v/>
      </c>
      <c r="Q38" s="69"/>
      <c r="R38" s="61"/>
      <c r="S38" s="70" t="str">
        <f t="shared" si="10"/>
        <v/>
      </c>
      <c r="T38" s="69"/>
      <c r="U38" s="61"/>
      <c r="V38" s="70" t="str">
        <f t="shared" si="11"/>
        <v/>
      </c>
      <c r="W38" s="74" t="str">
        <f t="shared" si="12"/>
        <v/>
      </c>
      <c r="X38" s="62" t="str">
        <f t="shared" si="13"/>
        <v/>
      </c>
      <c r="Y38" s="70" t="str">
        <f t="shared" si="14"/>
        <v/>
      </c>
      <c r="Z38" s="69"/>
      <c r="AA38" s="61"/>
      <c r="AB38" s="70" t="str">
        <f t="shared" si="15"/>
        <v/>
      </c>
      <c r="AC38" s="69"/>
      <c r="AD38" s="61"/>
      <c r="AE38" s="70" t="str">
        <f t="shared" si="16"/>
        <v/>
      </c>
      <c r="AF38" s="69"/>
      <c r="AG38" s="61"/>
      <c r="AH38" s="70" t="str">
        <f t="shared" si="17"/>
        <v/>
      </c>
      <c r="AI38" s="74" t="str">
        <f t="shared" si="18"/>
        <v/>
      </c>
      <c r="AJ38" s="62" t="str">
        <f t="shared" si="19"/>
        <v/>
      </c>
      <c r="AK38" s="70" t="str">
        <f t="shared" si="20"/>
        <v/>
      </c>
      <c r="AL38" s="69"/>
      <c r="AM38" s="61"/>
      <c r="AN38" s="70" t="str">
        <f t="shared" si="21"/>
        <v/>
      </c>
    </row>
    <row r="39" spans="1:40" ht="18" customHeight="1" x14ac:dyDescent="0.2">
      <c r="A39" s="76" t="str">
        <f>IF($C$9="Data Not Entered On Set-Up Worksheet","",IF(OR(VLOOKUP($C$9,County_Lookup_MC,22,FALSE)="",VLOOKUP($C$9,County_Lookup_MC,22,FALSE)=0),"",VLOOKUP($C$9,County_Lookup_MC,22,FALSE)))</f>
        <v/>
      </c>
      <c r="B39" s="69"/>
      <c r="C39" s="61"/>
      <c r="D39" s="70" t="str">
        <f t="shared" si="3"/>
        <v/>
      </c>
      <c r="E39" s="69"/>
      <c r="F39" s="61"/>
      <c r="G39" s="70" t="str">
        <f t="shared" si="4"/>
        <v/>
      </c>
      <c r="H39" s="69"/>
      <c r="I39" s="61"/>
      <c r="J39" s="70" t="str">
        <f t="shared" si="5"/>
        <v/>
      </c>
      <c r="K39" s="74" t="str">
        <f t="shared" si="6"/>
        <v/>
      </c>
      <c r="L39" s="62" t="str">
        <f t="shared" si="7"/>
        <v/>
      </c>
      <c r="M39" s="70" t="str">
        <f t="shared" si="8"/>
        <v/>
      </c>
      <c r="N39" s="69"/>
      <c r="O39" s="61"/>
      <c r="P39" s="70" t="str">
        <f t="shared" si="9"/>
        <v/>
      </c>
      <c r="Q39" s="69"/>
      <c r="R39" s="61"/>
      <c r="S39" s="70" t="str">
        <f t="shared" si="10"/>
        <v/>
      </c>
      <c r="T39" s="69"/>
      <c r="U39" s="61"/>
      <c r="V39" s="70" t="str">
        <f t="shared" si="11"/>
        <v/>
      </c>
      <c r="W39" s="74" t="str">
        <f t="shared" si="12"/>
        <v/>
      </c>
      <c r="X39" s="62" t="str">
        <f t="shared" si="13"/>
        <v/>
      </c>
      <c r="Y39" s="70" t="str">
        <f t="shared" si="14"/>
        <v/>
      </c>
      <c r="Z39" s="69"/>
      <c r="AA39" s="61"/>
      <c r="AB39" s="70" t="str">
        <f t="shared" si="15"/>
        <v/>
      </c>
      <c r="AC39" s="69"/>
      <c r="AD39" s="61"/>
      <c r="AE39" s="70" t="str">
        <f t="shared" si="16"/>
        <v/>
      </c>
      <c r="AF39" s="69"/>
      <c r="AG39" s="61"/>
      <c r="AH39" s="70" t="str">
        <f t="shared" si="17"/>
        <v/>
      </c>
      <c r="AI39" s="74" t="str">
        <f t="shared" si="18"/>
        <v/>
      </c>
      <c r="AJ39" s="62" t="str">
        <f t="shared" si="19"/>
        <v/>
      </c>
      <c r="AK39" s="70" t="str">
        <f t="shared" si="20"/>
        <v/>
      </c>
      <c r="AL39" s="69"/>
      <c r="AM39" s="61"/>
      <c r="AN39" s="70" t="str">
        <f t="shared" si="21"/>
        <v/>
      </c>
    </row>
    <row r="40" spans="1:40" ht="18" customHeight="1" x14ac:dyDescent="0.2">
      <c r="A40" s="77" t="str">
        <f>IF($C$9="Data Not Entered On Set-Up Worksheet","",IF(OR(VLOOKUP($C$9,County_Lookup_MC,23,FALSE)="",VLOOKUP($C$9,County_Lookup_MC,23,FALSE)=0),"",VLOOKUP($C$9,County_Lookup_MC,23,FALSE)))</f>
        <v/>
      </c>
      <c r="B40" s="69"/>
      <c r="C40" s="61"/>
      <c r="D40" s="70" t="str">
        <f t="shared" si="3"/>
        <v/>
      </c>
      <c r="E40" s="69"/>
      <c r="F40" s="61"/>
      <c r="G40" s="70" t="str">
        <f t="shared" si="4"/>
        <v/>
      </c>
      <c r="H40" s="69"/>
      <c r="I40" s="61"/>
      <c r="J40" s="70" t="str">
        <f t="shared" si="5"/>
        <v/>
      </c>
      <c r="K40" s="74" t="str">
        <f t="shared" si="6"/>
        <v/>
      </c>
      <c r="L40" s="62" t="str">
        <f t="shared" si="7"/>
        <v/>
      </c>
      <c r="M40" s="70" t="str">
        <f t="shared" si="8"/>
        <v/>
      </c>
      <c r="N40" s="69"/>
      <c r="O40" s="61"/>
      <c r="P40" s="70" t="str">
        <f t="shared" si="9"/>
        <v/>
      </c>
      <c r="Q40" s="69"/>
      <c r="R40" s="61"/>
      <c r="S40" s="70" t="str">
        <f t="shared" si="10"/>
        <v/>
      </c>
      <c r="T40" s="69"/>
      <c r="U40" s="61"/>
      <c r="V40" s="70" t="str">
        <f t="shared" si="11"/>
        <v/>
      </c>
      <c r="W40" s="74" t="str">
        <f t="shared" si="12"/>
        <v/>
      </c>
      <c r="X40" s="62" t="str">
        <f t="shared" si="13"/>
        <v/>
      </c>
      <c r="Y40" s="70" t="str">
        <f t="shared" si="14"/>
        <v/>
      </c>
      <c r="Z40" s="69"/>
      <c r="AA40" s="61"/>
      <c r="AB40" s="70" t="str">
        <f t="shared" si="15"/>
        <v/>
      </c>
      <c r="AC40" s="69"/>
      <c r="AD40" s="61"/>
      <c r="AE40" s="70" t="str">
        <f t="shared" si="16"/>
        <v/>
      </c>
      <c r="AF40" s="69"/>
      <c r="AG40" s="61"/>
      <c r="AH40" s="70" t="str">
        <f t="shared" si="17"/>
        <v/>
      </c>
      <c r="AI40" s="74" t="str">
        <f t="shared" si="18"/>
        <v/>
      </c>
      <c r="AJ40" s="62" t="str">
        <f t="shared" si="19"/>
        <v/>
      </c>
      <c r="AK40" s="70" t="str">
        <f t="shared" si="20"/>
        <v/>
      </c>
      <c r="AL40" s="69"/>
      <c r="AM40" s="61"/>
      <c r="AN40" s="70" t="str">
        <f t="shared" si="21"/>
        <v/>
      </c>
    </row>
    <row r="41" spans="1:40" ht="18" customHeight="1" x14ac:dyDescent="0.2">
      <c r="A41" s="77" t="str">
        <f>IF($C$9="Data Not Entered On Set-Up Worksheet","",IF(OR(VLOOKUP($C$9,County_Lookup_MC,24,FALSE)="",VLOOKUP($C$9,County_Lookup_MC,24,FALSE)=0),"",VLOOKUP($C$9,County_Lookup_MC,24,FALSE)))</f>
        <v/>
      </c>
      <c r="B41" s="69"/>
      <c r="C41" s="61"/>
      <c r="D41" s="70" t="str">
        <f t="shared" ref="D41:D42" si="22">IF($A41="","",IF(C41=0,0,B41/C41))</f>
        <v/>
      </c>
      <c r="E41" s="69"/>
      <c r="F41" s="61"/>
      <c r="G41" s="70" t="str">
        <f t="shared" ref="G41:G42" si="23">IF($A41="","",IF(F41=0,0,E41/F41))</f>
        <v/>
      </c>
      <c r="H41" s="69"/>
      <c r="I41" s="61"/>
      <c r="J41" s="70" t="str">
        <f t="shared" ref="J41:J42" si="24">IF($A41="","",IF(I41=0,0,H41/I41))</f>
        <v/>
      </c>
      <c r="K41" s="74" t="str">
        <f t="shared" ref="K41:K42" si="25">IF($A41="","",SUM(E41,H41))</f>
        <v/>
      </c>
      <c r="L41" s="62" t="str">
        <f t="shared" ref="L41:L42" si="26">IF($A41="","",SUM(F41,I41))</f>
        <v/>
      </c>
      <c r="M41" s="70" t="str">
        <f t="shared" ref="M41:M42" si="27">IF($A41="","",IF(L41=0,0,K41/L41))</f>
        <v/>
      </c>
      <c r="N41" s="69"/>
      <c r="O41" s="61"/>
      <c r="P41" s="70" t="str">
        <f t="shared" ref="P41:P42" si="28">IF($A41="","",IF(O41=0,0,N41/O41))</f>
        <v/>
      </c>
      <c r="Q41" s="69"/>
      <c r="R41" s="61"/>
      <c r="S41" s="70" t="str">
        <f t="shared" ref="S41:S42" si="29">IF($A41="","",IF(R41=0,0,Q41/R41))</f>
        <v/>
      </c>
      <c r="T41" s="69"/>
      <c r="U41" s="61"/>
      <c r="V41" s="70" t="str">
        <f t="shared" ref="V41:V42" si="30">IF($A41="","",IF(U41=0,0,T41/U41))</f>
        <v/>
      </c>
      <c r="W41" s="74" t="str">
        <f t="shared" ref="W41:W42" si="31">IF($A41="","",SUM(Q41,T41))</f>
        <v/>
      </c>
      <c r="X41" s="62" t="str">
        <f t="shared" ref="X41:X42" si="32">IF($A41="","",SUM(R41,U41))</f>
        <v/>
      </c>
      <c r="Y41" s="70" t="str">
        <f t="shared" ref="Y41:Y42" si="33">IF($A41="","",IF(X41=0,0,W41/X41))</f>
        <v/>
      </c>
      <c r="Z41" s="69"/>
      <c r="AA41" s="61"/>
      <c r="AB41" s="70" t="str">
        <f t="shared" ref="AB41:AB42" si="34">IF($A41="","",IF(AA41=0,0,Z41/AA41))</f>
        <v/>
      </c>
      <c r="AC41" s="69"/>
      <c r="AD41" s="61"/>
      <c r="AE41" s="70" t="str">
        <f t="shared" ref="AE41:AE42" si="35">IF($A41="","",IF(AD41=0,0,AC41/AD41))</f>
        <v/>
      </c>
      <c r="AF41" s="69"/>
      <c r="AG41" s="61"/>
      <c r="AH41" s="70" t="str">
        <f t="shared" ref="AH41:AH42" si="36">IF($A41="","",IF(AG41=0,0,AF41/AG41))</f>
        <v/>
      </c>
      <c r="AI41" s="74" t="str">
        <f t="shared" ref="AI41:AI42" si="37">IF($A41="","",SUM(AC41,AF41))</f>
        <v/>
      </c>
      <c r="AJ41" s="62" t="str">
        <f t="shared" ref="AJ41:AJ42" si="38">IF($A41="","",SUM(AD41,AG41))</f>
        <v/>
      </c>
      <c r="AK41" s="70" t="str">
        <f t="shared" ref="AK41:AK42" si="39">IF($A41="","",IF(AJ41=0,0,AI41/AJ41))</f>
        <v/>
      </c>
      <c r="AL41" s="69"/>
      <c r="AM41" s="61"/>
      <c r="AN41" s="70" t="str">
        <f t="shared" ref="AN41:AN42" si="40">IF($A41="","",IF(AM41=0,0,AL41/AM41))</f>
        <v/>
      </c>
    </row>
    <row r="42" spans="1:40" ht="18" customHeight="1" x14ac:dyDescent="0.2">
      <c r="A42" s="77" t="str">
        <f>IF($C$9="Data Not Entered On Set-Up Worksheet","",IF(OR(VLOOKUP($C$9,County_Lookup_MC,25,FALSE)="",VLOOKUP($C$9,County_Lookup_MC,25,FALSE)=0),"",VLOOKUP($C$9,County_Lookup_MC,25,FALSE)))</f>
        <v/>
      </c>
      <c r="B42" s="69"/>
      <c r="C42" s="61"/>
      <c r="D42" s="70" t="str">
        <f t="shared" si="22"/>
        <v/>
      </c>
      <c r="E42" s="69"/>
      <c r="F42" s="61"/>
      <c r="G42" s="70" t="str">
        <f t="shared" si="23"/>
        <v/>
      </c>
      <c r="H42" s="69"/>
      <c r="I42" s="61"/>
      <c r="J42" s="70" t="str">
        <f t="shared" si="24"/>
        <v/>
      </c>
      <c r="K42" s="74" t="str">
        <f t="shared" si="25"/>
        <v/>
      </c>
      <c r="L42" s="62" t="str">
        <f t="shared" si="26"/>
        <v/>
      </c>
      <c r="M42" s="70" t="str">
        <f t="shared" si="27"/>
        <v/>
      </c>
      <c r="N42" s="69"/>
      <c r="O42" s="61"/>
      <c r="P42" s="70" t="str">
        <f t="shared" si="28"/>
        <v/>
      </c>
      <c r="Q42" s="69"/>
      <c r="R42" s="61"/>
      <c r="S42" s="70" t="str">
        <f t="shared" si="29"/>
        <v/>
      </c>
      <c r="T42" s="69"/>
      <c r="U42" s="61"/>
      <c r="V42" s="70" t="str">
        <f t="shared" si="30"/>
        <v/>
      </c>
      <c r="W42" s="74" t="str">
        <f t="shared" si="31"/>
        <v/>
      </c>
      <c r="X42" s="62" t="str">
        <f t="shared" si="32"/>
        <v/>
      </c>
      <c r="Y42" s="70" t="str">
        <f t="shared" si="33"/>
        <v/>
      </c>
      <c r="Z42" s="69"/>
      <c r="AA42" s="61"/>
      <c r="AB42" s="70" t="str">
        <f t="shared" si="34"/>
        <v/>
      </c>
      <c r="AC42" s="69"/>
      <c r="AD42" s="61"/>
      <c r="AE42" s="70" t="str">
        <f t="shared" si="35"/>
        <v/>
      </c>
      <c r="AF42" s="69"/>
      <c r="AG42" s="61"/>
      <c r="AH42" s="70" t="str">
        <f t="shared" si="36"/>
        <v/>
      </c>
      <c r="AI42" s="74" t="str">
        <f t="shared" si="37"/>
        <v/>
      </c>
      <c r="AJ42" s="62" t="str">
        <f t="shared" si="38"/>
        <v/>
      </c>
      <c r="AK42" s="70" t="str">
        <f t="shared" si="39"/>
        <v/>
      </c>
      <c r="AL42" s="69"/>
      <c r="AM42" s="61"/>
      <c r="AN42" s="70" t="str">
        <f t="shared" si="40"/>
        <v/>
      </c>
    </row>
    <row r="43" spans="1:40" ht="18" customHeight="1" x14ac:dyDescent="0.2">
      <c r="A43" s="77" t="str">
        <f>IF($C$9="Data Not Entered On Set-Up Worksheet","",IF(OR(VLOOKUP($C$9,County_Lookup_MC,26,FALSE)="",VLOOKUP($C$9,County_Lookup_MC,26,FALSE)=0),"",VLOOKUP($C$9,County_Lookup_MC,26,FALSE)))</f>
        <v/>
      </c>
      <c r="B43" s="69"/>
      <c r="C43" s="61"/>
      <c r="D43" s="70" t="str">
        <f t="shared" si="3"/>
        <v/>
      </c>
      <c r="E43" s="69"/>
      <c r="F43" s="61"/>
      <c r="G43" s="70" t="str">
        <f t="shared" si="4"/>
        <v/>
      </c>
      <c r="H43" s="69"/>
      <c r="I43" s="61"/>
      <c r="J43" s="70" t="str">
        <f t="shared" si="5"/>
        <v/>
      </c>
      <c r="K43" s="74" t="str">
        <f t="shared" si="6"/>
        <v/>
      </c>
      <c r="L43" s="62" t="str">
        <f t="shared" si="7"/>
        <v/>
      </c>
      <c r="M43" s="70" t="str">
        <f t="shared" si="8"/>
        <v/>
      </c>
      <c r="N43" s="69"/>
      <c r="O43" s="61"/>
      <c r="P43" s="70" t="str">
        <f t="shared" si="9"/>
        <v/>
      </c>
      <c r="Q43" s="69"/>
      <c r="R43" s="61"/>
      <c r="S43" s="70" t="str">
        <f t="shared" si="10"/>
        <v/>
      </c>
      <c r="T43" s="69"/>
      <c r="U43" s="61"/>
      <c r="V43" s="70" t="str">
        <f t="shared" si="11"/>
        <v/>
      </c>
      <c r="W43" s="74" t="str">
        <f t="shared" si="12"/>
        <v/>
      </c>
      <c r="X43" s="62" t="str">
        <f t="shared" si="13"/>
        <v/>
      </c>
      <c r="Y43" s="70" t="str">
        <f t="shared" si="14"/>
        <v/>
      </c>
      <c r="Z43" s="69"/>
      <c r="AA43" s="61"/>
      <c r="AB43" s="70" t="str">
        <f t="shared" si="15"/>
        <v/>
      </c>
      <c r="AC43" s="69"/>
      <c r="AD43" s="61"/>
      <c r="AE43" s="70" t="str">
        <f t="shared" si="16"/>
        <v/>
      </c>
      <c r="AF43" s="69"/>
      <c r="AG43" s="61"/>
      <c r="AH43" s="70" t="str">
        <f t="shared" si="17"/>
        <v/>
      </c>
      <c r="AI43" s="74" t="str">
        <f t="shared" si="18"/>
        <v/>
      </c>
      <c r="AJ43" s="62" t="str">
        <f t="shared" si="19"/>
        <v/>
      </c>
      <c r="AK43" s="70" t="str">
        <f t="shared" si="20"/>
        <v/>
      </c>
      <c r="AL43" s="69"/>
      <c r="AM43" s="61"/>
      <c r="AN43" s="70" t="str">
        <f t="shared" si="21"/>
        <v/>
      </c>
    </row>
    <row r="44" spans="1:40" ht="18" customHeight="1" thickBot="1" x14ac:dyDescent="0.25">
      <c r="A44" s="78" t="s">
        <v>0</v>
      </c>
      <c r="B44" s="71">
        <f>SUM(B19:B43)</f>
        <v>0</v>
      </c>
      <c r="C44" s="72">
        <f>SUM(C19:C43)</f>
        <v>0</v>
      </c>
      <c r="D44" s="73">
        <f t="shared" ref="D44" si="41">IF(C44=0,0,B44/C44)</f>
        <v>0</v>
      </c>
      <c r="E44" s="71">
        <f>SUM(E19:E43)</f>
        <v>0</v>
      </c>
      <c r="F44" s="72">
        <f>SUM(F19:F43)</f>
        <v>0</v>
      </c>
      <c r="G44" s="73">
        <f t="shared" ref="G44" si="42">IF(F44=0,0,E44/F44)</f>
        <v>0</v>
      </c>
      <c r="H44" s="71">
        <f>SUM(H19:H43)</f>
        <v>0</v>
      </c>
      <c r="I44" s="72">
        <f>SUM(I19:I43)</f>
        <v>0</v>
      </c>
      <c r="J44" s="73">
        <f t="shared" ref="J44" si="43">IF(I44=0,0,H44/I44)</f>
        <v>0</v>
      </c>
      <c r="K44" s="71">
        <f>SUM(K19:K43)</f>
        <v>0</v>
      </c>
      <c r="L44" s="72">
        <f>SUM(L19:L43)</f>
        <v>0</v>
      </c>
      <c r="M44" s="73">
        <f t="shared" ref="M44" si="44">IF(L44=0,0,K44/L44)</f>
        <v>0</v>
      </c>
      <c r="N44" s="71">
        <f>SUM(N19:N43)</f>
        <v>0</v>
      </c>
      <c r="O44" s="72">
        <f>SUM(O19:O43)</f>
        <v>0</v>
      </c>
      <c r="P44" s="73">
        <f t="shared" ref="P44" si="45">IF(O44=0,0,N44/O44)</f>
        <v>0</v>
      </c>
      <c r="Q44" s="71">
        <f>SUM(Q19:Q43)</f>
        <v>0</v>
      </c>
      <c r="R44" s="72">
        <f>SUM(R19:R43)</f>
        <v>0</v>
      </c>
      <c r="S44" s="73">
        <f t="shared" ref="S44" si="46">IF(R44=0,0,Q44/R44)</f>
        <v>0</v>
      </c>
      <c r="T44" s="71">
        <f>SUM(T19:T43)</f>
        <v>0</v>
      </c>
      <c r="U44" s="72">
        <f>SUM(U19:U43)</f>
        <v>0</v>
      </c>
      <c r="V44" s="73">
        <f t="shared" ref="V44" si="47">IF(U44=0,0,T44/U44)</f>
        <v>0</v>
      </c>
      <c r="W44" s="71">
        <f>SUM(W19:W43)</f>
        <v>0</v>
      </c>
      <c r="X44" s="72">
        <f>SUM(X19:X43)</f>
        <v>0</v>
      </c>
      <c r="Y44" s="73">
        <f t="shared" ref="Y44" si="48">IF(X44=0,0,W44/X44)</f>
        <v>0</v>
      </c>
      <c r="Z44" s="71">
        <f>SUM(Z19:Z43)</f>
        <v>0</v>
      </c>
      <c r="AA44" s="72">
        <f>SUM(AA19:AA43)</f>
        <v>0</v>
      </c>
      <c r="AB44" s="73">
        <f t="shared" ref="AB44" si="49">IF(AA44=0,0,Z44/AA44)</f>
        <v>0</v>
      </c>
      <c r="AC44" s="71">
        <f>SUM(AC19:AC43)</f>
        <v>0</v>
      </c>
      <c r="AD44" s="72">
        <f>SUM(AD19:AD43)</f>
        <v>0</v>
      </c>
      <c r="AE44" s="73">
        <f t="shared" ref="AE44" si="50">IF(AD44=0,0,AC44/AD44)</f>
        <v>0</v>
      </c>
      <c r="AF44" s="71">
        <f>SUM(AF19:AF43)</f>
        <v>0</v>
      </c>
      <c r="AG44" s="72">
        <f>SUM(AG19:AG43)</f>
        <v>0</v>
      </c>
      <c r="AH44" s="73">
        <f t="shared" ref="AH44" si="51">IF(AG44=0,0,AF44/AG44)</f>
        <v>0</v>
      </c>
      <c r="AI44" s="71">
        <f>SUM(AI19:AI43)</f>
        <v>0</v>
      </c>
      <c r="AJ44" s="72">
        <f>SUM(AJ19:AJ43)</f>
        <v>0</v>
      </c>
      <c r="AK44" s="73">
        <f t="shared" ref="AK44" si="52">IF(AJ44=0,0,AI44/AJ44)</f>
        <v>0</v>
      </c>
      <c r="AL44" s="71">
        <f>SUM(AL19:AL43)</f>
        <v>0</v>
      </c>
      <c r="AM44" s="72">
        <f>SUM(AM19:AM43)</f>
        <v>0</v>
      </c>
      <c r="AN44" s="73">
        <f t="shared" ref="AN44" si="53">IF(AM44=0,0,AL44/AM44)</f>
        <v>0</v>
      </c>
    </row>
    <row r="46" spans="1:40" ht="20.100000000000001" customHeight="1" x14ac:dyDescent="0.2">
      <c r="A46" s="312" t="s">
        <v>307</v>
      </c>
      <c r="B46" s="243" t="str">
        <f>"State Fiscal Year-To-Date ("&amp;IF($C$4="Data Not Entered On Set-Up Worksheet","Data Not Entered On Set-Up Worksheet",IF($C$4="1st Quarter","Jul "&amp;$C$3-2&amp;" - Jun "&amp;$C$3-1&amp;")",IF($C$4="2nd Quarter","Jul "&amp;$C$3-1&amp;" - Sep "&amp;$C$3-1&amp;")",IF($C$4="3rd Quarter","Jul "&amp;$C$3-1&amp;" - Dec "&amp;$C$3-1&amp;")",IF($C$4="4th Quarter","Jul "&amp;$C$3-1&amp;" - Mar "&amp;$C$3&amp;")","")))))</f>
        <v>State Fiscal Year-To-Date (Jul 2016 - Jun 2017)</v>
      </c>
      <c r="C46" s="243"/>
      <c r="D46" s="243"/>
      <c r="E46" s="243"/>
      <c r="F46" s="243"/>
      <c r="G46" s="243"/>
      <c r="H46" s="243"/>
      <c r="I46" s="243"/>
      <c r="J46" s="243"/>
      <c r="K46" s="243"/>
      <c r="L46" s="243"/>
      <c r="M46" s="243"/>
      <c r="N46" s="243" t="str">
        <f>$B$46</f>
        <v>State Fiscal Year-To-Date (Jul 2016 - Jun 2017)</v>
      </c>
      <c r="O46" s="243"/>
      <c r="P46" s="243"/>
      <c r="Q46" s="243"/>
      <c r="R46" s="243"/>
      <c r="S46" s="243"/>
      <c r="T46" s="243"/>
      <c r="U46" s="243"/>
      <c r="V46" s="243"/>
      <c r="W46" s="243"/>
      <c r="X46" s="243"/>
      <c r="Y46" s="243"/>
      <c r="Z46" s="243" t="str">
        <f>$B$46</f>
        <v>State Fiscal Year-To-Date (Jul 2016 - Jun 2017)</v>
      </c>
      <c r="AA46" s="243"/>
      <c r="AB46" s="243"/>
      <c r="AC46" s="243"/>
      <c r="AD46" s="243"/>
      <c r="AE46" s="243"/>
      <c r="AF46" s="243"/>
      <c r="AG46" s="243"/>
      <c r="AH46" s="243"/>
      <c r="AI46" s="243"/>
      <c r="AJ46" s="243"/>
      <c r="AK46" s="243"/>
      <c r="AL46" s="243" t="str">
        <f>$B$46</f>
        <v>State Fiscal Year-To-Date (Jul 2016 - Jun 2017)</v>
      </c>
      <c r="AM46" s="44"/>
      <c r="AN46" s="44"/>
    </row>
    <row r="47" spans="1:40" ht="13.5" thickBot="1" x14ac:dyDescent="0.25"/>
    <row r="48" spans="1:40" ht="18" customHeight="1" thickBot="1" x14ac:dyDescent="0.25">
      <c r="A48" s="226" t="s">
        <v>251</v>
      </c>
      <c r="B48" s="234" t="s">
        <v>248</v>
      </c>
      <c r="C48" s="235"/>
      <c r="D48" s="236"/>
      <c r="E48" s="63" t="s">
        <v>249</v>
      </c>
      <c r="F48" s="231"/>
      <c r="G48" s="231"/>
      <c r="H48" s="231"/>
      <c r="I48" s="231"/>
      <c r="J48" s="231"/>
      <c r="K48" s="231"/>
      <c r="L48" s="231"/>
      <c r="M48" s="232"/>
      <c r="N48" s="234" t="s">
        <v>253</v>
      </c>
      <c r="O48" s="235"/>
      <c r="P48" s="236"/>
      <c r="Q48" s="63" t="s">
        <v>254</v>
      </c>
      <c r="R48" s="231"/>
      <c r="S48" s="231"/>
      <c r="T48" s="231"/>
      <c r="U48" s="231"/>
      <c r="V48" s="231"/>
      <c r="W48" s="231"/>
      <c r="X48" s="231"/>
      <c r="Y48" s="232"/>
      <c r="Z48" s="234" t="s">
        <v>255</v>
      </c>
      <c r="AA48" s="235"/>
      <c r="AB48" s="236"/>
      <c r="AC48" s="63" t="s">
        <v>256</v>
      </c>
      <c r="AD48" s="231"/>
      <c r="AE48" s="231"/>
      <c r="AF48" s="231"/>
      <c r="AG48" s="231"/>
      <c r="AH48" s="231"/>
      <c r="AI48" s="231"/>
      <c r="AJ48" s="231"/>
      <c r="AK48" s="232"/>
      <c r="AL48" s="234" t="s">
        <v>260</v>
      </c>
      <c r="AM48" s="235"/>
      <c r="AN48" s="236"/>
    </row>
    <row r="49" spans="1:46" s="35" customFormat="1" ht="18" customHeight="1" thickBot="1" x14ac:dyDescent="0.25">
      <c r="A49" s="233" t="s">
        <v>252</v>
      </c>
      <c r="B49" s="234" t="s">
        <v>246</v>
      </c>
      <c r="C49" s="237"/>
      <c r="D49" s="238"/>
      <c r="E49" s="63" t="s">
        <v>146</v>
      </c>
      <c r="F49" s="64"/>
      <c r="G49" s="65"/>
      <c r="H49" s="63" t="s">
        <v>247</v>
      </c>
      <c r="I49" s="64"/>
      <c r="J49" s="65"/>
      <c r="K49" s="63" t="s">
        <v>250</v>
      </c>
      <c r="L49" s="64"/>
      <c r="M49" s="65"/>
      <c r="N49" s="234" t="s">
        <v>246</v>
      </c>
      <c r="O49" s="237"/>
      <c r="P49" s="238"/>
      <c r="Q49" s="63" t="s">
        <v>146</v>
      </c>
      <c r="R49" s="64"/>
      <c r="S49" s="65"/>
      <c r="T49" s="63" t="s">
        <v>247</v>
      </c>
      <c r="U49" s="64"/>
      <c r="V49" s="65"/>
      <c r="W49" s="63" t="s">
        <v>250</v>
      </c>
      <c r="X49" s="64"/>
      <c r="Y49" s="65"/>
      <c r="Z49" s="234" t="s">
        <v>246</v>
      </c>
      <c r="AA49" s="237"/>
      <c r="AB49" s="238"/>
      <c r="AC49" s="63" t="s">
        <v>146</v>
      </c>
      <c r="AD49" s="64"/>
      <c r="AE49" s="65"/>
      <c r="AF49" s="63" t="s">
        <v>247</v>
      </c>
      <c r="AG49" s="64"/>
      <c r="AH49" s="65"/>
      <c r="AI49" s="63" t="s">
        <v>250</v>
      </c>
      <c r="AJ49" s="64"/>
      <c r="AK49" s="65"/>
      <c r="AL49" s="234" t="s">
        <v>259</v>
      </c>
      <c r="AM49" s="237"/>
      <c r="AN49" s="238"/>
    </row>
    <row r="50" spans="1:46" s="35" customFormat="1" ht="13.5" thickBot="1" x14ac:dyDescent="0.25">
      <c r="A50" s="30"/>
      <c r="B50" s="56" t="s">
        <v>3</v>
      </c>
      <c r="C50" s="57" t="s">
        <v>4</v>
      </c>
      <c r="D50" s="58" t="s">
        <v>5</v>
      </c>
      <c r="E50" s="56" t="s">
        <v>3</v>
      </c>
      <c r="F50" s="57" t="s">
        <v>4</v>
      </c>
      <c r="G50" s="58" t="s">
        <v>5</v>
      </c>
      <c r="H50" s="56" t="s">
        <v>3</v>
      </c>
      <c r="I50" s="57" t="s">
        <v>4</v>
      </c>
      <c r="J50" s="58" t="s">
        <v>5</v>
      </c>
      <c r="K50" s="56" t="s">
        <v>3</v>
      </c>
      <c r="L50" s="57" t="s">
        <v>4</v>
      </c>
      <c r="M50" s="58" t="s">
        <v>5</v>
      </c>
      <c r="N50" s="56" t="s">
        <v>3</v>
      </c>
      <c r="O50" s="57" t="s">
        <v>4</v>
      </c>
      <c r="P50" s="58" t="s">
        <v>5</v>
      </c>
      <c r="Q50" s="56" t="s">
        <v>3</v>
      </c>
      <c r="R50" s="57" t="s">
        <v>4</v>
      </c>
      <c r="S50" s="58" t="s">
        <v>5</v>
      </c>
      <c r="T50" s="56" t="s">
        <v>3</v>
      </c>
      <c r="U50" s="57" t="s">
        <v>4</v>
      </c>
      <c r="V50" s="58" t="s">
        <v>5</v>
      </c>
      <c r="W50" s="56" t="s">
        <v>3</v>
      </c>
      <c r="X50" s="57" t="s">
        <v>4</v>
      </c>
      <c r="Y50" s="58" t="s">
        <v>5</v>
      </c>
      <c r="Z50" s="56" t="s">
        <v>3</v>
      </c>
      <c r="AA50" s="57" t="s">
        <v>4</v>
      </c>
      <c r="AB50" s="58" t="s">
        <v>5</v>
      </c>
      <c r="AC50" s="56" t="s">
        <v>3</v>
      </c>
      <c r="AD50" s="57" t="s">
        <v>4</v>
      </c>
      <c r="AE50" s="58" t="s">
        <v>5</v>
      </c>
      <c r="AF50" s="56" t="s">
        <v>3</v>
      </c>
      <c r="AG50" s="57" t="s">
        <v>4</v>
      </c>
      <c r="AH50" s="58" t="s">
        <v>5</v>
      </c>
      <c r="AI50" s="56" t="s">
        <v>3</v>
      </c>
      <c r="AJ50" s="57" t="s">
        <v>4</v>
      </c>
      <c r="AK50" s="58" t="s">
        <v>5</v>
      </c>
      <c r="AL50" s="56" t="s">
        <v>3</v>
      </c>
      <c r="AM50" s="57" t="s">
        <v>4</v>
      </c>
      <c r="AN50" s="58" t="s">
        <v>5</v>
      </c>
      <c r="AO50" s="33"/>
      <c r="AP50" s="30"/>
      <c r="AQ50" s="30"/>
      <c r="AR50" s="30"/>
      <c r="AS50" s="30"/>
      <c r="AT50" s="30"/>
    </row>
    <row r="51" spans="1:46" ht="39.950000000000003" customHeight="1" x14ac:dyDescent="0.2">
      <c r="A51" s="75" t="s">
        <v>43</v>
      </c>
      <c r="B51" s="239" t="s">
        <v>429</v>
      </c>
      <c r="C51" s="240" t="s">
        <v>42</v>
      </c>
      <c r="D51" s="241" t="s">
        <v>430</v>
      </c>
      <c r="E51" s="66" t="s">
        <v>429</v>
      </c>
      <c r="F51" s="67" t="s">
        <v>42</v>
      </c>
      <c r="G51" s="68" t="s">
        <v>430</v>
      </c>
      <c r="H51" s="66" t="s">
        <v>429</v>
      </c>
      <c r="I51" s="67" t="s">
        <v>42</v>
      </c>
      <c r="J51" s="68" t="s">
        <v>430</v>
      </c>
      <c r="K51" s="66" t="s">
        <v>429</v>
      </c>
      <c r="L51" s="67" t="s">
        <v>42</v>
      </c>
      <c r="M51" s="68" t="s">
        <v>430</v>
      </c>
      <c r="N51" s="239" t="s">
        <v>429</v>
      </c>
      <c r="O51" s="240" t="s">
        <v>42</v>
      </c>
      <c r="P51" s="241" t="s">
        <v>430</v>
      </c>
      <c r="Q51" s="66" t="s">
        <v>429</v>
      </c>
      <c r="R51" s="67" t="s">
        <v>42</v>
      </c>
      <c r="S51" s="68" t="s">
        <v>430</v>
      </c>
      <c r="T51" s="66" t="s">
        <v>429</v>
      </c>
      <c r="U51" s="67" t="s">
        <v>42</v>
      </c>
      <c r="V51" s="68" t="s">
        <v>430</v>
      </c>
      <c r="W51" s="66" t="s">
        <v>429</v>
      </c>
      <c r="X51" s="67" t="s">
        <v>42</v>
      </c>
      <c r="Y51" s="68" t="s">
        <v>430</v>
      </c>
      <c r="Z51" s="239" t="s">
        <v>429</v>
      </c>
      <c r="AA51" s="240" t="s">
        <v>42</v>
      </c>
      <c r="AB51" s="241" t="s">
        <v>430</v>
      </c>
      <c r="AC51" s="66" t="s">
        <v>429</v>
      </c>
      <c r="AD51" s="67" t="s">
        <v>42</v>
      </c>
      <c r="AE51" s="68" t="s">
        <v>430</v>
      </c>
      <c r="AF51" s="66" t="s">
        <v>429</v>
      </c>
      <c r="AG51" s="67" t="s">
        <v>42</v>
      </c>
      <c r="AH51" s="68" t="s">
        <v>430</v>
      </c>
      <c r="AI51" s="66" t="s">
        <v>429</v>
      </c>
      <c r="AJ51" s="67" t="s">
        <v>42</v>
      </c>
      <c r="AK51" s="68" t="s">
        <v>430</v>
      </c>
      <c r="AL51" s="239" t="s">
        <v>257</v>
      </c>
      <c r="AM51" s="240" t="s">
        <v>42</v>
      </c>
      <c r="AN51" s="241" t="s">
        <v>258</v>
      </c>
    </row>
    <row r="52" spans="1:46" ht="18" customHeight="1" x14ac:dyDescent="0.2">
      <c r="A52" s="76" t="str">
        <f>IF($C$9="Data Not Entered On Set-Up Worksheet","",IF(OR(VLOOKUP($C$9,County_Lookup_MC,2,FALSE)="",VLOOKUP($C$9,County_Lookup_MC,2,FALSE)=0),"",VLOOKUP($C$9,County_Lookup_MC,2,FALSE)))</f>
        <v/>
      </c>
      <c r="B52" s="69"/>
      <c r="C52" s="61"/>
      <c r="D52" s="70" t="str">
        <f>IF($A52="","",IF(C52=0,0,B52/C52))</f>
        <v/>
      </c>
      <c r="E52" s="69"/>
      <c r="F52" s="61"/>
      <c r="G52" s="70" t="str">
        <f>IF($A52="","",IF(F52=0,0,E52/F52))</f>
        <v/>
      </c>
      <c r="H52" s="69"/>
      <c r="I52" s="61"/>
      <c r="J52" s="70" t="str">
        <f>IF($A52="","",IF(I52=0,0,H52/I52))</f>
        <v/>
      </c>
      <c r="K52" s="74" t="str">
        <f>IF($A52="","",SUM(E52,H52))</f>
        <v/>
      </c>
      <c r="L52" s="62" t="str">
        <f>IF($A52="","",SUM(F52,I52))</f>
        <v/>
      </c>
      <c r="M52" s="70" t="str">
        <f>IF($A52="","",IF(L52=0,0,K52/L52))</f>
        <v/>
      </c>
      <c r="N52" s="69"/>
      <c r="O52" s="61"/>
      <c r="P52" s="70" t="str">
        <f>IF($A52="","",IF(O52=0,0,N52/O52))</f>
        <v/>
      </c>
      <c r="Q52" s="69"/>
      <c r="R52" s="61"/>
      <c r="S52" s="70" t="str">
        <f>IF($A52="","",IF(R52=0,0,Q52/R52))</f>
        <v/>
      </c>
      <c r="T52" s="69"/>
      <c r="U52" s="61"/>
      <c r="V52" s="70" t="str">
        <f>IF($A52="","",IF(U52=0,0,T52/U52))</f>
        <v/>
      </c>
      <c r="W52" s="74" t="str">
        <f>IF($A52="","",SUM(Q52,T52))</f>
        <v/>
      </c>
      <c r="X52" s="62" t="str">
        <f>IF($A52="","",SUM(R52,U52))</f>
        <v/>
      </c>
      <c r="Y52" s="70" t="str">
        <f>IF($A52="","",IF(X52=0,0,W52/X52))</f>
        <v/>
      </c>
      <c r="Z52" s="69"/>
      <c r="AA52" s="61"/>
      <c r="AB52" s="70" t="str">
        <f>IF($A52="","",IF(AA52=0,0,Z52/AA52))</f>
        <v/>
      </c>
      <c r="AC52" s="69"/>
      <c r="AD52" s="61"/>
      <c r="AE52" s="70" t="str">
        <f>IF($A52="","",IF(AD52=0,0,AC52/AD52))</f>
        <v/>
      </c>
      <c r="AF52" s="69"/>
      <c r="AG52" s="61"/>
      <c r="AH52" s="70" t="str">
        <f>IF($A52="","",IF(AG52=0,0,AF52/AG52))</f>
        <v/>
      </c>
      <c r="AI52" s="74" t="str">
        <f>IF($A52="","",SUM(AC52,AF52))</f>
        <v/>
      </c>
      <c r="AJ52" s="62" t="str">
        <f>IF($A52="","",SUM(AD52,AG52))</f>
        <v/>
      </c>
      <c r="AK52" s="70" t="str">
        <f>IF($A52="","",IF(AJ52=0,0,AI52/AJ52))</f>
        <v/>
      </c>
      <c r="AL52" s="69"/>
      <c r="AM52" s="61"/>
      <c r="AN52" s="70" t="str">
        <f>IF($A52="","",IF(AM52=0,0,AL52/AM52))</f>
        <v/>
      </c>
    </row>
    <row r="53" spans="1:46" ht="18" customHeight="1" x14ac:dyDescent="0.2">
      <c r="A53" s="77" t="str">
        <f>IF($C$9="Data Not Entered On Set-Up Worksheet","",IF(OR(VLOOKUP($C$9,County_Lookup_MC,3,FALSE)="",VLOOKUP($C$9,County_Lookup_MC,3,FALSE)=0),"",VLOOKUP($C$9,County_Lookup_MC,3,FALSE)))</f>
        <v/>
      </c>
      <c r="B53" s="69"/>
      <c r="C53" s="61"/>
      <c r="D53" s="70" t="str">
        <f t="shared" ref="D53:D76" si="54">IF($A53="","",IF(C53=0,0,B53/C53))</f>
        <v/>
      </c>
      <c r="E53" s="69"/>
      <c r="F53" s="61"/>
      <c r="G53" s="70" t="str">
        <f t="shared" ref="G53:G76" si="55">IF($A53="","",IF(F53=0,0,E53/F53))</f>
        <v/>
      </c>
      <c r="H53" s="69"/>
      <c r="I53" s="61"/>
      <c r="J53" s="70" t="str">
        <f t="shared" ref="J53:J76" si="56">IF($A53="","",IF(I53=0,0,H53/I53))</f>
        <v/>
      </c>
      <c r="K53" s="74" t="str">
        <f t="shared" ref="K53:K76" si="57">IF($A53="","",SUM(E53,H53))</f>
        <v/>
      </c>
      <c r="L53" s="62" t="str">
        <f t="shared" ref="L53:L76" si="58">IF($A53="","",SUM(F53,I53))</f>
        <v/>
      </c>
      <c r="M53" s="70" t="str">
        <f t="shared" ref="M53:M76" si="59">IF($A53="","",IF(L53=0,0,K53/L53))</f>
        <v/>
      </c>
      <c r="N53" s="69"/>
      <c r="O53" s="61"/>
      <c r="P53" s="70" t="str">
        <f t="shared" ref="P53:P76" si="60">IF($A53="","",IF(O53=0,0,N53/O53))</f>
        <v/>
      </c>
      <c r="Q53" s="69"/>
      <c r="R53" s="61"/>
      <c r="S53" s="70" t="str">
        <f t="shared" ref="S53:S76" si="61">IF($A53="","",IF(R53=0,0,Q53/R53))</f>
        <v/>
      </c>
      <c r="T53" s="69"/>
      <c r="U53" s="61"/>
      <c r="V53" s="70" t="str">
        <f t="shared" ref="V53:V76" si="62">IF($A53="","",IF(U53=0,0,T53/U53))</f>
        <v/>
      </c>
      <c r="W53" s="74" t="str">
        <f t="shared" ref="W53:W76" si="63">IF($A53="","",SUM(Q53,T53))</f>
        <v/>
      </c>
      <c r="X53" s="62" t="str">
        <f t="shared" ref="X53:X76" si="64">IF($A53="","",SUM(R53,U53))</f>
        <v/>
      </c>
      <c r="Y53" s="70" t="str">
        <f t="shared" ref="Y53:Y76" si="65">IF($A53="","",IF(X53=0,0,W53/X53))</f>
        <v/>
      </c>
      <c r="Z53" s="69"/>
      <c r="AA53" s="61"/>
      <c r="AB53" s="70" t="str">
        <f t="shared" ref="AB53:AB76" si="66">IF($A53="","",IF(AA53=0,0,Z53/AA53))</f>
        <v/>
      </c>
      <c r="AC53" s="69"/>
      <c r="AD53" s="61"/>
      <c r="AE53" s="70" t="str">
        <f t="shared" ref="AE53:AE76" si="67">IF($A53="","",IF(AD53=0,0,AC53/AD53))</f>
        <v/>
      </c>
      <c r="AF53" s="69"/>
      <c r="AG53" s="61"/>
      <c r="AH53" s="70" t="str">
        <f t="shared" ref="AH53:AH76" si="68">IF($A53="","",IF(AG53=0,0,AF53/AG53))</f>
        <v/>
      </c>
      <c r="AI53" s="74" t="str">
        <f t="shared" ref="AI53:AI76" si="69">IF($A53="","",SUM(AC53,AF53))</f>
        <v/>
      </c>
      <c r="AJ53" s="62" t="str">
        <f t="shared" ref="AJ53:AJ76" si="70">IF($A53="","",SUM(AD53,AG53))</f>
        <v/>
      </c>
      <c r="AK53" s="70" t="str">
        <f t="shared" ref="AK53:AK76" si="71">IF($A53="","",IF(AJ53=0,0,AI53/AJ53))</f>
        <v/>
      </c>
      <c r="AL53" s="69"/>
      <c r="AM53" s="61"/>
      <c r="AN53" s="70" t="str">
        <f t="shared" ref="AN53:AN76" si="72">IF($A53="","",IF(AM53=0,0,AL53/AM53))</f>
        <v/>
      </c>
    </row>
    <row r="54" spans="1:46" ht="18" customHeight="1" x14ac:dyDescent="0.2">
      <c r="A54" s="77" t="str">
        <f>IF($C$9="Data Not Entered On Set-Up Worksheet","",IF(OR(VLOOKUP($C$9,County_Lookup_MC,4,FALSE)="",VLOOKUP($C$9,County_Lookup_MC,4,FALSE)=0),"",VLOOKUP($C$9,County_Lookup_MC,4,FALSE)))</f>
        <v/>
      </c>
      <c r="B54" s="69"/>
      <c r="C54" s="61"/>
      <c r="D54" s="70" t="str">
        <f t="shared" si="54"/>
        <v/>
      </c>
      <c r="E54" s="69"/>
      <c r="F54" s="61"/>
      <c r="G54" s="70" t="str">
        <f t="shared" si="55"/>
        <v/>
      </c>
      <c r="H54" s="69"/>
      <c r="I54" s="61"/>
      <c r="J54" s="70" t="str">
        <f t="shared" si="56"/>
        <v/>
      </c>
      <c r="K54" s="74" t="str">
        <f t="shared" si="57"/>
        <v/>
      </c>
      <c r="L54" s="62" t="str">
        <f t="shared" si="58"/>
        <v/>
      </c>
      <c r="M54" s="70" t="str">
        <f t="shared" si="59"/>
        <v/>
      </c>
      <c r="N54" s="69"/>
      <c r="O54" s="61"/>
      <c r="P54" s="70" t="str">
        <f t="shared" si="60"/>
        <v/>
      </c>
      <c r="Q54" s="69"/>
      <c r="R54" s="61"/>
      <c r="S54" s="70" t="str">
        <f t="shared" si="61"/>
        <v/>
      </c>
      <c r="T54" s="69"/>
      <c r="U54" s="61"/>
      <c r="V54" s="70" t="str">
        <f t="shared" si="62"/>
        <v/>
      </c>
      <c r="W54" s="74" t="str">
        <f t="shared" si="63"/>
        <v/>
      </c>
      <c r="X54" s="62" t="str">
        <f t="shared" si="64"/>
        <v/>
      </c>
      <c r="Y54" s="70" t="str">
        <f t="shared" si="65"/>
        <v/>
      </c>
      <c r="Z54" s="69"/>
      <c r="AA54" s="61"/>
      <c r="AB54" s="70" t="str">
        <f t="shared" si="66"/>
        <v/>
      </c>
      <c r="AC54" s="69"/>
      <c r="AD54" s="61"/>
      <c r="AE54" s="70" t="str">
        <f t="shared" si="67"/>
        <v/>
      </c>
      <c r="AF54" s="69"/>
      <c r="AG54" s="61"/>
      <c r="AH54" s="70" t="str">
        <f t="shared" si="68"/>
        <v/>
      </c>
      <c r="AI54" s="74" t="str">
        <f t="shared" si="69"/>
        <v/>
      </c>
      <c r="AJ54" s="62" t="str">
        <f t="shared" si="70"/>
        <v/>
      </c>
      <c r="AK54" s="70" t="str">
        <f t="shared" si="71"/>
        <v/>
      </c>
      <c r="AL54" s="69"/>
      <c r="AM54" s="61"/>
      <c r="AN54" s="70" t="str">
        <f t="shared" si="72"/>
        <v/>
      </c>
    </row>
    <row r="55" spans="1:46" ht="18" customHeight="1" x14ac:dyDescent="0.2">
      <c r="A55" s="77" t="str">
        <f>IF($C$9="Data Not Entered On Set-Up Worksheet","",IF(OR(VLOOKUP($C$9,County_Lookup_MC,5,FALSE)="",VLOOKUP($C$9,County_Lookup_MC,5,FALSE)=0),"",VLOOKUP($C$9,County_Lookup_MC,5,FALSE)))</f>
        <v/>
      </c>
      <c r="B55" s="69"/>
      <c r="C55" s="61"/>
      <c r="D55" s="70" t="str">
        <f t="shared" si="54"/>
        <v/>
      </c>
      <c r="E55" s="69"/>
      <c r="F55" s="61"/>
      <c r="G55" s="70" t="str">
        <f t="shared" si="55"/>
        <v/>
      </c>
      <c r="H55" s="69"/>
      <c r="I55" s="61"/>
      <c r="J55" s="70" t="str">
        <f t="shared" si="56"/>
        <v/>
      </c>
      <c r="K55" s="74" t="str">
        <f t="shared" si="57"/>
        <v/>
      </c>
      <c r="L55" s="62" t="str">
        <f t="shared" si="58"/>
        <v/>
      </c>
      <c r="M55" s="70" t="str">
        <f t="shared" si="59"/>
        <v/>
      </c>
      <c r="N55" s="69"/>
      <c r="O55" s="61"/>
      <c r="P55" s="70" t="str">
        <f t="shared" si="60"/>
        <v/>
      </c>
      <c r="Q55" s="69"/>
      <c r="R55" s="61"/>
      <c r="S55" s="70" t="str">
        <f t="shared" si="61"/>
        <v/>
      </c>
      <c r="T55" s="69"/>
      <c r="U55" s="61"/>
      <c r="V55" s="70" t="str">
        <f t="shared" si="62"/>
        <v/>
      </c>
      <c r="W55" s="74" t="str">
        <f t="shared" si="63"/>
        <v/>
      </c>
      <c r="X55" s="62" t="str">
        <f t="shared" si="64"/>
        <v/>
      </c>
      <c r="Y55" s="70" t="str">
        <f t="shared" si="65"/>
        <v/>
      </c>
      <c r="Z55" s="69"/>
      <c r="AA55" s="61"/>
      <c r="AB55" s="70" t="str">
        <f t="shared" si="66"/>
        <v/>
      </c>
      <c r="AC55" s="69"/>
      <c r="AD55" s="61"/>
      <c r="AE55" s="70" t="str">
        <f t="shared" si="67"/>
        <v/>
      </c>
      <c r="AF55" s="69"/>
      <c r="AG55" s="61"/>
      <c r="AH55" s="70" t="str">
        <f t="shared" si="68"/>
        <v/>
      </c>
      <c r="AI55" s="74" t="str">
        <f t="shared" si="69"/>
        <v/>
      </c>
      <c r="AJ55" s="62" t="str">
        <f t="shared" si="70"/>
        <v/>
      </c>
      <c r="AK55" s="70" t="str">
        <f t="shared" si="71"/>
        <v/>
      </c>
      <c r="AL55" s="69"/>
      <c r="AM55" s="61"/>
      <c r="AN55" s="70" t="str">
        <f t="shared" si="72"/>
        <v/>
      </c>
    </row>
    <row r="56" spans="1:46" ht="18" customHeight="1" x14ac:dyDescent="0.2">
      <c r="A56" s="77" t="str">
        <f>IF($C$9="Data Not Entered On Set-Up Worksheet","",IF(OR(VLOOKUP($C$9,County_Lookup_MC,6,FALSE)="",VLOOKUP($C$9,County_Lookup_MC,6,FALSE)=0),"",VLOOKUP($C$9,County_Lookup_MC,6,FALSE)))</f>
        <v/>
      </c>
      <c r="B56" s="69"/>
      <c r="C56" s="61"/>
      <c r="D56" s="70" t="str">
        <f t="shared" si="54"/>
        <v/>
      </c>
      <c r="E56" s="69"/>
      <c r="F56" s="61"/>
      <c r="G56" s="70" t="str">
        <f t="shared" si="55"/>
        <v/>
      </c>
      <c r="H56" s="69"/>
      <c r="I56" s="61"/>
      <c r="J56" s="70" t="str">
        <f t="shared" si="56"/>
        <v/>
      </c>
      <c r="K56" s="74" t="str">
        <f t="shared" si="57"/>
        <v/>
      </c>
      <c r="L56" s="62" t="str">
        <f t="shared" si="58"/>
        <v/>
      </c>
      <c r="M56" s="70" t="str">
        <f t="shared" si="59"/>
        <v/>
      </c>
      <c r="N56" s="69"/>
      <c r="O56" s="61"/>
      <c r="P56" s="70" t="str">
        <f t="shared" si="60"/>
        <v/>
      </c>
      <c r="Q56" s="69"/>
      <c r="R56" s="61"/>
      <c r="S56" s="70" t="str">
        <f t="shared" si="61"/>
        <v/>
      </c>
      <c r="T56" s="69"/>
      <c r="U56" s="61"/>
      <c r="V56" s="70" t="str">
        <f t="shared" si="62"/>
        <v/>
      </c>
      <c r="W56" s="74" t="str">
        <f t="shared" si="63"/>
        <v/>
      </c>
      <c r="X56" s="62" t="str">
        <f t="shared" si="64"/>
        <v/>
      </c>
      <c r="Y56" s="70" t="str">
        <f t="shared" si="65"/>
        <v/>
      </c>
      <c r="Z56" s="69"/>
      <c r="AA56" s="61"/>
      <c r="AB56" s="70" t="str">
        <f t="shared" si="66"/>
        <v/>
      </c>
      <c r="AC56" s="69"/>
      <c r="AD56" s="61"/>
      <c r="AE56" s="70" t="str">
        <f t="shared" si="67"/>
        <v/>
      </c>
      <c r="AF56" s="69"/>
      <c r="AG56" s="61"/>
      <c r="AH56" s="70" t="str">
        <f t="shared" si="68"/>
        <v/>
      </c>
      <c r="AI56" s="74" t="str">
        <f t="shared" si="69"/>
        <v/>
      </c>
      <c r="AJ56" s="62" t="str">
        <f t="shared" si="70"/>
        <v/>
      </c>
      <c r="AK56" s="70" t="str">
        <f t="shared" si="71"/>
        <v/>
      </c>
      <c r="AL56" s="69"/>
      <c r="AM56" s="61"/>
      <c r="AN56" s="70" t="str">
        <f t="shared" si="72"/>
        <v/>
      </c>
    </row>
    <row r="57" spans="1:46" ht="18" customHeight="1" x14ac:dyDescent="0.2">
      <c r="A57" s="77" t="str">
        <f>IF($C$9="Data Not Entered On Set-Up Worksheet","",IF(OR(VLOOKUP($C$9,County_Lookup_MC,7,FALSE)="",VLOOKUP($C$9,County_Lookup_MC,7,FALSE)=0),"",VLOOKUP($C$9,County_Lookup_MC,7,FALSE)))</f>
        <v/>
      </c>
      <c r="B57" s="69"/>
      <c r="C57" s="61"/>
      <c r="D57" s="70" t="str">
        <f t="shared" si="54"/>
        <v/>
      </c>
      <c r="E57" s="69"/>
      <c r="F57" s="61"/>
      <c r="G57" s="70" t="str">
        <f t="shared" si="55"/>
        <v/>
      </c>
      <c r="H57" s="69"/>
      <c r="I57" s="61"/>
      <c r="J57" s="70" t="str">
        <f t="shared" si="56"/>
        <v/>
      </c>
      <c r="K57" s="74" t="str">
        <f t="shared" si="57"/>
        <v/>
      </c>
      <c r="L57" s="62" t="str">
        <f t="shared" si="58"/>
        <v/>
      </c>
      <c r="M57" s="70" t="str">
        <f t="shared" si="59"/>
        <v/>
      </c>
      <c r="N57" s="69"/>
      <c r="O57" s="61"/>
      <c r="P57" s="70" t="str">
        <f t="shared" si="60"/>
        <v/>
      </c>
      <c r="Q57" s="69"/>
      <c r="R57" s="61"/>
      <c r="S57" s="70" t="str">
        <f t="shared" si="61"/>
        <v/>
      </c>
      <c r="T57" s="69"/>
      <c r="U57" s="61"/>
      <c r="V57" s="70" t="str">
        <f t="shared" si="62"/>
        <v/>
      </c>
      <c r="W57" s="74" t="str">
        <f t="shared" si="63"/>
        <v/>
      </c>
      <c r="X57" s="62" t="str">
        <f t="shared" si="64"/>
        <v/>
      </c>
      <c r="Y57" s="70" t="str">
        <f t="shared" si="65"/>
        <v/>
      </c>
      <c r="Z57" s="69"/>
      <c r="AA57" s="61"/>
      <c r="AB57" s="70" t="str">
        <f t="shared" si="66"/>
        <v/>
      </c>
      <c r="AC57" s="69"/>
      <c r="AD57" s="61"/>
      <c r="AE57" s="70" t="str">
        <f t="shared" si="67"/>
        <v/>
      </c>
      <c r="AF57" s="69"/>
      <c r="AG57" s="61"/>
      <c r="AH57" s="70" t="str">
        <f t="shared" si="68"/>
        <v/>
      </c>
      <c r="AI57" s="74" t="str">
        <f t="shared" si="69"/>
        <v/>
      </c>
      <c r="AJ57" s="62" t="str">
        <f t="shared" si="70"/>
        <v/>
      </c>
      <c r="AK57" s="70" t="str">
        <f t="shared" si="71"/>
        <v/>
      </c>
      <c r="AL57" s="69"/>
      <c r="AM57" s="61"/>
      <c r="AN57" s="70" t="str">
        <f t="shared" si="72"/>
        <v/>
      </c>
    </row>
    <row r="58" spans="1:46" ht="18" customHeight="1" x14ac:dyDescent="0.2">
      <c r="A58" s="76" t="str">
        <f>IF($C$9="Data Not Entered On Set-Up Worksheet","",IF(OR(VLOOKUP($C$9,County_Lookup_MC,8,FALSE)="",VLOOKUP($C$9,County_Lookup_MC,8,FALSE)=0),"",VLOOKUP($C$9,County_Lookup_MC,8,FALSE)))</f>
        <v/>
      </c>
      <c r="B58" s="69"/>
      <c r="C58" s="61"/>
      <c r="D58" s="70" t="str">
        <f t="shared" si="54"/>
        <v/>
      </c>
      <c r="E58" s="69"/>
      <c r="F58" s="61"/>
      <c r="G58" s="70" t="str">
        <f t="shared" si="55"/>
        <v/>
      </c>
      <c r="H58" s="69"/>
      <c r="I58" s="61"/>
      <c r="J58" s="70" t="str">
        <f t="shared" si="56"/>
        <v/>
      </c>
      <c r="K58" s="74" t="str">
        <f t="shared" si="57"/>
        <v/>
      </c>
      <c r="L58" s="62" t="str">
        <f t="shared" si="58"/>
        <v/>
      </c>
      <c r="M58" s="70" t="str">
        <f t="shared" si="59"/>
        <v/>
      </c>
      <c r="N58" s="69"/>
      <c r="O58" s="61"/>
      <c r="P58" s="70" t="str">
        <f t="shared" si="60"/>
        <v/>
      </c>
      <c r="Q58" s="69"/>
      <c r="R58" s="61"/>
      <c r="S58" s="70" t="str">
        <f t="shared" si="61"/>
        <v/>
      </c>
      <c r="T58" s="69"/>
      <c r="U58" s="61"/>
      <c r="V58" s="70" t="str">
        <f t="shared" si="62"/>
        <v/>
      </c>
      <c r="W58" s="74" t="str">
        <f t="shared" si="63"/>
        <v/>
      </c>
      <c r="X58" s="62" t="str">
        <f t="shared" si="64"/>
        <v/>
      </c>
      <c r="Y58" s="70" t="str">
        <f t="shared" si="65"/>
        <v/>
      </c>
      <c r="Z58" s="69"/>
      <c r="AA58" s="61"/>
      <c r="AB58" s="70" t="str">
        <f t="shared" si="66"/>
        <v/>
      </c>
      <c r="AC58" s="69"/>
      <c r="AD58" s="61"/>
      <c r="AE58" s="70" t="str">
        <f t="shared" si="67"/>
        <v/>
      </c>
      <c r="AF58" s="69"/>
      <c r="AG58" s="61"/>
      <c r="AH58" s="70" t="str">
        <f t="shared" si="68"/>
        <v/>
      </c>
      <c r="AI58" s="74" t="str">
        <f t="shared" si="69"/>
        <v/>
      </c>
      <c r="AJ58" s="62" t="str">
        <f t="shared" si="70"/>
        <v/>
      </c>
      <c r="AK58" s="70" t="str">
        <f t="shared" si="71"/>
        <v/>
      </c>
      <c r="AL58" s="69"/>
      <c r="AM58" s="61"/>
      <c r="AN58" s="70" t="str">
        <f t="shared" si="72"/>
        <v/>
      </c>
    </row>
    <row r="59" spans="1:46" ht="18" customHeight="1" x14ac:dyDescent="0.2">
      <c r="A59" s="77" t="str">
        <f>IF($C$9="Data Not Entered On Set-Up Worksheet","",IF(OR(VLOOKUP($C$9,County_Lookup_MC,9,FALSE)="",VLOOKUP($C$9,County_Lookup_MC,9,FALSE)=0),"",VLOOKUP($C$9,County_Lookup_MC,9,FALSE)))</f>
        <v/>
      </c>
      <c r="B59" s="69"/>
      <c r="C59" s="61"/>
      <c r="D59" s="70" t="str">
        <f t="shared" si="54"/>
        <v/>
      </c>
      <c r="E59" s="69"/>
      <c r="F59" s="61"/>
      <c r="G59" s="70" t="str">
        <f t="shared" si="55"/>
        <v/>
      </c>
      <c r="H59" s="69"/>
      <c r="I59" s="61"/>
      <c r="J59" s="70" t="str">
        <f t="shared" si="56"/>
        <v/>
      </c>
      <c r="K59" s="74" t="str">
        <f t="shared" si="57"/>
        <v/>
      </c>
      <c r="L59" s="62" t="str">
        <f t="shared" si="58"/>
        <v/>
      </c>
      <c r="M59" s="70" t="str">
        <f t="shared" si="59"/>
        <v/>
      </c>
      <c r="N59" s="69"/>
      <c r="O59" s="61"/>
      <c r="P59" s="70" t="str">
        <f t="shared" si="60"/>
        <v/>
      </c>
      <c r="Q59" s="69"/>
      <c r="R59" s="61"/>
      <c r="S59" s="70" t="str">
        <f t="shared" si="61"/>
        <v/>
      </c>
      <c r="T59" s="69"/>
      <c r="U59" s="61"/>
      <c r="V59" s="70" t="str">
        <f t="shared" si="62"/>
        <v/>
      </c>
      <c r="W59" s="74" t="str">
        <f t="shared" si="63"/>
        <v/>
      </c>
      <c r="X59" s="62" t="str">
        <f t="shared" si="64"/>
        <v/>
      </c>
      <c r="Y59" s="70" t="str">
        <f t="shared" si="65"/>
        <v/>
      </c>
      <c r="Z59" s="69"/>
      <c r="AA59" s="61"/>
      <c r="AB59" s="70" t="str">
        <f t="shared" si="66"/>
        <v/>
      </c>
      <c r="AC59" s="69"/>
      <c r="AD59" s="61"/>
      <c r="AE59" s="70" t="str">
        <f t="shared" si="67"/>
        <v/>
      </c>
      <c r="AF59" s="69"/>
      <c r="AG59" s="61"/>
      <c r="AH59" s="70" t="str">
        <f t="shared" si="68"/>
        <v/>
      </c>
      <c r="AI59" s="74" t="str">
        <f t="shared" si="69"/>
        <v/>
      </c>
      <c r="AJ59" s="62" t="str">
        <f t="shared" si="70"/>
        <v/>
      </c>
      <c r="AK59" s="70" t="str">
        <f t="shared" si="71"/>
        <v/>
      </c>
      <c r="AL59" s="69"/>
      <c r="AM59" s="61"/>
      <c r="AN59" s="70" t="str">
        <f t="shared" si="72"/>
        <v/>
      </c>
    </row>
    <row r="60" spans="1:46" ht="18" customHeight="1" x14ac:dyDescent="0.2">
      <c r="A60" s="77" t="str">
        <f>IF($C$9="Data Not Entered On Set-Up Worksheet","",IF(OR(VLOOKUP($C$9,County_Lookup_MC,10,FALSE)="",VLOOKUP($C$9,County_Lookup_MC,10,FALSE)=0),"",VLOOKUP($C$9,County_Lookup_MC,10,FALSE)))</f>
        <v/>
      </c>
      <c r="B60" s="69"/>
      <c r="C60" s="61"/>
      <c r="D60" s="70" t="str">
        <f t="shared" si="54"/>
        <v/>
      </c>
      <c r="E60" s="69"/>
      <c r="F60" s="61"/>
      <c r="G60" s="70" t="str">
        <f t="shared" si="55"/>
        <v/>
      </c>
      <c r="H60" s="69"/>
      <c r="I60" s="61"/>
      <c r="J60" s="70" t="str">
        <f t="shared" si="56"/>
        <v/>
      </c>
      <c r="K60" s="74" t="str">
        <f t="shared" si="57"/>
        <v/>
      </c>
      <c r="L60" s="62" t="str">
        <f t="shared" si="58"/>
        <v/>
      </c>
      <c r="M60" s="70" t="str">
        <f t="shared" si="59"/>
        <v/>
      </c>
      <c r="N60" s="69"/>
      <c r="O60" s="61"/>
      <c r="P60" s="70" t="str">
        <f t="shared" si="60"/>
        <v/>
      </c>
      <c r="Q60" s="69"/>
      <c r="R60" s="61"/>
      <c r="S60" s="70" t="str">
        <f t="shared" si="61"/>
        <v/>
      </c>
      <c r="T60" s="69"/>
      <c r="U60" s="61"/>
      <c r="V60" s="70" t="str">
        <f t="shared" si="62"/>
        <v/>
      </c>
      <c r="W60" s="74" t="str">
        <f t="shared" si="63"/>
        <v/>
      </c>
      <c r="X60" s="62" t="str">
        <f t="shared" si="64"/>
        <v/>
      </c>
      <c r="Y60" s="70" t="str">
        <f t="shared" si="65"/>
        <v/>
      </c>
      <c r="Z60" s="69"/>
      <c r="AA60" s="61"/>
      <c r="AB60" s="70" t="str">
        <f t="shared" si="66"/>
        <v/>
      </c>
      <c r="AC60" s="69"/>
      <c r="AD60" s="61"/>
      <c r="AE60" s="70" t="str">
        <f t="shared" si="67"/>
        <v/>
      </c>
      <c r="AF60" s="69"/>
      <c r="AG60" s="61"/>
      <c r="AH60" s="70" t="str">
        <f t="shared" si="68"/>
        <v/>
      </c>
      <c r="AI60" s="74" t="str">
        <f t="shared" si="69"/>
        <v/>
      </c>
      <c r="AJ60" s="62" t="str">
        <f t="shared" si="70"/>
        <v/>
      </c>
      <c r="AK60" s="70" t="str">
        <f t="shared" si="71"/>
        <v/>
      </c>
      <c r="AL60" s="69"/>
      <c r="AM60" s="61"/>
      <c r="AN60" s="70" t="str">
        <f t="shared" si="72"/>
        <v/>
      </c>
    </row>
    <row r="61" spans="1:46" ht="18" customHeight="1" x14ac:dyDescent="0.2">
      <c r="A61" s="77" t="str">
        <f>IF($C$9="Data Not Entered On Set-Up Worksheet","",IF(OR(VLOOKUP($C$9,County_Lookup_MC,11,FALSE)="",VLOOKUP($C$9,County_Lookup_MC,11,FALSE)=0),"",VLOOKUP($C$9,County_Lookup_MC,11,FALSE)))</f>
        <v/>
      </c>
      <c r="B61" s="69"/>
      <c r="C61" s="61"/>
      <c r="D61" s="70" t="str">
        <f t="shared" si="54"/>
        <v/>
      </c>
      <c r="E61" s="69"/>
      <c r="F61" s="61"/>
      <c r="G61" s="70" t="str">
        <f t="shared" si="55"/>
        <v/>
      </c>
      <c r="H61" s="69"/>
      <c r="I61" s="61"/>
      <c r="J61" s="70" t="str">
        <f t="shared" si="56"/>
        <v/>
      </c>
      <c r="K61" s="74" t="str">
        <f t="shared" si="57"/>
        <v/>
      </c>
      <c r="L61" s="62" t="str">
        <f t="shared" si="58"/>
        <v/>
      </c>
      <c r="M61" s="70" t="str">
        <f t="shared" si="59"/>
        <v/>
      </c>
      <c r="N61" s="69"/>
      <c r="O61" s="61"/>
      <c r="P61" s="70" t="str">
        <f t="shared" si="60"/>
        <v/>
      </c>
      <c r="Q61" s="69"/>
      <c r="R61" s="61"/>
      <c r="S61" s="70" t="str">
        <f t="shared" si="61"/>
        <v/>
      </c>
      <c r="T61" s="69"/>
      <c r="U61" s="61"/>
      <c r="V61" s="70" t="str">
        <f t="shared" si="62"/>
        <v/>
      </c>
      <c r="W61" s="74" t="str">
        <f t="shared" si="63"/>
        <v/>
      </c>
      <c r="X61" s="62" t="str">
        <f t="shared" si="64"/>
        <v/>
      </c>
      <c r="Y61" s="70" t="str">
        <f t="shared" si="65"/>
        <v/>
      </c>
      <c r="Z61" s="69"/>
      <c r="AA61" s="61"/>
      <c r="AB61" s="70" t="str">
        <f t="shared" si="66"/>
        <v/>
      </c>
      <c r="AC61" s="69"/>
      <c r="AD61" s="61"/>
      <c r="AE61" s="70" t="str">
        <f t="shared" si="67"/>
        <v/>
      </c>
      <c r="AF61" s="69"/>
      <c r="AG61" s="61"/>
      <c r="AH61" s="70" t="str">
        <f t="shared" si="68"/>
        <v/>
      </c>
      <c r="AI61" s="74" t="str">
        <f t="shared" si="69"/>
        <v/>
      </c>
      <c r="AJ61" s="62" t="str">
        <f t="shared" si="70"/>
        <v/>
      </c>
      <c r="AK61" s="70" t="str">
        <f t="shared" si="71"/>
        <v/>
      </c>
      <c r="AL61" s="69"/>
      <c r="AM61" s="61"/>
      <c r="AN61" s="70" t="str">
        <f t="shared" si="72"/>
        <v/>
      </c>
    </row>
    <row r="62" spans="1:46" ht="18" customHeight="1" x14ac:dyDescent="0.2">
      <c r="A62" s="77" t="str">
        <f>IF($C$9="Data Not Entered On Set-Up Worksheet","",IF(OR(VLOOKUP($C$9,County_Lookup_MC,12,FALSE)="",VLOOKUP($C$9,County_Lookup_MC,12,FALSE)=0),"",VLOOKUP($C$9,County_Lookup_MC,12,FALSE)))</f>
        <v/>
      </c>
      <c r="B62" s="69"/>
      <c r="C62" s="61"/>
      <c r="D62" s="70" t="str">
        <f t="shared" si="54"/>
        <v/>
      </c>
      <c r="E62" s="69"/>
      <c r="F62" s="61"/>
      <c r="G62" s="70" t="str">
        <f t="shared" si="55"/>
        <v/>
      </c>
      <c r="H62" s="69"/>
      <c r="I62" s="61"/>
      <c r="J62" s="70" t="str">
        <f t="shared" si="56"/>
        <v/>
      </c>
      <c r="K62" s="74" t="str">
        <f t="shared" si="57"/>
        <v/>
      </c>
      <c r="L62" s="62" t="str">
        <f t="shared" si="58"/>
        <v/>
      </c>
      <c r="M62" s="70" t="str">
        <f t="shared" si="59"/>
        <v/>
      </c>
      <c r="N62" s="69"/>
      <c r="O62" s="61"/>
      <c r="P62" s="70" t="str">
        <f t="shared" si="60"/>
        <v/>
      </c>
      <c r="Q62" s="69"/>
      <c r="R62" s="61"/>
      <c r="S62" s="70" t="str">
        <f t="shared" si="61"/>
        <v/>
      </c>
      <c r="T62" s="69"/>
      <c r="U62" s="61"/>
      <c r="V62" s="70" t="str">
        <f t="shared" si="62"/>
        <v/>
      </c>
      <c r="W62" s="74" t="str">
        <f t="shared" si="63"/>
        <v/>
      </c>
      <c r="X62" s="62" t="str">
        <f t="shared" si="64"/>
        <v/>
      </c>
      <c r="Y62" s="70" t="str">
        <f t="shared" si="65"/>
        <v/>
      </c>
      <c r="Z62" s="69"/>
      <c r="AA62" s="61"/>
      <c r="AB62" s="70" t="str">
        <f t="shared" si="66"/>
        <v/>
      </c>
      <c r="AC62" s="69"/>
      <c r="AD62" s="61"/>
      <c r="AE62" s="70" t="str">
        <f t="shared" si="67"/>
        <v/>
      </c>
      <c r="AF62" s="69"/>
      <c r="AG62" s="61"/>
      <c r="AH62" s="70" t="str">
        <f t="shared" si="68"/>
        <v/>
      </c>
      <c r="AI62" s="74" t="str">
        <f t="shared" si="69"/>
        <v/>
      </c>
      <c r="AJ62" s="62" t="str">
        <f t="shared" si="70"/>
        <v/>
      </c>
      <c r="AK62" s="70" t="str">
        <f t="shared" si="71"/>
        <v/>
      </c>
      <c r="AL62" s="69"/>
      <c r="AM62" s="61"/>
      <c r="AN62" s="70" t="str">
        <f t="shared" si="72"/>
        <v/>
      </c>
    </row>
    <row r="63" spans="1:46" ht="18" customHeight="1" x14ac:dyDescent="0.2">
      <c r="A63" s="77" t="str">
        <f>IF($C$9="Data Not Entered On Set-Up Worksheet","",IF(OR(VLOOKUP($C$9,County_Lookup_MC,13,FALSE)="",VLOOKUP($C$9,County_Lookup_MC,13,FALSE)=0),"",VLOOKUP($C$9,County_Lookup_MC,13,FALSE)))</f>
        <v/>
      </c>
      <c r="B63" s="69"/>
      <c r="C63" s="61"/>
      <c r="D63" s="70" t="str">
        <f t="shared" si="54"/>
        <v/>
      </c>
      <c r="E63" s="69"/>
      <c r="F63" s="61"/>
      <c r="G63" s="70" t="str">
        <f t="shared" si="55"/>
        <v/>
      </c>
      <c r="H63" s="69"/>
      <c r="I63" s="61"/>
      <c r="J63" s="70" t="str">
        <f t="shared" si="56"/>
        <v/>
      </c>
      <c r="K63" s="74" t="str">
        <f t="shared" si="57"/>
        <v/>
      </c>
      <c r="L63" s="62" t="str">
        <f t="shared" si="58"/>
        <v/>
      </c>
      <c r="M63" s="70" t="str">
        <f t="shared" si="59"/>
        <v/>
      </c>
      <c r="N63" s="69"/>
      <c r="O63" s="61"/>
      <c r="P63" s="70" t="str">
        <f t="shared" si="60"/>
        <v/>
      </c>
      <c r="Q63" s="69"/>
      <c r="R63" s="61"/>
      <c r="S63" s="70" t="str">
        <f t="shared" si="61"/>
        <v/>
      </c>
      <c r="T63" s="69"/>
      <c r="U63" s="61"/>
      <c r="V63" s="70" t="str">
        <f t="shared" si="62"/>
        <v/>
      </c>
      <c r="W63" s="74" t="str">
        <f t="shared" si="63"/>
        <v/>
      </c>
      <c r="X63" s="62" t="str">
        <f t="shared" si="64"/>
        <v/>
      </c>
      <c r="Y63" s="70" t="str">
        <f t="shared" si="65"/>
        <v/>
      </c>
      <c r="Z63" s="69"/>
      <c r="AA63" s="61"/>
      <c r="AB63" s="70" t="str">
        <f t="shared" si="66"/>
        <v/>
      </c>
      <c r="AC63" s="69"/>
      <c r="AD63" s="61"/>
      <c r="AE63" s="70" t="str">
        <f t="shared" si="67"/>
        <v/>
      </c>
      <c r="AF63" s="69"/>
      <c r="AG63" s="61"/>
      <c r="AH63" s="70" t="str">
        <f t="shared" si="68"/>
        <v/>
      </c>
      <c r="AI63" s="74" t="str">
        <f t="shared" si="69"/>
        <v/>
      </c>
      <c r="AJ63" s="62" t="str">
        <f t="shared" si="70"/>
        <v/>
      </c>
      <c r="AK63" s="70" t="str">
        <f t="shared" si="71"/>
        <v/>
      </c>
      <c r="AL63" s="69"/>
      <c r="AM63" s="61"/>
      <c r="AN63" s="70" t="str">
        <f t="shared" si="72"/>
        <v/>
      </c>
    </row>
    <row r="64" spans="1:46" ht="18" customHeight="1" x14ac:dyDescent="0.2">
      <c r="A64" s="77" t="str">
        <f>IF($C$9="Data Not Entered On Set-Up Worksheet","",IF(OR(VLOOKUP($C$9,County_Lookup_MC,14,FALSE)="",VLOOKUP($C$9,County_Lookup_MC,14,FALSE)=0),"",VLOOKUP($C$9,County_Lookup_MC,14,FALSE)))</f>
        <v/>
      </c>
      <c r="B64" s="69"/>
      <c r="C64" s="61"/>
      <c r="D64" s="70" t="str">
        <f t="shared" si="54"/>
        <v/>
      </c>
      <c r="E64" s="69"/>
      <c r="F64" s="61"/>
      <c r="G64" s="70" t="str">
        <f t="shared" si="55"/>
        <v/>
      </c>
      <c r="H64" s="69"/>
      <c r="I64" s="61"/>
      <c r="J64" s="70" t="str">
        <f t="shared" si="56"/>
        <v/>
      </c>
      <c r="K64" s="74" t="str">
        <f t="shared" si="57"/>
        <v/>
      </c>
      <c r="L64" s="62" t="str">
        <f t="shared" si="58"/>
        <v/>
      </c>
      <c r="M64" s="70" t="str">
        <f t="shared" si="59"/>
        <v/>
      </c>
      <c r="N64" s="69"/>
      <c r="O64" s="61"/>
      <c r="P64" s="70" t="str">
        <f t="shared" si="60"/>
        <v/>
      </c>
      <c r="Q64" s="69"/>
      <c r="R64" s="61"/>
      <c r="S64" s="70" t="str">
        <f t="shared" si="61"/>
        <v/>
      </c>
      <c r="T64" s="69"/>
      <c r="U64" s="61"/>
      <c r="V64" s="70" t="str">
        <f t="shared" si="62"/>
        <v/>
      </c>
      <c r="W64" s="74" t="str">
        <f t="shared" si="63"/>
        <v/>
      </c>
      <c r="X64" s="62" t="str">
        <f t="shared" si="64"/>
        <v/>
      </c>
      <c r="Y64" s="70" t="str">
        <f t="shared" si="65"/>
        <v/>
      </c>
      <c r="Z64" s="69"/>
      <c r="AA64" s="61"/>
      <c r="AB64" s="70" t="str">
        <f t="shared" si="66"/>
        <v/>
      </c>
      <c r="AC64" s="69"/>
      <c r="AD64" s="61"/>
      <c r="AE64" s="70" t="str">
        <f t="shared" si="67"/>
        <v/>
      </c>
      <c r="AF64" s="69"/>
      <c r="AG64" s="61"/>
      <c r="AH64" s="70" t="str">
        <f t="shared" si="68"/>
        <v/>
      </c>
      <c r="AI64" s="74" t="str">
        <f t="shared" si="69"/>
        <v/>
      </c>
      <c r="AJ64" s="62" t="str">
        <f t="shared" si="70"/>
        <v/>
      </c>
      <c r="AK64" s="70" t="str">
        <f t="shared" si="71"/>
        <v/>
      </c>
      <c r="AL64" s="69"/>
      <c r="AM64" s="61"/>
      <c r="AN64" s="70" t="str">
        <f t="shared" si="72"/>
        <v/>
      </c>
    </row>
    <row r="65" spans="1:40" ht="18" customHeight="1" x14ac:dyDescent="0.2">
      <c r="A65" s="76" t="str">
        <f>IF($C$9="Data Not Entered On Set-Up Worksheet","",IF(OR(VLOOKUP($C$9,County_Lookup_MC,15,FALSE)="",VLOOKUP($C$9,County_Lookup_MC,15,FALSE)=0),"",VLOOKUP($C$9,County_Lookup_MC,15,FALSE)))</f>
        <v/>
      </c>
      <c r="B65" s="69"/>
      <c r="C65" s="61"/>
      <c r="D65" s="70" t="str">
        <f t="shared" si="54"/>
        <v/>
      </c>
      <c r="E65" s="69"/>
      <c r="F65" s="61"/>
      <c r="G65" s="70" t="str">
        <f t="shared" si="55"/>
        <v/>
      </c>
      <c r="H65" s="69"/>
      <c r="I65" s="61"/>
      <c r="J65" s="70" t="str">
        <f t="shared" si="56"/>
        <v/>
      </c>
      <c r="K65" s="74" t="str">
        <f t="shared" si="57"/>
        <v/>
      </c>
      <c r="L65" s="62" t="str">
        <f t="shared" si="58"/>
        <v/>
      </c>
      <c r="M65" s="70" t="str">
        <f t="shared" si="59"/>
        <v/>
      </c>
      <c r="N65" s="69"/>
      <c r="O65" s="61"/>
      <c r="P65" s="70" t="str">
        <f t="shared" si="60"/>
        <v/>
      </c>
      <c r="Q65" s="69"/>
      <c r="R65" s="61"/>
      <c r="S65" s="70" t="str">
        <f t="shared" si="61"/>
        <v/>
      </c>
      <c r="T65" s="69"/>
      <c r="U65" s="61"/>
      <c r="V65" s="70" t="str">
        <f t="shared" si="62"/>
        <v/>
      </c>
      <c r="W65" s="74" t="str">
        <f t="shared" si="63"/>
        <v/>
      </c>
      <c r="X65" s="62" t="str">
        <f t="shared" si="64"/>
        <v/>
      </c>
      <c r="Y65" s="70" t="str">
        <f t="shared" si="65"/>
        <v/>
      </c>
      <c r="Z65" s="69"/>
      <c r="AA65" s="61"/>
      <c r="AB65" s="70" t="str">
        <f t="shared" si="66"/>
        <v/>
      </c>
      <c r="AC65" s="69"/>
      <c r="AD65" s="61"/>
      <c r="AE65" s="70" t="str">
        <f t="shared" si="67"/>
        <v/>
      </c>
      <c r="AF65" s="69"/>
      <c r="AG65" s="61"/>
      <c r="AH65" s="70" t="str">
        <f t="shared" si="68"/>
        <v/>
      </c>
      <c r="AI65" s="74" t="str">
        <f t="shared" si="69"/>
        <v/>
      </c>
      <c r="AJ65" s="62" t="str">
        <f t="shared" si="70"/>
        <v/>
      </c>
      <c r="AK65" s="70" t="str">
        <f t="shared" si="71"/>
        <v/>
      </c>
      <c r="AL65" s="69"/>
      <c r="AM65" s="61"/>
      <c r="AN65" s="70" t="str">
        <f t="shared" si="72"/>
        <v/>
      </c>
    </row>
    <row r="66" spans="1:40" ht="18" customHeight="1" x14ac:dyDescent="0.2">
      <c r="A66" s="77" t="str">
        <f>IF($C$9="Data Not Entered On Set-Up Worksheet","",IF(OR(VLOOKUP($C$9,County_Lookup_MC,16,FALSE)="",VLOOKUP($C$9,County_Lookup_MC,16,FALSE)=0),"",VLOOKUP($C$9,County_Lookup_MC,16,FALSE)))</f>
        <v/>
      </c>
      <c r="B66" s="69"/>
      <c r="C66" s="61"/>
      <c r="D66" s="70" t="str">
        <f t="shared" si="54"/>
        <v/>
      </c>
      <c r="E66" s="69"/>
      <c r="F66" s="61"/>
      <c r="G66" s="70" t="str">
        <f t="shared" si="55"/>
        <v/>
      </c>
      <c r="H66" s="69"/>
      <c r="I66" s="61"/>
      <c r="J66" s="70" t="str">
        <f t="shared" si="56"/>
        <v/>
      </c>
      <c r="K66" s="74" t="str">
        <f t="shared" si="57"/>
        <v/>
      </c>
      <c r="L66" s="62" t="str">
        <f t="shared" si="58"/>
        <v/>
      </c>
      <c r="M66" s="70" t="str">
        <f t="shared" si="59"/>
        <v/>
      </c>
      <c r="N66" s="69"/>
      <c r="O66" s="61"/>
      <c r="P66" s="70" t="str">
        <f t="shared" si="60"/>
        <v/>
      </c>
      <c r="Q66" s="69"/>
      <c r="R66" s="61"/>
      <c r="S66" s="70" t="str">
        <f t="shared" si="61"/>
        <v/>
      </c>
      <c r="T66" s="69"/>
      <c r="U66" s="61"/>
      <c r="V66" s="70" t="str">
        <f t="shared" si="62"/>
        <v/>
      </c>
      <c r="W66" s="74" t="str">
        <f t="shared" si="63"/>
        <v/>
      </c>
      <c r="X66" s="62" t="str">
        <f t="shared" si="64"/>
        <v/>
      </c>
      <c r="Y66" s="70" t="str">
        <f t="shared" si="65"/>
        <v/>
      </c>
      <c r="Z66" s="69"/>
      <c r="AA66" s="61"/>
      <c r="AB66" s="70" t="str">
        <f t="shared" si="66"/>
        <v/>
      </c>
      <c r="AC66" s="69"/>
      <c r="AD66" s="61"/>
      <c r="AE66" s="70" t="str">
        <f t="shared" si="67"/>
        <v/>
      </c>
      <c r="AF66" s="69"/>
      <c r="AG66" s="61"/>
      <c r="AH66" s="70" t="str">
        <f t="shared" si="68"/>
        <v/>
      </c>
      <c r="AI66" s="74" t="str">
        <f t="shared" si="69"/>
        <v/>
      </c>
      <c r="AJ66" s="62" t="str">
        <f t="shared" si="70"/>
        <v/>
      </c>
      <c r="AK66" s="70" t="str">
        <f t="shared" si="71"/>
        <v/>
      </c>
      <c r="AL66" s="69"/>
      <c r="AM66" s="61"/>
      <c r="AN66" s="70" t="str">
        <f t="shared" si="72"/>
        <v/>
      </c>
    </row>
    <row r="67" spans="1:40" ht="18" customHeight="1" x14ac:dyDescent="0.2">
      <c r="A67" s="77" t="str">
        <f>IF($C$9="Data Not Entered On Set-Up Worksheet","",IF(OR(VLOOKUP($C$9,County_Lookup_MC,17,FALSE)="",VLOOKUP($C$9,County_Lookup_MC,17,FALSE)=0),"",VLOOKUP($C$9,County_Lookup_MC,17,FALSE)))</f>
        <v/>
      </c>
      <c r="B67" s="69"/>
      <c r="C67" s="61"/>
      <c r="D67" s="70" t="str">
        <f t="shared" si="54"/>
        <v/>
      </c>
      <c r="E67" s="69"/>
      <c r="F67" s="61"/>
      <c r="G67" s="70" t="str">
        <f t="shared" si="55"/>
        <v/>
      </c>
      <c r="H67" s="69"/>
      <c r="I67" s="61"/>
      <c r="J67" s="70" t="str">
        <f t="shared" si="56"/>
        <v/>
      </c>
      <c r="K67" s="74" t="str">
        <f t="shared" si="57"/>
        <v/>
      </c>
      <c r="L67" s="62" t="str">
        <f t="shared" si="58"/>
        <v/>
      </c>
      <c r="M67" s="70" t="str">
        <f t="shared" si="59"/>
        <v/>
      </c>
      <c r="N67" s="69"/>
      <c r="O67" s="61"/>
      <c r="P67" s="70" t="str">
        <f t="shared" si="60"/>
        <v/>
      </c>
      <c r="Q67" s="69"/>
      <c r="R67" s="61"/>
      <c r="S67" s="70" t="str">
        <f t="shared" si="61"/>
        <v/>
      </c>
      <c r="T67" s="69"/>
      <c r="U67" s="61"/>
      <c r="V67" s="70" t="str">
        <f t="shared" si="62"/>
        <v/>
      </c>
      <c r="W67" s="74" t="str">
        <f t="shared" si="63"/>
        <v/>
      </c>
      <c r="X67" s="62" t="str">
        <f t="shared" si="64"/>
        <v/>
      </c>
      <c r="Y67" s="70" t="str">
        <f t="shared" si="65"/>
        <v/>
      </c>
      <c r="Z67" s="69"/>
      <c r="AA67" s="61"/>
      <c r="AB67" s="70" t="str">
        <f t="shared" si="66"/>
        <v/>
      </c>
      <c r="AC67" s="69"/>
      <c r="AD67" s="61"/>
      <c r="AE67" s="70" t="str">
        <f t="shared" si="67"/>
        <v/>
      </c>
      <c r="AF67" s="69"/>
      <c r="AG67" s="61"/>
      <c r="AH67" s="70" t="str">
        <f t="shared" si="68"/>
        <v/>
      </c>
      <c r="AI67" s="74" t="str">
        <f t="shared" si="69"/>
        <v/>
      </c>
      <c r="AJ67" s="62" t="str">
        <f t="shared" si="70"/>
        <v/>
      </c>
      <c r="AK67" s="70" t="str">
        <f t="shared" si="71"/>
        <v/>
      </c>
      <c r="AL67" s="69"/>
      <c r="AM67" s="61"/>
      <c r="AN67" s="70" t="str">
        <f t="shared" si="72"/>
        <v/>
      </c>
    </row>
    <row r="68" spans="1:40" ht="18" customHeight="1" x14ac:dyDescent="0.2">
      <c r="A68" s="77" t="str">
        <f>IF($C$9="Data Not Entered On Set-Up Worksheet","",IF(OR(VLOOKUP($C$9,County_Lookup_MC,18,FALSE)="",VLOOKUP($C$9,County_Lookup_MC,18,FALSE)=0),"",VLOOKUP($C$9,County_Lookup_MC,18,FALSE)))</f>
        <v/>
      </c>
      <c r="B68" s="69"/>
      <c r="C68" s="61"/>
      <c r="D68" s="70" t="str">
        <f t="shared" si="54"/>
        <v/>
      </c>
      <c r="E68" s="69"/>
      <c r="F68" s="61"/>
      <c r="G68" s="70" t="str">
        <f t="shared" si="55"/>
        <v/>
      </c>
      <c r="H68" s="69"/>
      <c r="I68" s="61"/>
      <c r="J68" s="70" t="str">
        <f t="shared" si="56"/>
        <v/>
      </c>
      <c r="K68" s="74" t="str">
        <f t="shared" si="57"/>
        <v/>
      </c>
      <c r="L68" s="62" t="str">
        <f t="shared" si="58"/>
        <v/>
      </c>
      <c r="M68" s="70" t="str">
        <f t="shared" si="59"/>
        <v/>
      </c>
      <c r="N68" s="69"/>
      <c r="O68" s="61"/>
      <c r="P68" s="70" t="str">
        <f t="shared" si="60"/>
        <v/>
      </c>
      <c r="Q68" s="69"/>
      <c r="R68" s="61"/>
      <c r="S68" s="70" t="str">
        <f t="shared" si="61"/>
        <v/>
      </c>
      <c r="T68" s="69"/>
      <c r="U68" s="61"/>
      <c r="V68" s="70" t="str">
        <f t="shared" si="62"/>
        <v/>
      </c>
      <c r="W68" s="74" t="str">
        <f t="shared" si="63"/>
        <v/>
      </c>
      <c r="X68" s="62" t="str">
        <f t="shared" si="64"/>
        <v/>
      </c>
      <c r="Y68" s="70" t="str">
        <f t="shared" si="65"/>
        <v/>
      </c>
      <c r="Z68" s="69"/>
      <c r="AA68" s="61"/>
      <c r="AB68" s="70" t="str">
        <f t="shared" si="66"/>
        <v/>
      </c>
      <c r="AC68" s="69"/>
      <c r="AD68" s="61"/>
      <c r="AE68" s="70" t="str">
        <f t="shared" si="67"/>
        <v/>
      </c>
      <c r="AF68" s="69"/>
      <c r="AG68" s="61"/>
      <c r="AH68" s="70" t="str">
        <f t="shared" si="68"/>
        <v/>
      </c>
      <c r="AI68" s="74" t="str">
        <f t="shared" si="69"/>
        <v/>
      </c>
      <c r="AJ68" s="62" t="str">
        <f t="shared" si="70"/>
        <v/>
      </c>
      <c r="AK68" s="70" t="str">
        <f t="shared" si="71"/>
        <v/>
      </c>
      <c r="AL68" s="69"/>
      <c r="AM68" s="61"/>
      <c r="AN68" s="70" t="str">
        <f t="shared" si="72"/>
        <v/>
      </c>
    </row>
    <row r="69" spans="1:40" ht="18" customHeight="1" x14ac:dyDescent="0.2">
      <c r="A69" s="77" t="str">
        <f>IF($C$9="Data Not Entered On Set-Up Worksheet","",IF(OR(VLOOKUP($C$9,County_Lookup_MC,19,FALSE)="",VLOOKUP($C$9,County_Lookup_MC,19,FALSE)=0),"",VLOOKUP($C$9,County_Lookup_MC,19,FALSE)))</f>
        <v/>
      </c>
      <c r="B69" s="69"/>
      <c r="C69" s="61"/>
      <c r="D69" s="70" t="str">
        <f t="shared" si="54"/>
        <v/>
      </c>
      <c r="E69" s="69"/>
      <c r="F69" s="61"/>
      <c r="G69" s="70" t="str">
        <f t="shared" si="55"/>
        <v/>
      </c>
      <c r="H69" s="69"/>
      <c r="I69" s="61"/>
      <c r="J69" s="70" t="str">
        <f t="shared" si="56"/>
        <v/>
      </c>
      <c r="K69" s="74" t="str">
        <f t="shared" si="57"/>
        <v/>
      </c>
      <c r="L69" s="62" t="str">
        <f t="shared" si="58"/>
        <v/>
      </c>
      <c r="M69" s="70" t="str">
        <f t="shared" si="59"/>
        <v/>
      </c>
      <c r="N69" s="69"/>
      <c r="O69" s="61"/>
      <c r="P69" s="70" t="str">
        <f t="shared" si="60"/>
        <v/>
      </c>
      <c r="Q69" s="69"/>
      <c r="R69" s="61"/>
      <c r="S69" s="70" t="str">
        <f t="shared" si="61"/>
        <v/>
      </c>
      <c r="T69" s="69"/>
      <c r="U69" s="61"/>
      <c r="V69" s="70" t="str">
        <f t="shared" si="62"/>
        <v/>
      </c>
      <c r="W69" s="74" t="str">
        <f t="shared" si="63"/>
        <v/>
      </c>
      <c r="X69" s="62" t="str">
        <f t="shared" si="64"/>
        <v/>
      </c>
      <c r="Y69" s="70" t="str">
        <f t="shared" si="65"/>
        <v/>
      </c>
      <c r="Z69" s="69"/>
      <c r="AA69" s="61"/>
      <c r="AB69" s="70" t="str">
        <f t="shared" si="66"/>
        <v/>
      </c>
      <c r="AC69" s="69"/>
      <c r="AD69" s="61"/>
      <c r="AE69" s="70" t="str">
        <f t="shared" si="67"/>
        <v/>
      </c>
      <c r="AF69" s="69"/>
      <c r="AG69" s="61"/>
      <c r="AH69" s="70" t="str">
        <f t="shared" si="68"/>
        <v/>
      </c>
      <c r="AI69" s="74" t="str">
        <f t="shared" si="69"/>
        <v/>
      </c>
      <c r="AJ69" s="62" t="str">
        <f t="shared" si="70"/>
        <v/>
      </c>
      <c r="AK69" s="70" t="str">
        <f t="shared" si="71"/>
        <v/>
      </c>
      <c r="AL69" s="69"/>
      <c r="AM69" s="61"/>
      <c r="AN69" s="70" t="str">
        <f t="shared" si="72"/>
        <v/>
      </c>
    </row>
    <row r="70" spans="1:40" ht="18" customHeight="1" x14ac:dyDescent="0.2">
      <c r="A70" s="77" t="str">
        <f>IF($C$9="Data Not Entered On Set-Up Worksheet","",IF(OR(VLOOKUP($C$9,County_Lookup_MC,20,FALSE)="",VLOOKUP($C$9,County_Lookup_MC,20,FALSE)=0),"",VLOOKUP($C$9,County_Lookup_MC,20,FALSE)))</f>
        <v/>
      </c>
      <c r="B70" s="69"/>
      <c r="C70" s="61"/>
      <c r="D70" s="70" t="str">
        <f t="shared" si="54"/>
        <v/>
      </c>
      <c r="E70" s="69"/>
      <c r="F70" s="61"/>
      <c r="G70" s="70" t="str">
        <f t="shared" si="55"/>
        <v/>
      </c>
      <c r="H70" s="69"/>
      <c r="I70" s="61"/>
      <c r="J70" s="70" t="str">
        <f t="shared" si="56"/>
        <v/>
      </c>
      <c r="K70" s="74" t="str">
        <f t="shared" si="57"/>
        <v/>
      </c>
      <c r="L70" s="62" t="str">
        <f t="shared" si="58"/>
        <v/>
      </c>
      <c r="M70" s="70" t="str">
        <f t="shared" si="59"/>
        <v/>
      </c>
      <c r="N70" s="69"/>
      <c r="O70" s="61"/>
      <c r="P70" s="70" t="str">
        <f t="shared" si="60"/>
        <v/>
      </c>
      <c r="Q70" s="69"/>
      <c r="R70" s="61"/>
      <c r="S70" s="70" t="str">
        <f t="shared" si="61"/>
        <v/>
      </c>
      <c r="T70" s="69"/>
      <c r="U70" s="61"/>
      <c r="V70" s="70" t="str">
        <f t="shared" si="62"/>
        <v/>
      </c>
      <c r="W70" s="74" t="str">
        <f t="shared" si="63"/>
        <v/>
      </c>
      <c r="X70" s="62" t="str">
        <f t="shared" si="64"/>
        <v/>
      </c>
      <c r="Y70" s="70" t="str">
        <f t="shared" si="65"/>
        <v/>
      </c>
      <c r="Z70" s="69"/>
      <c r="AA70" s="61"/>
      <c r="AB70" s="70" t="str">
        <f t="shared" si="66"/>
        <v/>
      </c>
      <c r="AC70" s="69"/>
      <c r="AD70" s="61"/>
      <c r="AE70" s="70" t="str">
        <f t="shared" si="67"/>
        <v/>
      </c>
      <c r="AF70" s="69"/>
      <c r="AG70" s="61"/>
      <c r="AH70" s="70" t="str">
        <f t="shared" si="68"/>
        <v/>
      </c>
      <c r="AI70" s="74" t="str">
        <f t="shared" si="69"/>
        <v/>
      </c>
      <c r="AJ70" s="62" t="str">
        <f t="shared" si="70"/>
        <v/>
      </c>
      <c r="AK70" s="70" t="str">
        <f t="shared" si="71"/>
        <v/>
      </c>
      <c r="AL70" s="69"/>
      <c r="AM70" s="61"/>
      <c r="AN70" s="70" t="str">
        <f t="shared" si="72"/>
        <v/>
      </c>
    </row>
    <row r="71" spans="1:40" ht="18" customHeight="1" x14ac:dyDescent="0.2">
      <c r="A71" s="77" t="str">
        <f>IF($C$9="Data Not Entered On Set-Up Worksheet","",IF(OR(VLOOKUP($C$9,County_Lookup_MC,21,FALSE)="",VLOOKUP($C$9,County_Lookup_MC,21,FALSE)=0),"",VLOOKUP($C$9,County_Lookup_MC,21,FALSE)))</f>
        <v/>
      </c>
      <c r="B71" s="69"/>
      <c r="C71" s="61"/>
      <c r="D71" s="70" t="str">
        <f t="shared" si="54"/>
        <v/>
      </c>
      <c r="E71" s="69"/>
      <c r="F71" s="61"/>
      <c r="G71" s="70" t="str">
        <f t="shared" si="55"/>
        <v/>
      </c>
      <c r="H71" s="69"/>
      <c r="I71" s="61"/>
      <c r="J71" s="70" t="str">
        <f t="shared" si="56"/>
        <v/>
      </c>
      <c r="K71" s="74" t="str">
        <f t="shared" si="57"/>
        <v/>
      </c>
      <c r="L71" s="62" t="str">
        <f t="shared" si="58"/>
        <v/>
      </c>
      <c r="M71" s="70" t="str">
        <f t="shared" si="59"/>
        <v/>
      </c>
      <c r="N71" s="69"/>
      <c r="O71" s="61"/>
      <c r="P71" s="70" t="str">
        <f t="shared" si="60"/>
        <v/>
      </c>
      <c r="Q71" s="69"/>
      <c r="R71" s="61"/>
      <c r="S71" s="70" t="str">
        <f t="shared" si="61"/>
        <v/>
      </c>
      <c r="T71" s="69"/>
      <c r="U71" s="61"/>
      <c r="V71" s="70" t="str">
        <f t="shared" si="62"/>
        <v/>
      </c>
      <c r="W71" s="74" t="str">
        <f t="shared" si="63"/>
        <v/>
      </c>
      <c r="X71" s="62" t="str">
        <f t="shared" si="64"/>
        <v/>
      </c>
      <c r="Y71" s="70" t="str">
        <f t="shared" si="65"/>
        <v/>
      </c>
      <c r="Z71" s="69"/>
      <c r="AA71" s="61"/>
      <c r="AB71" s="70" t="str">
        <f t="shared" si="66"/>
        <v/>
      </c>
      <c r="AC71" s="69"/>
      <c r="AD71" s="61"/>
      <c r="AE71" s="70" t="str">
        <f t="shared" si="67"/>
        <v/>
      </c>
      <c r="AF71" s="69"/>
      <c r="AG71" s="61"/>
      <c r="AH71" s="70" t="str">
        <f t="shared" si="68"/>
        <v/>
      </c>
      <c r="AI71" s="74" t="str">
        <f t="shared" si="69"/>
        <v/>
      </c>
      <c r="AJ71" s="62" t="str">
        <f t="shared" si="70"/>
        <v/>
      </c>
      <c r="AK71" s="70" t="str">
        <f t="shared" si="71"/>
        <v/>
      </c>
      <c r="AL71" s="69"/>
      <c r="AM71" s="61"/>
      <c r="AN71" s="70" t="str">
        <f t="shared" si="72"/>
        <v/>
      </c>
    </row>
    <row r="72" spans="1:40" ht="18" customHeight="1" x14ac:dyDescent="0.2">
      <c r="A72" s="76" t="str">
        <f>IF($C$9="Data Not Entered On Set-Up Worksheet","",IF(OR(VLOOKUP($C$9,County_Lookup_MC,22,FALSE)="",VLOOKUP($C$9,County_Lookup_MC,22,FALSE)=0),"",VLOOKUP($C$9,County_Lookup_MC,22,FALSE)))</f>
        <v/>
      </c>
      <c r="B72" s="69"/>
      <c r="C72" s="61"/>
      <c r="D72" s="70" t="str">
        <f t="shared" si="54"/>
        <v/>
      </c>
      <c r="E72" s="69"/>
      <c r="F72" s="61"/>
      <c r="G72" s="70" t="str">
        <f t="shared" si="55"/>
        <v/>
      </c>
      <c r="H72" s="69"/>
      <c r="I72" s="61"/>
      <c r="J72" s="70" t="str">
        <f t="shared" si="56"/>
        <v/>
      </c>
      <c r="K72" s="74" t="str">
        <f t="shared" si="57"/>
        <v/>
      </c>
      <c r="L72" s="62" t="str">
        <f t="shared" si="58"/>
        <v/>
      </c>
      <c r="M72" s="70" t="str">
        <f t="shared" si="59"/>
        <v/>
      </c>
      <c r="N72" s="69"/>
      <c r="O72" s="61"/>
      <c r="P72" s="70" t="str">
        <f t="shared" si="60"/>
        <v/>
      </c>
      <c r="Q72" s="69"/>
      <c r="R72" s="61"/>
      <c r="S72" s="70" t="str">
        <f t="shared" si="61"/>
        <v/>
      </c>
      <c r="T72" s="69"/>
      <c r="U72" s="61"/>
      <c r="V72" s="70" t="str">
        <f t="shared" si="62"/>
        <v/>
      </c>
      <c r="W72" s="74" t="str">
        <f t="shared" si="63"/>
        <v/>
      </c>
      <c r="X72" s="62" t="str">
        <f t="shared" si="64"/>
        <v/>
      </c>
      <c r="Y72" s="70" t="str">
        <f t="shared" si="65"/>
        <v/>
      </c>
      <c r="Z72" s="69"/>
      <c r="AA72" s="61"/>
      <c r="AB72" s="70" t="str">
        <f t="shared" si="66"/>
        <v/>
      </c>
      <c r="AC72" s="69"/>
      <c r="AD72" s="61"/>
      <c r="AE72" s="70" t="str">
        <f t="shared" si="67"/>
        <v/>
      </c>
      <c r="AF72" s="69"/>
      <c r="AG72" s="61"/>
      <c r="AH72" s="70" t="str">
        <f t="shared" si="68"/>
        <v/>
      </c>
      <c r="AI72" s="74" t="str">
        <f t="shared" si="69"/>
        <v/>
      </c>
      <c r="AJ72" s="62" t="str">
        <f t="shared" si="70"/>
        <v/>
      </c>
      <c r="AK72" s="70" t="str">
        <f t="shared" si="71"/>
        <v/>
      </c>
      <c r="AL72" s="69"/>
      <c r="AM72" s="61"/>
      <c r="AN72" s="70" t="str">
        <f t="shared" si="72"/>
        <v/>
      </c>
    </row>
    <row r="73" spans="1:40" ht="18" customHeight="1" x14ac:dyDescent="0.2">
      <c r="A73" s="77" t="str">
        <f>IF($C$9="Data Not Entered On Set-Up Worksheet","",IF(OR(VLOOKUP($C$9,County_Lookup_MC,23,FALSE)="",VLOOKUP($C$9,County_Lookup_MC,23,FALSE)=0),"",VLOOKUP($C$9,County_Lookup_MC,23,FALSE)))</f>
        <v/>
      </c>
      <c r="B73" s="69"/>
      <c r="C73" s="61"/>
      <c r="D73" s="70" t="str">
        <f t="shared" si="54"/>
        <v/>
      </c>
      <c r="E73" s="69"/>
      <c r="F73" s="61"/>
      <c r="G73" s="70" t="str">
        <f t="shared" si="55"/>
        <v/>
      </c>
      <c r="H73" s="69"/>
      <c r="I73" s="61"/>
      <c r="J73" s="70" t="str">
        <f t="shared" si="56"/>
        <v/>
      </c>
      <c r="K73" s="74" t="str">
        <f t="shared" si="57"/>
        <v/>
      </c>
      <c r="L73" s="62" t="str">
        <f t="shared" si="58"/>
        <v/>
      </c>
      <c r="M73" s="70" t="str">
        <f t="shared" si="59"/>
        <v/>
      </c>
      <c r="N73" s="69"/>
      <c r="O73" s="61"/>
      <c r="P73" s="70" t="str">
        <f t="shared" si="60"/>
        <v/>
      </c>
      <c r="Q73" s="69"/>
      <c r="R73" s="61"/>
      <c r="S73" s="70" t="str">
        <f t="shared" si="61"/>
        <v/>
      </c>
      <c r="T73" s="69"/>
      <c r="U73" s="61"/>
      <c r="V73" s="70" t="str">
        <f t="shared" si="62"/>
        <v/>
      </c>
      <c r="W73" s="74" t="str">
        <f t="shared" si="63"/>
        <v/>
      </c>
      <c r="X73" s="62" t="str">
        <f t="shared" si="64"/>
        <v/>
      </c>
      <c r="Y73" s="70" t="str">
        <f t="shared" si="65"/>
        <v/>
      </c>
      <c r="Z73" s="69"/>
      <c r="AA73" s="61"/>
      <c r="AB73" s="70" t="str">
        <f t="shared" si="66"/>
        <v/>
      </c>
      <c r="AC73" s="69"/>
      <c r="AD73" s="61"/>
      <c r="AE73" s="70" t="str">
        <f t="shared" si="67"/>
        <v/>
      </c>
      <c r="AF73" s="69"/>
      <c r="AG73" s="61"/>
      <c r="AH73" s="70" t="str">
        <f t="shared" si="68"/>
        <v/>
      </c>
      <c r="AI73" s="74" t="str">
        <f t="shared" si="69"/>
        <v/>
      </c>
      <c r="AJ73" s="62" t="str">
        <f t="shared" si="70"/>
        <v/>
      </c>
      <c r="AK73" s="70" t="str">
        <f t="shared" si="71"/>
        <v/>
      </c>
      <c r="AL73" s="69"/>
      <c r="AM73" s="61"/>
      <c r="AN73" s="70" t="str">
        <f t="shared" si="72"/>
        <v/>
      </c>
    </row>
    <row r="74" spans="1:40" ht="18" customHeight="1" x14ac:dyDescent="0.2">
      <c r="A74" s="77" t="str">
        <f>IF($C$9="Data Not Entered On Set-Up Worksheet","",IF(OR(VLOOKUP($C$9,County_Lookup_MC,24,FALSE)="",VLOOKUP($C$9,County_Lookup_MC,24,FALSE)=0),"",VLOOKUP($C$9,County_Lookup_MC,24,FALSE)))</f>
        <v/>
      </c>
      <c r="B74" s="69"/>
      <c r="C74" s="61"/>
      <c r="D74" s="70" t="str">
        <f t="shared" ref="D74:D75" si="73">IF($A74="","",IF(C74=0,0,B74/C74))</f>
        <v/>
      </c>
      <c r="E74" s="69"/>
      <c r="F74" s="61"/>
      <c r="G74" s="70" t="str">
        <f t="shared" ref="G74:G75" si="74">IF($A74="","",IF(F74=0,0,E74/F74))</f>
        <v/>
      </c>
      <c r="H74" s="69"/>
      <c r="I74" s="61"/>
      <c r="J74" s="70" t="str">
        <f t="shared" ref="J74:J75" si="75">IF($A74="","",IF(I74=0,0,H74/I74))</f>
        <v/>
      </c>
      <c r="K74" s="74" t="str">
        <f t="shared" ref="K74:K75" si="76">IF($A74="","",SUM(E74,H74))</f>
        <v/>
      </c>
      <c r="L74" s="62" t="str">
        <f t="shared" ref="L74:L75" si="77">IF($A74="","",SUM(F74,I74))</f>
        <v/>
      </c>
      <c r="M74" s="70" t="str">
        <f t="shared" ref="M74:M75" si="78">IF($A74="","",IF(L74=0,0,K74/L74))</f>
        <v/>
      </c>
      <c r="N74" s="69"/>
      <c r="O74" s="61"/>
      <c r="P74" s="70" t="str">
        <f t="shared" ref="P74:P75" si="79">IF($A74="","",IF(O74=0,0,N74/O74))</f>
        <v/>
      </c>
      <c r="Q74" s="69"/>
      <c r="R74" s="61"/>
      <c r="S74" s="70" t="str">
        <f t="shared" ref="S74:S75" si="80">IF($A74="","",IF(R74=0,0,Q74/R74))</f>
        <v/>
      </c>
      <c r="T74" s="69"/>
      <c r="U74" s="61"/>
      <c r="V74" s="70" t="str">
        <f t="shared" ref="V74:V75" si="81">IF($A74="","",IF(U74=0,0,T74/U74))</f>
        <v/>
      </c>
      <c r="W74" s="74" t="str">
        <f t="shared" ref="W74:W75" si="82">IF($A74="","",SUM(Q74,T74))</f>
        <v/>
      </c>
      <c r="X74" s="62" t="str">
        <f t="shared" ref="X74:X75" si="83">IF($A74="","",SUM(R74,U74))</f>
        <v/>
      </c>
      <c r="Y74" s="70" t="str">
        <f t="shared" ref="Y74:Y75" si="84">IF($A74="","",IF(X74=0,0,W74/X74))</f>
        <v/>
      </c>
      <c r="Z74" s="69"/>
      <c r="AA74" s="61"/>
      <c r="AB74" s="70" t="str">
        <f t="shared" ref="AB74:AB75" si="85">IF($A74="","",IF(AA74=0,0,Z74/AA74))</f>
        <v/>
      </c>
      <c r="AC74" s="69"/>
      <c r="AD74" s="61"/>
      <c r="AE74" s="70" t="str">
        <f t="shared" ref="AE74:AE75" si="86">IF($A74="","",IF(AD74=0,0,AC74/AD74))</f>
        <v/>
      </c>
      <c r="AF74" s="69"/>
      <c r="AG74" s="61"/>
      <c r="AH74" s="70" t="str">
        <f t="shared" ref="AH74:AH75" si="87">IF($A74="","",IF(AG74=0,0,AF74/AG74))</f>
        <v/>
      </c>
      <c r="AI74" s="74" t="str">
        <f t="shared" ref="AI74:AI75" si="88">IF($A74="","",SUM(AC74,AF74))</f>
        <v/>
      </c>
      <c r="AJ74" s="62" t="str">
        <f t="shared" ref="AJ74:AJ75" si="89">IF($A74="","",SUM(AD74,AG74))</f>
        <v/>
      </c>
      <c r="AK74" s="70" t="str">
        <f t="shared" ref="AK74:AK75" si="90">IF($A74="","",IF(AJ74=0,0,AI74/AJ74))</f>
        <v/>
      </c>
      <c r="AL74" s="69"/>
      <c r="AM74" s="61"/>
      <c r="AN74" s="70" t="str">
        <f t="shared" ref="AN74:AN75" si="91">IF($A74="","",IF(AM74=0,0,AL74/AM74))</f>
        <v/>
      </c>
    </row>
    <row r="75" spans="1:40" ht="18" customHeight="1" x14ac:dyDescent="0.2">
      <c r="A75" s="77" t="str">
        <f>IF($C$9="Data Not Entered On Set-Up Worksheet","",IF(OR(VLOOKUP($C$9,County_Lookup_MC,25,FALSE)="",VLOOKUP($C$9,County_Lookup_MC,25,FALSE)=0),"",VLOOKUP($C$9,County_Lookup_MC,25,FALSE)))</f>
        <v/>
      </c>
      <c r="B75" s="69"/>
      <c r="C75" s="61"/>
      <c r="D75" s="70" t="str">
        <f t="shared" si="73"/>
        <v/>
      </c>
      <c r="E75" s="69"/>
      <c r="F75" s="61"/>
      <c r="G75" s="70" t="str">
        <f t="shared" si="74"/>
        <v/>
      </c>
      <c r="H75" s="69"/>
      <c r="I75" s="61"/>
      <c r="J75" s="70" t="str">
        <f t="shared" si="75"/>
        <v/>
      </c>
      <c r="K75" s="74" t="str">
        <f t="shared" si="76"/>
        <v/>
      </c>
      <c r="L75" s="62" t="str">
        <f t="shared" si="77"/>
        <v/>
      </c>
      <c r="M75" s="70" t="str">
        <f t="shared" si="78"/>
        <v/>
      </c>
      <c r="N75" s="69"/>
      <c r="O75" s="61"/>
      <c r="P75" s="70" t="str">
        <f t="shared" si="79"/>
        <v/>
      </c>
      <c r="Q75" s="69"/>
      <c r="R75" s="61"/>
      <c r="S75" s="70" t="str">
        <f t="shared" si="80"/>
        <v/>
      </c>
      <c r="T75" s="69"/>
      <c r="U75" s="61"/>
      <c r="V75" s="70" t="str">
        <f t="shared" si="81"/>
        <v/>
      </c>
      <c r="W75" s="74" t="str">
        <f t="shared" si="82"/>
        <v/>
      </c>
      <c r="X75" s="62" t="str">
        <f t="shared" si="83"/>
        <v/>
      </c>
      <c r="Y75" s="70" t="str">
        <f t="shared" si="84"/>
        <v/>
      </c>
      <c r="Z75" s="69"/>
      <c r="AA75" s="61"/>
      <c r="AB75" s="70" t="str">
        <f t="shared" si="85"/>
        <v/>
      </c>
      <c r="AC75" s="69"/>
      <c r="AD75" s="61"/>
      <c r="AE75" s="70" t="str">
        <f t="shared" si="86"/>
        <v/>
      </c>
      <c r="AF75" s="69"/>
      <c r="AG75" s="61"/>
      <c r="AH75" s="70" t="str">
        <f t="shared" si="87"/>
        <v/>
      </c>
      <c r="AI75" s="74" t="str">
        <f t="shared" si="88"/>
        <v/>
      </c>
      <c r="AJ75" s="62" t="str">
        <f t="shared" si="89"/>
        <v/>
      </c>
      <c r="AK75" s="70" t="str">
        <f t="shared" si="90"/>
        <v/>
      </c>
      <c r="AL75" s="69"/>
      <c r="AM75" s="61"/>
      <c r="AN75" s="70" t="str">
        <f t="shared" si="91"/>
        <v/>
      </c>
    </row>
    <row r="76" spans="1:40" ht="18" customHeight="1" x14ac:dyDescent="0.2">
      <c r="A76" s="77" t="str">
        <f>IF($C$9="Data Not Entered On Set-Up Worksheet","",IF(OR(VLOOKUP($C$9,County_Lookup_MC,26,FALSE)="",VLOOKUP($C$9,County_Lookup_MC,26,FALSE)=0),"",VLOOKUP($C$9,County_Lookup_MC,26,FALSE)))</f>
        <v/>
      </c>
      <c r="B76" s="69"/>
      <c r="C76" s="61"/>
      <c r="D76" s="70" t="str">
        <f t="shared" si="54"/>
        <v/>
      </c>
      <c r="E76" s="69"/>
      <c r="F76" s="61"/>
      <c r="G76" s="70" t="str">
        <f t="shared" si="55"/>
        <v/>
      </c>
      <c r="H76" s="69"/>
      <c r="I76" s="61"/>
      <c r="J76" s="70" t="str">
        <f t="shared" si="56"/>
        <v/>
      </c>
      <c r="K76" s="74" t="str">
        <f t="shared" si="57"/>
        <v/>
      </c>
      <c r="L76" s="62" t="str">
        <f t="shared" si="58"/>
        <v/>
      </c>
      <c r="M76" s="70" t="str">
        <f t="shared" si="59"/>
        <v/>
      </c>
      <c r="N76" s="69"/>
      <c r="O76" s="61"/>
      <c r="P76" s="70" t="str">
        <f t="shared" si="60"/>
        <v/>
      </c>
      <c r="Q76" s="69"/>
      <c r="R76" s="61"/>
      <c r="S76" s="70" t="str">
        <f t="shared" si="61"/>
        <v/>
      </c>
      <c r="T76" s="69"/>
      <c r="U76" s="61"/>
      <c r="V76" s="70" t="str">
        <f t="shared" si="62"/>
        <v/>
      </c>
      <c r="W76" s="74" t="str">
        <f t="shared" si="63"/>
        <v/>
      </c>
      <c r="X76" s="62" t="str">
        <f t="shared" si="64"/>
        <v/>
      </c>
      <c r="Y76" s="70" t="str">
        <f t="shared" si="65"/>
        <v/>
      </c>
      <c r="Z76" s="69"/>
      <c r="AA76" s="61"/>
      <c r="AB76" s="70" t="str">
        <f t="shared" si="66"/>
        <v/>
      </c>
      <c r="AC76" s="69"/>
      <c r="AD76" s="61"/>
      <c r="AE76" s="70" t="str">
        <f t="shared" si="67"/>
        <v/>
      </c>
      <c r="AF76" s="69"/>
      <c r="AG76" s="61"/>
      <c r="AH76" s="70" t="str">
        <f t="shared" si="68"/>
        <v/>
      </c>
      <c r="AI76" s="74" t="str">
        <f t="shared" si="69"/>
        <v/>
      </c>
      <c r="AJ76" s="62" t="str">
        <f t="shared" si="70"/>
        <v/>
      </c>
      <c r="AK76" s="70" t="str">
        <f t="shared" si="71"/>
        <v/>
      </c>
      <c r="AL76" s="69"/>
      <c r="AM76" s="61"/>
      <c r="AN76" s="70" t="str">
        <f t="shared" si="72"/>
        <v/>
      </c>
    </row>
    <row r="77" spans="1:40" ht="18" customHeight="1" thickBot="1" x14ac:dyDescent="0.25">
      <c r="A77" s="78" t="s">
        <v>0</v>
      </c>
      <c r="B77" s="71">
        <f>SUM(B52:B76)</f>
        <v>0</v>
      </c>
      <c r="C77" s="72">
        <f>SUM(C52:C76)</f>
        <v>0</v>
      </c>
      <c r="D77" s="73">
        <f t="shared" ref="D77" si="92">IF(C77=0,0,B77/C77)</f>
        <v>0</v>
      </c>
      <c r="E77" s="71">
        <f>SUM(E52:E76)</f>
        <v>0</v>
      </c>
      <c r="F77" s="72">
        <f>SUM(F52:F76)</f>
        <v>0</v>
      </c>
      <c r="G77" s="73">
        <f t="shared" ref="G77" si="93">IF(F77=0,0,E77/F77)</f>
        <v>0</v>
      </c>
      <c r="H77" s="71">
        <f>SUM(H52:H76)</f>
        <v>0</v>
      </c>
      <c r="I77" s="72">
        <f>SUM(I52:I76)</f>
        <v>0</v>
      </c>
      <c r="J77" s="73">
        <f t="shared" ref="J77" si="94">IF(I77=0,0,H77/I77)</f>
        <v>0</v>
      </c>
      <c r="K77" s="71">
        <f>SUM(K52:K76)</f>
        <v>0</v>
      </c>
      <c r="L77" s="72">
        <f>SUM(L52:L76)</f>
        <v>0</v>
      </c>
      <c r="M77" s="73">
        <f t="shared" ref="M77" si="95">IF(L77=0,0,K77/L77)</f>
        <v>0</v>
      </c>
      <c r="N77" s="71">
        <f>SUM(N52:N76)</f>
        <v>0</v>
      </c>
      <c r="O77" s="72">
        <f>SUM(O52:O76)</f>
        <v>0</v>
      </c>
      <c r="P77" s="73">
        <f t="shared" ref="P77" si="96">IF(O77=0,0,N77/O77)</f>
        <v>0</v>
      </c>
      <c r="Q77" s="71">
        <f>SUM(Q52:Q76)</f>
        <v>0</v>
      </c>
      <c r="R77" s="72">
        <f>SUM(R52:R76)</f>
        <v>0</v>
      </c>
      <c r="S77" s="73">
        <f t="shared" ref="S77" si="97">IF(R77=0,0,Q77/R77)</f>
        <v>0</v>
      </c>
      <c r="T77" s="71">
        <f>SUM(T52:T76)</f>
        <v>0</v>
      </c>
      <c r="U77" s="72">
        <f>SUM(U52:U76)</f>
        <v>0</v>
      </c>
      <c r="V77" s="73">
        <f t="shared" ref="V77" si="98">IF(U77=0,0,T77/U77)</f>
        <v>0</v>
      </c>
      <c r="W77" s="71">
        <f>SUM(W52:W76)</f>
        <v>0</v>
      </c>
      <c r="X77" s="72">
        <f>SUM(X52:X76)</f>
        <v>0</v>
      </c>
      <c r="Y77" s="73">
        <f t="shared" ref="Y77" si="99">IF(X77=0,0,W77/X77)</f>
        <v>0</v>
      </c>
      <c r="Z77" s="71">
        <f>SUM(Z52:Z76)</f>
        <v>0</v>
      </c>
      <c r="AA77" s="72">
        <f>SUM(AA52:AA76)</f>
        <v>0</v>
      </c>
      <c r="AB77" s="73">
        <f t="shared" ref="AB77" si="100">IF(AA77=0,0,Z77/AA77)</f>
        <v>0</v>
      </c>
      <c r="AC77" s="71">
        <f>SUM(AC52:AC76)</f>
        <v>0</v>
      </c>
      <c r="AD77" s="72">
        <f>SUM(AD52:AD76)</f>
        <v>0</v>
      </c>
      <c r="AE77" s="73">
        <f t="shared" ref="AE77" si="101">IF(AD77=0,0,AC77/AD77)</f>
        <v>0</v>
      </c>
      <c r="AF77" s="71">
        <f>SUM(AF52:AF76)</f>
        <v>0</v>
      </c>
      <c r="AG77" s="72">
        <f>SUM(AG52:AG76)</f>
        <v>0</v>
      </c>
      <c r="AH77" s="73">
        <f t="shared" ref="AH77" si="102">IF(AG77=0,0,AF77/AG77)</f>
        <v>0</v>
      </c>
      <c r="AI77" s="71">
        <f>SUM(AI52:AI76)</f>
        <v>0</v>
      </c>
      <c r="AJ77" s="72">
        <f>SUM(AJ52:AJ76)</f>
        <v>0</v>
      </c>
      <c r="AK77" s="73">
        <f t="shared" ref="AK77" si="103">IF(AJ77=0,0,AI77/AJ77)</f>
        <v>0</v>
      </c>
      <c r="AL77" s="71">
        <f>SUM(AL52:AL76)</f>
        <v>0</v>
      </c>
      <c r="AM77" s="72">
        <f>SUM(AM52:AM76)</f>
        <v>0</v>
      </c>
      <c r="AN77" s="73">
        <f t="shared" ref="AN77" si="104">IF(AM77=0,0,AL77/AM77)</f>
        <v>0</v>
      </c>
    </row>
  </sheetData>
  <sheetProtection sheet="1" objects="1" scenarios="1"/>
  <conditionalFormatting sqref="C3:C4">
    <cfRule type="expression" dxfId="912" priority="102">
      <formula>C3="Data Not Entered On Set-Up Worksheet"</formula>
    </cfRule>
  </conditionalFormatting>
  <conditionalFormatting sqref="C9">
    <cfRule type="expression" dxfId="911" priority="101">
      <formula>C9="Data Not Entered On Set-Up Worksheet"</formula>
    </cfRule>
  </conditionalFormatting>
  <conditionalFormatting sqref="C12">
    <cfRule type="expression" dxfId="910" priority="100">
      <formula>C12="Data Not Entered On Set-Up Worksheet"</formula>
    </cfRule>
  </conditionalFormatting>
  <conditionalFormatting sqref="B19:C40 B43:C43">
    <cfRule type="expression" dxfId="909" priority="99">
      <formula>AND($A19&lt;&gt;"",B19="")</formula>
    </cfRule>
  </conditionalFormatting>
  <conditionalFormatting sqref="F3">
    <cfRule type="expression" dxfId="908" priority="98">
      <formula>F3="Data Not Entered On Set-Up Worksheet"</formula>
    </cfRule>
  </conditionalFormatting>
  <conditionalFormatting sqref="I3">
    <cfRule type="expression" dxfId="907" priority="96">
      <formula>I3="Data Not Entered On Set-Up Worksheet"</formula>
    </cfRule>
  </conditionalFormatting>
  <conditionalFormatting sqref="I9">
    <cfRule type="expression" dxfId="906" priority="95">
      <formula>I9="Data Not Entered On Set-Up Worksheet"</formula>
    </cfRule>
  </conditionalFormatting>
  <conditionalFormatting sqref="I11:I12">
    <cfRule type="expression" dxfId="905" priority="94">
      <formula>I11="Data Not Entered On Set-Up Worksheet"</formula>
    </cfRule>
  </conditionalFormatting>
  <conditionalFormatting sqref="L3">
    <cfRule type="expression" dxfId="904" priority="93">
      <formula>L3="Data Not Entered On Set-Up Worksheet"</formula>
    </cfRule>
  </conditionalFormatting>
  <conditionalFormatting sqref="L9">
    <cfRule type="expression" dxfId="903" priority="92">
      <formula>L9="Data Not Entered On Set-Up Worksheet"</formula>
    </cfRule>
  </conditionalFormatting>
  <conditionalFormatting sqref="L11:L12">
    <cfRule type="expression" dxfId="902" priority="91">
      <formula>L11="Data Not Entered On Set-Up Worksheet"</formula>
    </cfRule>
  </conditionalFormatting>
  <conditionalFormatting sqref="O3">
    <cfRule type="expression" dxfId="901" priority="90">
      <formula>O3="Data Not Entered On Set-Up Worksheet"</formula>
    </cfRule>
  </conditionalFormatting>
  <conditionalFormatting sqref="O9">
    <cfRule type="expression" dxfId="900" priority="89">
      <formula>O9="Data Not Entered On Set-Up Worksheet"</formula>
    </cfRule>
  </conditionalFormatting>
  <conditionalFormatting sqref="O11:O12">
    <cfRule type="expression" dxfId="899" priority="88">
      <formula>O11="Data Not Entered On Set-Up Worksheet"</formula>
    </cfRule>
  </conditionalFormatting>
  <conditionalFormatting sqref="R3">
    <cfRule type="expression" dxfId="898" priority="87">
      <formula>R3="Data Not Entered On Set-Up Worksheet"</formula>
    </cfRule>
  </conditionalFormatting>
  <conditionalFormatting sqref="R9">
    <cfRule type="expression" dxfId="897" priority="86">
      <formula>R9="Data Not Entered On Set-Up Worksheet"</formula>
    </cfRule>
  </conditionalFormatting>
  <conditionalFormatting sqref="R11:R12">
    <cfRule type="expression" dxfId="896" priority="85">
      <formula>R11="Data Not Entered On Set-Up Worksheet"</formula>
    </cfRule>
  </conditionalFormatting>
  <conditionalFormatting sqref="U3">
    <cfRule type="expression" dxfId="895" priority="84">
      <formula>U3="Data Not Entered On Set-Up Worksheet"</formula>
    </cfRule>
  </conditionalFormatting>
  <conditionalFormatting sqref="U9">
    <cfRule type="expression" dxfId="894" priority="83">
      <formula>U9="Data Not Entered On Set-Up Worksheet"</formula>
    </cfRule>
  </conditionalFormatting>
  <conditionalFormatting sqref="U11:U12">
    <cfRule type="expression" dxfId="893" priority="82">
      <formula>U11="Data Not Entered On Set-Up Worksheet"</formula>
    </cfRule>
  </conditionalFormatting>
  <conditionalFormatting sqref="AM3">
    <cfRule type="expression" dxfId="892" priority="81">
      <formula>AM3="Data Not Entered On Set-Up Worksheet"</formula>
    </cfRule>
  </conditionalFormatting>
  <conditionalFormatting sqref="AM9">
    <cfRule type="expression" dxfId="891" priority="80">
      <formula>AM9="Data Not Entered On Set-Up Worksheet"</formula>
    </cfRule>
  </conditionalFormatting>
  <conditionalFormatting sqref="AM11:AM12">
    <cfRule type="expression" dxfId="890" priority="79">
      <formula>AM11="Data Not Entered On Set-Up Worksheet"</formula>
    </cfRule>
  </conditionalFormatting>
  <conditionalFormatting sqref="E19:F40 E43:F43">
    <cfRule type="expression" dxfId="889" priority="78">
      <formula>AND($A19&lt;&gt;"",E19="")</formula>
    </cfRule>
  </conditionalFormatting>
  <conditionalFormatting sqref="H19:I40 H43:I43">
    <cfRule type="expression" dxfId="888" priority="77">
      <formula>AND($A19&lt;&gt;"",H19="")</formula>
    </cfRule>
  </conditionalFormatting>
  <conditionalFormatting sqref="N19:O40 N43:O43">
    <cfRule type="expression" dxfId="887" priority="75">
      <formula>AND($A19&lt;&gt;"",N19="")</formula>
    </cfRule>
  </conditionalFormatting>
  <conditionalFormatting sqref="Q19:R40 Q43:R43">
    <cfRule type="expression" dxfId="886" priority="74">
      <formula>AND($A19&lt;&gt;"",Q19="")</formula>
    </cfRule>
  </conditionalFormatting>
  <conditionalFormatting sqref="T19:U40 T43:U43">
    <cfRule type="expression" dxfId="885" priority="73">
      <formula>AND($A19&lt;&gt;"",T19="")</formula>
    </cfRule>
  </conditionalFormatting>
  <conditionalFormatting sqref="C11">
    <cfRule type="expression" dxfId="884" priority="72">
      <formula>C11="Data Not Entered On Set-Up Worksheet"</formula>
    </cfRule>
  </conditionalFormatting>
  <conditionalFormatting sqref="X3">
    <cfRule type="expression" dxfId="883" priority="71">
      <formula>X3="Data Not Entered On Set-Up Worksheet"</formula>
    </cfRule>
  </conditionalFormatting>
  <conditionalFormatting sqref="X9">
    <cfRule type="expression" dxfId="882" priority="70">
      <formula>X9="Data Not Entered On Set-Up Worksheet"</formula>
    </cfRule>
  </conditionalFormatting>
  <conditionalFormatting sqref="X11:X12">
    <cfRule type="expression" dxfId="881" priority="69">
      <formula>X11="Data Not Entered On Set-Up Worksheet"</formula>
    </cfRule>
  </conditionalFormatting>
  <conditionalFormatting sqref="AA3">
    <cfRule type="expression" dxfId="880" priority="68">
      <formula>AA3="Data Not Entered On Set-Up Worksheet"</formula>
    </cfRule>
  </conditionalFormatting>
  <conditionalFormatting sqref="AA9">
    <cfRule type="expression" dxfId="879" priority="67">
      <formula>AA9="Data Not Entered On Set-Up Worksheet"</formula>
    </cfRule>
  </conditionalFormatting>
  <conditionalFormatting sqref="AA11:AA12">
    <cfRule type="expression" dxfId="878" priority="66">
      <formula>AA11="Data Not Entered On Set-Up Worksheet"</formula>
    </cfRule>
  </conditionalFormatting>
  <conditionalFormatting sqref="AD3">
    <cfRule type="expression" dxfId="877" priority="65">
      <formula>AD3="Data Not Entered On Set-Up Worksheet"</formula>
    </cfRule>
  </conditionalFormatting>
  <conditionalFormatting sqref="AD9">
    <cfRule type="expression" dxfId="876" priority="64">
      <formula>AD9="Data Not Entered On Set-Up Worksheet"</formula>
    </cfRule>
  </conditionalFormatting>
  <conditionalFormatting sqref="AD11:AD12">
    <cfRule type="expression" dxfId="875" priority="63">
      <formula>AD11="Data Not Entered On Set-Up Worksheet"</formula>
    </cfRule>
  </conditionalFormatting>
  <conditionalFormatting sqref="AG3">
    <cfRule type="expression" dxfId="874" priority="62">
      <formula>AG3="Data Not Entered On Set-Up Worksheet"</formula>
    </cfRule>
  </conditionalFormatting>
  <conditionalFormatting sqref="AG9">
    <cfRule type="expression" dxfId="873" priority="61">
      <formula>AG9="Data Not Entered On Set-Up Worksheet"</formula>
    </cfRule>
  </conditionalFormatting>
  <conditionalFormatting sqref="AG11:AG12">
    <cfRule type="expression" dxfId="872" priority="60">
      <formula>AG11="Data Not Entered On Set-Up Worksheet"</formula>
    </cfRule>
  </conditionalFormatting>
  <conditionalFormatting sqref="Z19:AA40 Z43:AA43">
    <cfRule type="expression" dxfId="871" priority="59">
      <formula>AND($A19&lt;&gt;"",Z19="")</formula>
    </cfRule>
  </conditionalFormatting>
  <conditionalFormatting sqref="AC19:AD40 AC43:AD43">
    <cfRule type="expression" dxfId="870" priority="58">
      <formula>AND($A19&lt;&gt;"",AC19="")</formula>
    </cfRule>
  </conditionalFormatting>
  <conditionalFormatting sqref="AF19:AG40 AF43:AG43">
    <cfRule type="expression" dxfId="869" priority="57">
      <formula>AND($A19&lt;&gt;"",AF19="")</formula>
    </cfRule>
  </conditionalFormatting>
  <conditionalFormatting sqref="AJ3">
    <cfRule type="expression" dxfId="868" priority="56">
      <formula>AJ3="Data Not Entered On Set-Up Worksheet"</formula>
    </cfRule>
  </conditionalFormatting>
  <conditionalFormatting sqref="AJ9">
    <cfRule type="expression" dxfId="867" priority="55">
      <formula>AJ9="Data Not Entered On Set-Up Worksheet"</formula>
    </cfRule>
  </conditionalFormatting>
  <conditionalFormatting sqref="AJ11:AJ12">
    <cfRule type="expression" dxfId="866" priority="54">
      <formula>AJ11="Data Not Entered On Set-Up Worksheet"</formula>
    </cfRule>
  </conditionalFormatting>
  <conditionalFormatting sqref="B52:C73 B76:C76">
    <cfRule type="expression" dxfId="865" priority="53">
      <formula>AND($A52&lt;&gt;"",B52="")</formula>
    </cfRule>
  </conditionalFormatting>
  <conditionalFormatting sqref="E52:F73 E76:F76">
    <cfRule type="expression" dxfId="864" priority="52">
      <formula>AND($A52&lt;&gt;"",E52="")</formula>
    </cfRule>
  </conditionalFormatting>
  <conditionalFormatting sqref="H52:I73 H76:I76">
    <cfRule type="expression" dxfId="863" priority="51">
      <formula>AND($A52&lt;&gt;"",H52="")</formula>
    </cfRule>
  </conditionalFormatting>
  <conditionalFormatting sqref="N52:O73 N76:O76">
    <cfRule type="expression" dxfId="862" priority="50">
      <formula>AND($A52&lt;&gt;"",N52="")</formula>
    </cfRule>
  </conditionalFormatting>
  <conditionalFormatting sqref="Q52:R73 Q76:R76">
    <cfRule type="expression" dxfId="861" priority="49">
      <formula>AND($A52&lt;&gt;"",Q52="")</formula>
    </cfRule>
  </conditionalFormatting>
  <conditionalFormatting sqref="T52:U73 T76:U76">
    <cfRule type="expression" dxfId="860" priority="48">
      <formula>AND($A52&lt;&gt;"",T52="")</formula>
    </cfRule>
  </conditionalFormatting>
  <conditionalFormatting sqref="Z52:AA73 Z76:AA76">
    <cfRule type="expression" dxfId="859" priority="47">
      <formula>AND($A52&lt;&gt;"",Z52="")</formula>
    </cfRule>
  </conditionalFormatting>
  <conditionalFormatting sqref="AC52:AD73 AC76:AD76">
    <cfRule type="expression" dxfId="858" priority="46">
      <formula>AND($A52&lt;&gt;"",AC52="")</formula>
    </cfRule>
  </conditionalFormatting>
  <conditionalFormatting sqref="AF52:AG73 AF76:AG76">
    <cfRule type="expression" dxfId="857" priority="45">
      <formula>AND($A52&lt;&gt;"",AF52="")</formula>
    </cfRule>
  </conditionalFormatting>
  <conditionalFormatting sqref="F9:F10">
    <cfRule type="expression" dxfId="856" priority="44">
      <formula>F9="Data Not Entered On Set-Up Worksheet"</formula>
    </cfRule>
  </conditionalFormatting>
  <conditionalFormatting sqref="AL19:AM40 AL43:AM43">
    <cfRule type="expression" dxfId="855" priority="43">
      <formula>AND($A19&lt;&gt;"",AL19="")</formula>
    </cfRule>
  </conditionalFormatting>
  <conditionalFormatting sqref="AL52:AM73 AL76:AM76">
    <cfRule type="expression" dxfId="854" priority="42">
      <formula>AND($A52&lt;&gt;"",AL52="")</formula>
    </cfRule>
  </conditionalFormatting>
  <conditionalFormatting sqref="F11">
    <cfRule type="expression" dxfId="853" priority="41">
      <formula>F11="Data Not Entered On Set-Up Worksheet"</formula>
    </cfRule>
  </conditionalFormatting>
  <conditionalFormatting sqref="B41:C41">
    <cfRule type="expression" dxfId="852" priority="40">
      <formula>AND($A41&lt;&gt;"",B41="")</formula>
    </cfRule>
  </conditionalFormatting>
  <conditionalFormatting sqref="E41:F41">
    <cfRule type="expression" dxfId="851" priority="39">
      <formula>AND($A41&lt;&gt;"",E41="")</formula>
    </cfRule>
  </conditionalFormatting>
  <conditionalFormatting sqref="H41:I41">
    <cfRule type="expression" dxfId="850" priority="38">
      <formula>AND($A41&lt;&gt;"",H41="")</formula>
    </cfRule>
  </conditionalFormatting>
  <conditionalFormatting sqref="N41:O41">
    <cfRule type="expression" dxfId="849" priority="37">
      <formula>AND($A41&lt;&gt;"",N41="")</formula>
    </cfRule>
  </conditionalFormatting>
  <conditionalFormatting sqref="Q41:R41">
    <cfRule type="expression" dxfId="848" priority="36">
      <formula>AND($A41&lt;&gt;"",Q41="")</formula>
    </cfRule>
  </conditionalFormatting>
  <conditionalFormatting sqref="T41:U41">
    <cfRule type="expression" dxfId="847" priority="35">
      <formula>AND($A41&lt;&gt;"",T41="")</formula>
    </cfRule>
  </conditionalFormatting>
  <conditionalFormatting sqref="Z41:AA41">
    <cfRule type="expression" dxfId="846" priority="34">
      <formula>AND($A41&lt;&gt;"",Z41="")</formula>
    </cfRule>
  </conditionalFormatting>
  <conditionalFormatting sqref="AC41:AD41">
    <cfRule type="expression" dxfId="845" priority="33">
      <formula>AND($A41&lt;&gt;"",AC41="")</formula>
    </cfRule>
  </conditionalFormatting>
  <conditionalFormatting sqref="AF41:AG41">
    <cfRule type="expression" dxfId="844" priority="32">
      <formula>AND($A41&lt;&gt;"",AF41="")</formula>
    </cfRule>
  </conditionalFormatting>
  <conditionalFormatting sqref="AL41:AM41">
    <cfRule type="expression" dxfId="843" priority="31">
      <formula>AND($A41&lt;&gt;"",AL41="")</formula>
    </cfRule>
  </conditionalFormatting>
  <conditionalFormatting sqref="B74:C74">
    <cfRule type="expression" dxfId="842" priority="30">
      <formula>AND($A74&lt;&gt;"",B74="")</formula>
    </cfRule>
  </conditionalFormatting>
  <conditionalFormatting sqref="E74:F74">
    <cfRule type="expression" dxfId="841" priority="29">
      <formula>AND($A74&lt;&gt;"",E74="")</formula>
    </cfRule>
  </conditionalFormatting>
  <conditionalFormatting sqref="H74:I74">
    <cfRule type="expression" dxfId="840" priority="28">
      <formula>AND($A74&lt;&gt;"",H74="")</formula>
    </cfRule>
  </conditionalFormatting>
  <conditionalFormatting sqref="N74:O74">
    <cfRule type="expression" dxfId="839" priority="27">
      <formula>AND($A74&lt;&gt;"",N74="")</formula>
    </cfRule>
  </conditionalFormatting>
  <conditionalFormatting sqref="Q74:R74">
    <cfRule type="expression" dxfId="838" priority="26">
      <formula>AND($A74&lt;&gt;"",Q74="")</formula>
    </cfRule>
  </conditionalFormatting>
  <conditionalFormatting sqref="T74:U74">
    <cfRule type="expression" dxfId="837" priority="25">
      <formula>AND($A74&lt;&gt;"",T74="")</formula>
    </cfRule>
  </conditionalFormatting>
  <conditionalFormatting sqref="Z74:AA74">
    <cfRule type="expression" dxfId="836" priority="24">
      <formula>AND($A74&lt;&gt;"",Z74="")</formula>
    </cfRule>
  </conditionalFormatting>
  <conditionalFormatting sqref="AC74:AD74">
    <cfRule type="expression" dxfId="835" priority="23">
      <formula>AND($A74&lt;&gt;"",AC74="")</formula>
    </cfRule>
  </conditionalFormatting>
  <conditionalFormatting sqref="AF74:AG74">
    <cfRule type="expression" dxfId="834" priority="22">
      <formula>AND($A74&lt;&gt;"",AF74="")</formula>
    </cfRule>
  </conditionalFormatting>
  <conditionalFormatting sqref="AL74:AM74">
    <cfRule type="expression" dxfId="833" priority="21">
      <formula>AND($A74&lt;&gt;"",AL74="")</formula>
    </cfRule>
  </conditionalFormatting>
  <conditionalFormatting sqref="B42:C42">
    <cfRule type="expression" dxfId="832" priority="20">
      <formula>AND($A42&lt;&gt;"",B42="")</formula>
    </cfRule>
  </conditionalFormatting>
  <conditionalFormatting sqref="E42:F42">
    <cfRule type="expression" dxfId="831" priority="19">
      <formula>AND($A42&lt;&gt;"",E42="")</formula>
    </cfRule>
  </conditionalFormatting>
  <conditionalFormatting sqref="H42:I42">
    <cfRule type="expression" dxfId="830" priority="18">
      <formula>AND($A42&lt;&gt;"",H42="")</formula>
    </cfRule>
  </conditionalFormatting>
  <conditionalFormatting sqref="N42:O42">
    <cfRule type="expression" dxfId="829" priority="17">
      <formula>AND($A42&lt;&gt;"",N42="")</formula>
    </cfRule>
  </conditionalFormatting>
  <conditionalFormatting sqref="Q42:R42">
    <cfRule type="expression" dxfId="828" priority="16">
      <formula>AND($A42&lt;&gt;"",Q42="")</formula>
    </cfRule>
  </conditionalFormatting>
  <conditionalFormatting sqref="T42:U42">
    <cfRule type="expression" dxfId="827" priority="15">
      <formula>AND($A42&lt;&gt;"",T42="")</formula>
    </cfRule>
  </conditionalFormatting>
  <conditionalFormatting sqref="Z42:AA42">
    <cfRule type="expression" dxfId="826" priority="14">
      <formula>AND($A42&lt;&gt;"",Z42="")</formula>
    </cfRule>
  </conditionalFormatting>
  <conditionalFormatting sqref="AC42:AD42">
    <cfRule type="expression" dxfId="825" priority="13">
      <formula>AND($A42&lt;&gt;"",AC42="")</formula>
    </cfRule>
  </conditionalFormatting>
  <conditionalFormatting sqref="AF42:AG42">
    <cfRule type="expression" dxfId="824" priority="12">
      <formula>AND($A42&lt;&gt;"",AF42="")</formula>
    </cfRule>
  </conditionalFormatting>
  <conditionalFormatting sqref="AL42:AM42">
    <cfRule type="expression" dxfId="823" priority="11">
      <formula>AND($A42&lt;&gt;"",AL42="")</formula>
    </cfRule>
  </conditionalFormatting>
  <conditionalFormatting sqref="B75:C75">
    <cfRule type="expression" dxfId="822" priority="10">
      <formula>AND($A75&lt;&gt;"",B75="")</formula>
    </cfRule>
  </conditionalFormatting>
  <conditionalFormatting sqref="E75:F75">
    <cfRule type="expression" dxfId="821" priority="9">
      <formula>AND($A75&lt;&gt;"",E75="")</formula>
    </cfRule>
  </conditionalFormatting>
  <conditionalFormatting sqref="H75:I75">
    <cfRule type="expression" dxfId="820" priority="8">
      <formula>AND($A75&lt;&gt;"",H75="")</formula>
    </cfRule>
  </conditionalFormatting>
  <conditionalFormatting sqref="N75:O75">
    <cfRule type="expression" dxfId="819" priority="7">
      <formula>AND($A75&lt;&gt;"",N75="")</formula>
    </cfRule>
  </conditionalFormatting>
  <conditionalFormatting sqref="Q75:R75">
    <cfRule type="expression" dxfId="818" priority="6">
      <formula>AND($A75&lt;&gt;"",Q75="")</formula>
    </cfRule>
  </conditionalFormatting>
  <conditionalFormatting sqref="T75:U75">
    <cfRule type="expression" dxfId="817" priority="5">
      <formula>AND($A75&lt;&gt;"",T75="")</formula>
    </cfRule>
  </conditionalFormatting>
  <conditionalFormatting sqref="Z75:AA75">
    <cfRule type="expression" dxfId="816" priority="4">
      <formula>AND($A75&lt;&gt;"",Z75="")</formula>
    </cfRule>
  </conditionalFormatting>
  <conditionalFormatting sqref="AC75:AD75">
    <cfRule type="expression" dxfId="815" priority="3">
      <formula>AND($A75&lt;&gt;"",AC75="")</formula>
    </cfRule>
  </conditionalFormatting>
  <conditionalFormatting sqref="AF75:AG75">
    <cfRule type="expression" dxfId="814" priority="2">
      <formula>AND($A75&lt;&gt;"",AF75="")</formula>
    </cfRule>
  </conditionalFormatting>
  <conditionalFormatting sqref="AL75:AM75">
    <cfRule type="expression" dxfId="813" priority="1">
      <formula>AND($A75&lt;&gt;"",AL75="")</formula>
    </cfRule>
  </conditionalFormatting>
  <pageMargins left="0.5" right="0.5" top="0.5" bottom="0.5" header="0.3" footer="0.3"/>
  <pageSetup scale="17" orientation="landscape" r:id="rId1"/>
  <headerFooter>
    <oddFooter>&amp;LNC DHHS LME-MCO Performance Measures Report Part II DMH/DD/SAS Measures&amp;C&amp;P&amp;R&amp;F</oddFooter>
  </headerFooter>
  <rowBreaks count="1" manualBreakCount="1">
    <brk id="45" max="16383" man="1"/>
  </rowBreaks>
  <colBreaks count="1" manualBreakCount="1">
    <brk id="13" max="1048575"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pageSetUpPr fitToPage="1"/>
  </sheetPr>
  <dimension ref="A1:AZ79"/>
  <sheetViews>
    <sheetView showGridLines="0" workbookViewId="0">
      <pane xSplit="1" ySplit="18" topLeftCell="B19" activePane="bottomRight" state="frozen"/>
      <selection activeCell="E7" sqref="E7:I7"/>
      <selection pane="topRight" activeCell="E7" sqref="E7:I7"/>
      <selection pane="bottomLeft" activeCell="E7" sqref="E7:I7"/>
      <selection pane="bottomRight" activeCell="B19" sqref="B19"/>
    </sheetView>
  </sheetViews>
  <sheetFormatPr defaultRowHeight="12.75" x14ac:dyDescent="0.2"/>
  <cols>
    <col min="1" max="1" width="22.42578125" style="22" customWidth="1"/>
    <col min="2" max="37" width="17.7109375" style="22" customWidth="1"/>
    <col min="38" max="38" width="21.7109375" style="22" customWidth="1"/>
    <col min="39" max="39" width="17.7109375" style="22" customWidth="1"/>
    <col min="40" max="40" width="21.7109375" style="22" customWidth="1"/>
    <col min="41" max="41" width="8.85546875" style="22" bestFit="1" customWidth="1"/>
    <col min="42" max="16384" width="9.140625" style="22"/>
  </cols>
  <sheetData>
    <row r="1" spans="1:52" ht="15" customHeight="1" x14ac:dyDescent="0.2">
      <c r="A1" s="36" t="s">
        <v>28</v>
      </c>
      <c r="N1" s="30" t="s">
        <v>329</v>
      </c>
      <c r="Z1" s="30" t="s">
        <v>329</v>
      </c>
      <c r="AL1" s="30" t="s">
        <v>329</v>
      </c>
    </row>
    <row r="2" spans="1:52" ht="15" customHeight="1" x14ac:dyDescent="0.2">
      <c r="A2" s="36" t="s">
        <v>196</v>
      </c>
      <c r="N2" s="321" t="s">
        <v>330</v>
      </c>
      <c r="Z2" s="321" t="s">
        <v>330</v>
      </c>
      <c r="AL2" s="321" t="s">
        <v>330</v>
      </c>
    </row>
    <row r="3" spans="1:52" ht="15" customHeight="1" x14ac:dyDescent="0.2">
      <c r="A3" s="30" t="s">
        <v>194</v>
      </c>
      <c r="C3" s="147">
        <f>IF('Set-Up Worksheet'!F3="","Data Not Entered On Set-Up Worksheet",'Set-Up Worksheet'!F3)</f>
        <v>2018</v>
      </c>
      <c r="F3" s="38"/>
      <c r="I3" s="38"/>
      <c r="L3" s="38"/>
      <c r="O3" s="147">
        <f t="shared" ref="O3:O11" si="0">C3</f>
        <v>2018</v>
      </c>
      <c r="R3" s="38"/>
      <c r="U3" s="38"/>
      <c r="X3" s="38"/>
      <c r="AA3" s="147">
        <f t="shared" ref="AA3:AA11" si="1">C3</f>
        <v>2018</v>
      </c>
      <c r="AD3" s="38"/>
      <c r="AG3" s="38"/>
      <c r="AJ3" s="38"/>
      <c r="AM3" s="147">
        <f t="shared" ref="AM3:AM11" si="2">C3</f>
        <v>2018</v>
      </c>
    </row>
    <row r="4" spans="1:52" ht="15" customHeight="1" x14ac:dyDescent="0.2">
      <c r="A4" s="30" t="s">
        <v>195</v>
      </c>
      <c r="C4" s="147" t="str">
        <f>IF('Set-Up Worksheet'!F4="","Data Not Entered On Set-Up Worksheet",'Set-Up Worksheet'!F4)</f>
        <v>1st Quarter</v>
      </c>
      <c r="F4" s="32"/>
      <c r="I4" s="32"/>
      <c r="L4" s="32"/>
      <c r="O4" s="147" t="str">
        <f t="shared" si="0"/>
        <v>1st Quarter</v>
      </c>
      <c r="R4" s="32"/>
      <c r="U4" s="32"/>
      <c r="X4" s="32"/>
      <c r="AA4" s="147" t="str">
        <f t="shared" si="1"/>
        <v>1st Quarter</v>
      </c>
      <c r="AD4" s="32"/>
      <c r="AG4" s="32"/>
      <c r="AJ4" s="32"/>
      <c r="AM4" s="147" t="str">
        <f t="shared" si="2"/>
        <v>1st Quarter</v>
      </c>
    </row>
    <row r="5" spans="1:52" ht="15" customHeight="1" x14ac:dyDescent="0.2">
      <c r="A5" s="30"/>
      <c r="C5" s="32"/>
      <c r="F5" s="32"/>
      <c r="I5" s="32"/>
      <c r="L5" s="32"/>
      <c r="O5" s="39"/>
      <c r="R5" s="32"/>
      <c r="U5" s="32"/>
      <c r="X5" s="32"/>
      <c r="AA5" s="39"/>
      <c r="AD5" s="32"/>
      <c r="AG5" s="32"/>
      <c r="AJ5" s="32"/>
      <c r="AM5" s="39"/>
    </row>
    <row r="6" spans="1:52" ht="15" customHeight="1" x14ac:dyDescent="0.2">
      <c r="A6" s="30" t="s">
        <v>244</v>
      </c>
      <c r="C6" s="32"/>
      <c r="F6" s="32"/>
      <c r="I6" s="32"/>
      <c r="L6" s="32"/>
      <c r="N6" s="30"/>
      <c r="O6" s="39"/>
      <c r="R6" s="32"/>
      <c r="U6" s="32"/>
      <c r="X6" s="32"/>
      <c r="Z6" s="30"/>
      <c r="AA6" s="39"/>
      <c r="AD6" s="32"/>
      <c r="AG6" s="32"/>
      <c r="AJ6" s="32"/>
      <c r="AL6" s="30"/>
      <c r="AM6" s="39"/>
    </row>
    <row r="7" spans="1:52" ht="15" customHeight="1" x14ac:dyDescent="0.2">
      <c r="A7" s="30" t="s">
        <v>384</v>
      </c>
      <c r="C7" s="32"/>
      <c r="F7" s="32"/>
      <c r="I7" s="32"/>
      <c r="L7" s="32"/>
      <c r="N7" s="321" t="s">
        <v>333</v>
      </c>
      <c r="O7" s="39"/>
      <c r="R7" s="32"/>
      <c r="U7" s="32"/>
      <c r="X7" s="32"/>
      <c r="Z7" s="321" t="s">
        <v>333</v>
      </c>
      <c r="AA7" s="39"/>
      <c r="AD7" s="32"/>
      <c r="AG7" s="32"/>
      <c r="AJ7" s="32"/>
      <c r="AL7" s="321" t="s">
        <v>333</v>
      </c>
      <c r="AM7" s="39"/>
    </row>
    <row r="8" spans="1:52" ht="15" customHeight="1" x14ac:dyDescent="0.2">
      <c r="A8" s="30"/>
      <c r="C8" s="32"/>
      <c r="F8" s="32"/>
      <c r="I8" s="32"/>
      <c r="L8" s="32"/>
      <c r="O8" s="39"/>
      <c r="R8" s="32"/>
      <c r="U8" s="32"/>
      <c r="X8" s="32"/>
      <c r="AA8" s="39"/>
      <c r="AD8" s="32"/>
      <c r="AG8" s="32"/>
      <c r="AJ8" s="32"/>
      <c r="AM8" s="39"/>
      <c r="AR8" s="54"/>
      <c r="AS8" s="54"/>
      <c r="AT8" s="55"/>
      <c r="AU8" s="54"/>
      <c r="AV8" s="54"/>
      <c r="AW8" s="54"/>
      <c r="AX8" s="54"/>
      <c r="AY8" s="30"/>
      <c r="AZ8" s="35"/>
    </row>
    <row r="9" spans="1:52" ht="15" customHeight="1" x14ac:dyDescent="0.2">
      <c r="A9" s="30" t="s">
        <v>29</v>
      </c>
      <c r="C9" s="39" t="str">
        <f>IF('Set-Up Worksheet'!E7="","Data Not Entered On Set-Up Worksheet",'Set-Up Worksheet'!E7)</f>
        <v>Data Not Entered On Set-Up Worksheet</v>
      </c>
      <c r="F9" s="79" t="s">
        <v>305</v>
      </c>
      <c r="I9" s="39"/>
      <c r="L9" s="39"/>
      <c r="O9" s="39" t="str">
        <f t="shared" si="0"/>
        <v>Data Not Entered On Set-Up Worksheet</v>
      </c>
      <c r="R9" s="39"/>
      <c r="U9" s="39"/>
      <c r="X9" s="39"/>
      <c r="AA9" s="39" t="str">
        <f t="shared" si="1"/>
        <v>Data Not Entered On Set-Up Worksheet</v>
      </c>
      <c r="AD9" s="39"/>
      <c r="AG9" s="39"/>
      <c r="AJ9" s="39"/>
      <c r="AM9" s="39" t="str">
        <f t="shared" si="2"/>
        <v>Data Not Entered On Set-Up Worksheet</v>
      </c>
    </row>
    <row r="10" spans="1:52" ht="15" customHeight="1" x14ac:dyDescent="0.2">
      <c r="A10" s="30" t="s">
        <v>9</v>
      </c>
      <c r="C10" s="32" t="s">
        <v>10</v>
      </c>
      <c r="F10" s="79" t="s">
        <v>306</v>
      </c>
      <c r="I10" s="32"/>
      <c r="L10" s="32"/>
      <c r="O10" s="39" t="str">
        <f t="shared" si="0"/>
        <v>Behavioral Health</v>
      </c>
      <c r="R10" s="32"/>
      <c r="U10" s="32"/>
      <c r="X10" s="32"/>
      <c r="AA10" s="39" t="str">
        <f t="shared" si="1"/>
        <v>Behavioral Health</v>
      </c>
      <c r="AD10" s="32"/>
      <c r="AG10" s="32"/>
      <c r="AJ10" s="32"/>
      <c r="AM10" s="39" t="str">
        <f t="shared" si="2"/>
        <v>Behavioral Health</v>
      </c>
    </row>
    <row r="11" spans="1:52" ht="15" customHeight="1" x14ac:dyDescent="0.2">
      <c r="A11" s="30" t="s">
        <v>197</v>
      </c>
      <c r="C11" s="40" t="str">
        <f>IF(C4="Data Not Entered On Set-Up Worksheet","Data Not Entered On Set-Up Worksheet",IF(C4="1st Quarter",'Report Schedule'!D19,IF(C4="2nd Quarter",'Report Schedule'!E19,IF(C4="3rd Quarter",'Report Schedule'!F19,IF(C4="4th Quarter",'Report Schedule'!G19,"")))))</f>
        <v>Apr - Jun 2017</v>
      </c>
      <c r="F11" s="79" t="s">
        <v>328</v>
      </c>
      <c r="I11" s="311"/>
      <c r="L11" s="311"/>
      <c r="O11" s="40" t="str">
        <f t="shared" si="0"/>
        <v>Apr - Jun 2017</v>
      </c>
      <c r="R11" s="40"/>
      <c r="U11" s="40"/>
      <c r="X11" s="40"/>
      <c r="AA11" s="40" t="str">
        <f t="shared" si="1"/>
        <v>Apr - Jun 2017</v>
      </c>
      <c r="AD11" s="40"/>
      <c r="AG11" s="40"/>
      <c r="AJ11" s="40"/>
      <c r="AM11" s="40" t="str">
        <f t="shared" si="2"/>
        <v>Apr - Jun 2017</v>
      </c>
    </row>
    <row r="12" spans="1:52" ht="15" customHeight="1" x14ac:dyDescent="0.2">
      <c r="A12" s="30"/>
      <c r="C12" s="40"/>
      <c r="F12" s="79"/>
      <c r="I12" s="40"/>
      <c r="L12" s="40"/>
      <c r="O12" s="40"/>
      <c r="R12" s="40"/>
      <c r="U12" s="40"/>
      <c r="X12" s="40"/>
      <c r="AA12" s="40"/>
      <c r="AD12" s="40"/>
      <c r="AG12" s="40"/>
      <c r="AJ12" s="40"/>
      <c r="AM12" s="40"/>
    </row>
    <row r="13" spans="1:52" ht="20.100000000000001" customHeight="1" x14ac:dyDescent="0.2">
      <c r="A13" s="312" t="s">
        <v>308</v>
      </c>
      <c r="B13" s="243" t="str">
        <f>"Measurement Period:  "&amp;$C$11</f>
        <v>Measurement Period:  Apr - Jun 2017</v>
      </c>
      <c r="C13" s="243"/>
      <c r="D13" s="243"/>
      <c r="E13" s="243"/>
      <c r="F13" s="243"/>
      <c r="G13" s="243"/>
      <c r="H13" s="243"/>
      <c r="I13" s="243"/>
      <c r="J13" s="243"/>
      <c r="K13" s="243"/>
      <c r="L13" s="243"/>
      <c r="M13" s="243"/>
      <c r="N13" s="243" t="str">
        <f>"Measurement Period:  "&amp;$C$11</f>
        <v>Measurement Period:  Apr - Jun 2017</v>
      </c>
      <c r="O13" s="243"/>
      <c r="P13" s="243"/>
      <c r="Q13" s="243"/>
      <c r="R13" s="243"/>
      <c r="S13" s="243"/>
      <c r="T13" s="243"/>
      <c r="U13" s="243"/>
      <c r="V13" s="243"/>
      <c r="W13" s="243"/>
      <c r="X13" s="243"/>
      <c r="Y13" s="243"/>
      <c r="Z13" s="243" t="str">
        <f>"Measurement Period:  "&amp;$C$11</f>
        <v>Measurement Period:  Apr - Jun 2017</v>
      </c>
      <c r="AA13" s="243"/>
      <c r="AB13" s="243"/>
      <c r="AC13" s="243"/>
      <c r="AD13" s="243"/>
      <c r="AE13" s="243"/>
      <c r="AF13" s="243"/>
      <c r="AG13" s="243"/>
      <c r="AH13" s="243"/>
      <c r="AI13" s="243"/>
      <c r="AJ13" s="243"/>
      <c r="AK13" s="243"/>
      <c r="AL13" s="243" t="str">
        <f>"Measurement Period:  "&amp;$C$11</f>
        <v>Measurement Period:  Apr - Jun 2017</v>
      </c>
      <c r="AM13" s="44"/>
      <c r="AN13" s="44"/>
    </row>
    <row r="14" spans="1:52" ht="13.5" thickBot="1" x14ac:dyDescent="0.25"/>
    <row r="15" spans="1:52" ht="18" customHeight="1" thickBot="1" x14ac:dyDescent="0.25">
      <c r="A15" s="226" t="s">
        <v>251</v>
      </c>
      <c r="B15" s="234" t="s">
        <v>248</v>
      </c>
      <c r="C15" s="235"/>
      <c r="D15" s="236"/>
      <c r="E15" s="63" t="s">
        <v>249</v>
      </c>
      <c r="F15" s="231"/>
      <c r="G15" s="231"/>
      <c r="H15" s="231"/>
      <c r="I15" s="231"/>
      <c r="J15" s="231"/>
      <c r="K15" s="231"/>
      <c r="L15" s="231"/>
      <c r="M15" s="232"/>
      <c r="N15" s="234" t="s">
        <v>253</v>
      </c>
      <c r="O15" s="235"/>
      <c r="P15" s="236"/>
      <c r="Q15" s="63" t="s">
        <v>254</v>
      </c>
      <c r="R15" s="231"/>
      <c r="S15" s="231"/>
      <c r="T15" s="231"/>
      <c r="U15" s="231"/>
      <c r="V15" s="231"/>
      <c r="W15" s="231"/>
      <c r="X15" s="231"/>
      <c r="Y15" s="232"/>
      <c r="Z15" s="234" t="s">
        <v>255</v>
      </c>
      <c r="AA15" s="235"/>
      <c r="AB15" s="236"/>
      <c r="AC15" s="63" t="s">
        <v>256</v>
      </c>
      <c r="AD15" s="231"/>
      <c r="AE15" s="231"/>
      <c r="AF15" s="231"/>
      <c r="AG15" s="231"/>
      <c r="AH15" s="231"/>
      <c r="AI15" s="231"/>
      <c r="AJ15" s="231"/>
      <c r="AK15" s="232"/>
      <c r="AL15" s="234" t="s">
        <v>260</v>
      </c>
      <c r="AM15" s="235"/>
      <c r="AN15" s="236"/>
    </row>
    <row r="16" spans="1:52" s="35" customFormat="1" ht="18" customHeight="1" thickBot="1" x14ac:dyDescent="0.25">
      <c r="A16" s="233" t="s">
        <v>252</v>
      </c>
      <c r="B16" s="234" t="s">
        <v>246</v>
      </c>
      <c r="C16" s="237"/>
      <c r="D16" s="238"/>
      <c r="E16" s="63" t="s">
        <v>146</v>
      </c>
      <c r="F16" s="64"/>
      <c r="G16" s="65"/>
      <c r="H16" s="63" t="s">
        <v>294</v>
      </c>
      <c r="I16" s="64"/>
      <c r="J16" s="65"/>
      <c r="K16" s="63" t="s">
        <v>295</v>
      </c>
      <c r="L16" s="64"/>
      <c r="M16" s="65"/>
      <c r="N16" s="234" t="s">
        <v>246</v>
      </c>
      <c r="O16" s="237"/>
      <c r="P16" s="238"/>
      <c r="Q16" s="63" t="s">
        <v>146</v>
      </c>
      <c r="R16" s="64"/>
      <c r="S16" s="65"/>
      <c r="T16" s="63" t="s">
        <v>294</v>
      </c>
      <c r="U16" s="64"/>
      <c r="V16" s="65"/>
      <c r="W16" s="63" t="s">
        <v>295</v>
      </c>
      <c r="X16" s="64"/>
      <c r="Y16" s="65"/>
      <c r="Z16" s="234" t="s">
        <v>246</v>
      </c>
      <c r="AA16" s="237"/>
      <c r="AB16" s="238"/>
      <c r="AC16" s="63" t="s">
        <v>146</v>
      </c>
      <c r="AD16" s="64"/>
      <c r="AE16" s="65"/>
      <c r="AF16" s="63" t="s">
        <v>294</v>
      </c>
      <c r="AG16" s="64"/>
      <c r="AH16" s="65"/>
      <c r="AI16" s="63" t="s">
        <v>295</v>
      </c>
      <c r="AJ16" s="64"/>
      <c r="AK16" s="65"/>
      <c r="AL16" s="234" t="s">
        <v>296</v>
      </c>
      <c r="AM16" s="237"/>
      <c r="AN16" s="238"/>
    </row>
    <row r="17" spans="1:46" s="35" customFormat="1" ht="13.5" thickBot="1" x14ac:dyDescent="0.25">
      <c r="A17" s="30"/>
      <c r="B17" s="56" t="s">
        <v>3</v>
      </c>
      <c r="C17" s="57" t="s">
        <v>4</v>
      </c>
      <c r="D17" s="58" t="s">
        <v>5</v>
      </c>
      <c r="E17" s="56" t="s">
        <v>3</v>
      </c>
      <c r="F17" s="57" t="s">
        <v>4</v>
      </c>
      <c r="G17" s="58" t="s">
        <v>5</v>
      </c>
      <c r="H17" s="56" t="s">
        <v>3</v>
      </c>
      <c r="I17" s="57" t="s">
        <v>4</v>
      </c>
      <c r="J17" s="58" t="s">
        <v>5</v>
      </c>
      <c r="K17" s="56" t="s">
        <v>3</v>
      </c>
      <c r="L17" s="57" t="s">
        <v>4</v>
      </c>
      <c r="M17" s="58" t="s">
        <v>5</v>
      </c>
      <c r="N17" s="56" t="s">
        <v>3</v>
      </c>
      <c r="O17" s="57" t="s">
        <v>4</v>
      </c>
      <c r="P17" s="58" t="s">
        <v>5</v>
      </c>
      <c r="Q17" s="56" t="s">
        <v>3</v>
      </c>
      <c r="R17" s="57" t="s">
        <v>4</v>
      </c>
      <c r="S17" s="58" t="s">
        <v>5</v>
      </c>
      <c r="T17" s="56" t="s">
        <v>3</v>
      </c>
      <c r="U17" s="57" t="s">
        <v>4</v>
      </c>
      <c r="V17" s="58" t="s">
        <v>5</v>
      </c>
      <c r="W17" s="56" t="s">
        <v>3</v>
      </c>
      <c r="X17" s="57" t="s">
        <v>4</v>
      </c>
      <c r="Y17" s="58" t="s">
        <v>5</v>
      </c>
      <c r="Z17" s="56" t="s">
        <v>3</v>
      </c>
      <c r="AA17" s="57" t="s">
        <v>4</v>
      </c>
      <c r="AB17" s="58" t="s">
        <v>5</v>
      </c>
      <c r="AC17" s="56" t="s">
        <v>3</v>
      </c>
      <c r="AD17" s="57" t="s">
        <v>4</v>
      </c>
      <c r="AE17" s="58" t="s">
        <v>5</v>
      </c>
      <c r="AF17" s="56" t="s">
        <v>3</v>
      </c>
      <c r="AG17" s="57" t="s">
        <v>4</v>
      </c>
      <c r="AH17" s="58" t="s">
        <v>5</v>
      </c>
      <c r="AI17" s="56" t="s">
        <v>3</v>
      </c>
      <c r="AJ17" s="57" t="s">
        <v>4</v>
      </c>
      <c r="AK17" s="58" t="s">
        <v>5</v>
      </c>
      <c r="AL17" s="56" t="s">
        <v>3</v>
      </c>
      <c r="AM17" s="57" t="s">
        <v>4</v>
      </c>
      <c r="AN17" s="58" t="s">
        <v>5</v>
      </c>
      <c r="AO17" s="33"/>
      <c r="AP17" s="30"/>
      <c r="AQ17" s="30"/>
      <c r="AR17" s="30"/>
      <c r="AS17" s="30"/>
      <c r="AT17" s="30"/>
    </row>
    <row r="18" spans="1:46" ht="39.950000000000003" customHeight="1" x14ac:dyDescent="0.2">
      <c r="A18" s="75" t="s">
        <v>43</v>
      </c>
      <c r="B18" s="239" t="s">
        <v>429</v>
      </c>
      <c r="C18" s="240" t="s">
        <v>264</v>
      </c>
      <c r="D18" s="241" t="s">
        <v>430</v>
      </c>
      <c r="E18" s="66" t="s">
        <v>429</v>
      </c>
      <c r="F18" s="67" t="s">
        <v>264</v>
      </c>
      <c r="G18" s="68" t="s">
        <v>430</v>
      </c>
      <c r="H18" s="66" t="s">
        <v>429</v>
      </c>
      <c r="I18" s="67" t="s">
        <v>264</v>
      </c>
      <c r="J18" s="68" t="s">
        <v>430</v>
      </c>
      <c r="K18" s="66" t="s">
        <v>429</v>
      </c>
      <c r="L18" s="67" t="s">
        <v>264</v>
      </c>
      <c r="M18" s="68" t="s">
        <v>430</v>
      </c>
      <c r="N18" s="239" t="s">
        <v>429</v>
      </c>
      <c r="O18" s="240" t="s">
        <v>264</v>
      </c>
      <c r="P18" s="241" t="s">
        <v>430</v>
      </c>
      <c r="Q18" s="66" t="s">
        <v>429</v>
      </c>
      <c r="R18" s="67" t="s">
        <v>264</v>
      </c>
      <c r="S18" s="68" t="s">
        <v>430</v>
      </c>
      <c r="T18" s="66" t="s">
        <v>429</v>
      </c>
      <c r="U18" s="67" t="s">
        <v>264</v>
      </c>
      <c r="V18" s="68" t="s">
        <v>430</v>
      </c>
      <c r="W18" s="66" t="s">
        <v>429</v>
      </c>
      <c r="X18" s="67" t="s">
        <v>264</v>
      </c>
      <c r="Y18" s="68" t="s">
        <v>430</v>
      </c>
      <c r="Z18" s="239" t="s">
        <v>429</v>
      </c>
      <c r="AA18" s="240" t="s">
        <v>264</v>
      </c>
      <c r="AB18" s="241" t="s">
        <v>430</v>
      </c>
      <c r="AC18" s="66" t="s">
        <v>429</v>
      </c>
      <c r="AD18" s="67" t="s">
        <v>264</v>
      </c>
      <c r="AE18" s="68" t="s">
        <v>430</v>
      </c>
      <c r="AF18" s="66" t="s">
        <v>429</v>
      </c>
      <c r="AG18" s="67" t="s">
        <v>264</v>
      </c>
      <c r="AH18" s="68" t="s">
        <v>430</v>
      </c>
      <c r="AI18" s="66" t="s">
        <v>429</v>
      </c>
      <c r="AJ18" s="67" t="s">
        <v>264</v>
      </c>
      <c r="AK18" s="68" t="s">
        <v>430</v>
      </c>
      <c r="AL18" s="239" t="s">
        <v>257</v>
      </c>
      <c r="AM18" s="240" t="s">
        <v>264</v>
      </c>
      <c r="AN18" s="241" t="s">
        <v>258</v>
      </c>
    </row>
    <row r="19" spans="1:46" ht="18" customHeight="1" x14ac:dyDescent="0.2">
      <c r="A19" s="76" t="str">
        <f>IF($C$9="Data Not Entered On Set-Up Worksheet","",IF(OR(VLOOKUP($C$9,County_Lookup,2,FALSE)="",VLOOKUP($C$9,County_Lookup,2,FALSE)=0),"",VLOOKUP($C$9,County_Lookup,2,FALSE)))</f>
        <v/>
      </c>
      <c r="B19" s="69"/>
      <c r="C19" s="62" t="str">
        <f t="shared" ref="C19:C44" si="3">IF(OR($A19="",$A19="Other"),"",IF(OR(AND($C$3=2018,$C$4&lt;&gt;"1st Quarter"),AND($C$3=2019,$C$4="1st Quarter")),VLOOKUP($A19,Uninsured_SFY2018,15,FALSE),IF(OR(AND($C$3=2017,$C$4&lt;&gt;"1st Quarter"),AND($C$3=2018,$C$4="1st Quarter")),VLOOKUP($A19,Uninsured_SFY2017,15,FALSE),"Update Lookup")))</f>
        <v/>
      </c>
      <c r="D19" s="70" t="str">
        <f>IF(OR($A19="",$A19="Other"),"",IF(C19=0,0,B19/C19))</f>
        <v/>
      </c>
      <c r="E19" s="69"/>
      <c r="F19" s="62" t="str">
        <f t="shared" ref="F19:F44" si="4">IF(OR($A19="",$A19="Other"),"",IF(OR(AND($C$3=2018,$C$4&lt;&gt;"1st Quarter"),AND($C$3=2019,$C$4="1st Quarter")),VLOOKUP($A19,Uninsured_SFY2018,16,FALSE),IF(OR(AND($C$3=2017,$C$4&lt;&gt;"1st Quarter"),AND($C$3=2018,$C$4="1st Quarter")),VLOOKUP($A19,Uninsured_SFY2017,16,FALSE),"Update Lookup")))</f>
        <v/>
      </c>
      <c r="G19" s="70" t="str">
        <f>IF(OR($A19="",$A19="Other"),"",IF(F19=0,0,E19/F19))</f>
        <v/>
      </c>
      <c r="H19" s="69"/>
      <c r="I19" s="62" t="str">
        <f t="shared" ref="I19:I44" si="5">IF(OR($A19="",$A19="Other"),"",IF(OR(AND($C$3=2018,$C$4&lt;&gt;"1st Quarter"),AND($C$3=2019,$C$4="1st Quarter")),VLOOKUP($A19,Uninsured_SFY2018,17,FALSE),IF(OR(AND($C$3=2017,$C$4&lt;&gt;"1st Quarter"),AND($C$3=2018,$C$4="1st Quarter")),VLOOKUP($A19,Uninsured_SFY2017,17,FALSE),"Update Lookup")))</f>
        <v/>
      </c>
      <c r="J19" s="70" t="str">
        <f>IF(OR($A19="",$A19="Other"),"",IF(I19=0,0,H19/I19))</f>
        <v/>
      </c>
      <c r="K19" s="74" t="str">
        <f>IF($A19="","",SUM(E19,H19))</f>
        <v/>
      </c>
      <c r="L19" s="62" t="str">
        <f>IF(OR($A19="",$A19="Other"),"",SUM(F19,I19))</f>
        <v/>
      </c>
      <c r="M19" s="70" t="str">
        <f t="shared" ref="M19:M44" si="6">IF(OR($A19="",$A19="Other"),"",IF(L19=0,0,K19/L19))</f>
        <v/>
      </c>
      <c r="N19" s="69"/>
      <c r="O19" s="62" t="str">
        <f t="shared" ref="O19:O44" si="7">IF(OR($A19="",$A19="Other"),"",IF(OR(AND($C$3=2018,$C$4&lt;&gt;"1st Quarter"),AND($C$3=2019,$C$4="1st Quarter")),VLOOKUP($A19,Uninsured_SFY2018,15,FALSE),IF(OR(AND($C$3=2017,$C$4&lt;&gt;"1st Quarter"),AND($C$3=2018,$C$4="1st Quarter")),VLOOKUP($A19,Uninsured_SFY2017,15,FALSE),"Update Lookup")))</f>
        <v/>
      </c>
      <c r="P19" s="70" t="str">
        <f t="shared" ref="P19:P44" si="8">IF(OR($A19="",$A19="Other"),"",IF(O19=0,0,N19/O19))</f>
        <v/>
      </c>
      <c r="Q19" s="69"/>
      <c r="R19" s="62" t="str">
        <f t="shared" ref="R19:R44" si="9">IF(OR($A19="",$A19="Other"),"",IF(OR(AND($C$3=2018,$C$4&lt;&gt;"1st Quarter"),AND($C$3=2019,$C$4="1st Quarter")),VLOOKUP($A19,Uninsured_SFY2018,16,FALSE),IF(OR(AND($C$3=2017,$C$4&lt;&gt;"1st Quarter"),AND($C$3=2018,$C$4="1st Quarter")),VLOOKUP($A19,Uninsured_SFY2017,16,FALSE),"Update Lookup")))</f>
        <v/>
      </c>
      <c r="S19" s="70" t="str">
        <f t="shared" ref="S19:S44" si="10">IF(OR($A19="",$A19="Other"),"",IF(R19=0,0,Q19/R19))</f>
        <v/>
      </c>
      <c r="T19" s="69"/>
      <c r="U19" s="62" t="str">
        <f t="shared" ref="U19:U44" si="11">IF(OR($A19="",$A19="Other"),"",IF(OR(AND($C$3=2018,$C$4&lt;&gt;"1st Quarter"),AND($C$3=2019,$C$4="1st Quarter")),VLOOKUP($A19,Uninsured_SFY2018,17,FALSE),IF(OR(AND($C$3=2017,$C$4&lt;&gt;"1st Quarter"),AND($C$3=2018,$C$4="1st Quarter")),VLOOKUP($A19,Uninsured_SFY2017,17,FALSE),"Update Lookup")))</f>
        <v/>
      </c>
      <c r="V19" s="70" t="str">
        <f t="shared" ref="V19:V44" si="12">IF(OR($A19="",$A19="Other"),"",IF(U19=0,0,T19/U19))</f>
        <v/>
      </c>
      <c r="W19" s="74" t="str">
        <f>IF($A19="","",SUM(Q19,T19))</f>
        <v/>
      </c>
      <c r="X19" s="62" t="str">
        <f>IF(OR($A19="",$A19="Other"),"",SUM(R19,U19))</f>
        <v/>
      </c>
      <c r="Y19" s="70" t="str">
        <f t="shared" ref="Y19:Y44" si="13">IF(OR($A19="",$A19="Other"),"",IF(X19=0,0,W19/X19))</f>
        <v/>
      </c>
      <c r="Z19" s="69"/>
      <c r="AA19" s="62" t="str">
        <f t="shared" ref="AA19:AA44" si="14">IF(OR($A19="",$A19="Other"),"",IF(OR(AND($C$3=2018,$C$4&lt;&gt;"1st Quarter"),AND($C$3=2019,$C$4="1st Quarter")),VLOOKUP($A19,Uninsured_SFY2018,15,FALSE),IF(OR(AND($C$3=2017,$C$4&lt;&gt;"1st Quarter"),AND($C$3=2018,$C$4="1st Quarter")),VLOOKUP($A19,Uninsured_SFY2017,15,FALSE),"Update Lookup")))</f>
        <v/>
      </c>
      <c r="AB19" s="70" t="str">
        <f t="shared" ref="AB19:AB44" si="15">IF(OR($A19="",$A19="Other"),"",IF(AA19=0,0,Z19/AA19))</f>
        <v/>
      </c>
      <c r="AC19" s="69"/>
      <c r="AD19" s="62" t="str">
        <f t="shared" ref="AD19:AD44" si="16">IF(OR($A19="",$A19="Other"),"",IF(OR(AND($C$3=2018,$C$4&lt;&gt;"1st Quarter"),AND($C$3=2019,$C$4="1st Quarter")),VLOOKUP($A19,Uninsured_SFY2018,16,FALSE),IF(OR(AND($C$3=2017,$C$4&lt;&gt;"1st Quarter"),AND($C$3=2018,$C$4="1st Quarter")),VLOOKUP($A19,Uninsured_SFY2017,16,FALSE),"Update Lookup")))</f>
        <v/>
      </c>
      <c r="AE19" s="70" t="str">
        <f t="shared" ref="AE19:AE44" si="17">IF(OR($A19="",$A19="Other"),"",IF(AD19=0,0,AC19/AD19))</f>
        <v/>
      </c>
      <c r="AF19" s="69"/>
      <c r="AG19" s="62" t="str">
        <f t="shared" ref="AG19:AG44" si="18">IF(OR($A19="",$A19="Other"),"",IF(OR(AND($C$3=2018,$C$4&lt;&gt;"1st Quarter"),AND($C$3=2019,$C$4="1st Quarter")),VLOOKUP($A19,Uninsured_SFY2018,17,FALSE),IF(OR(AND($C$3=2017,$C$4&lt;&gt;"1st Quarter"),AND($C$3=2018,$C$4="1st Quarter")),VLOOKUP($A19,Uninsured_SFY2017,17,FALSE),"Update Lookup")))</f>
        <v/>
      </c>
      <c r="AH19" s="70" t="str">
        <f t="shared" ref="AH19:AH44" si="19">IF(OR($A19="",$A19="Other"),"",IF(AG19=0,0,AF19/AG19))</f>
        <v/>
      </c>
      <c r="AI19" s="74" t="str">
        <f>IF($A19="","",SUM(AC19,AF19))</f>
        <v/>
      </c>
      <c r="AJ19" s="62" t="str">
        <f t="shared" ref="AJ19:AJ44" si="20">IF(OR($A19="",$A19="Other"),"",SUM(AD19,AG19))</f>
        <v/>
      </c>
      <c r="AK19" s="70" t="str">
        <f t="shared" ref="AK19:AK44" si="21">IF(OR($A19="",$A19="Other"),"",IF(AJ19=0,0,AI19/AJ19))</f>
        <v/>
      </c>
      <c r="AL19" s="69"/>
      <c r="AM19" s="62" t="str">
        <f t="shared" ref="AM19:AM44" si="22">IF(OR($A19="",$A19="Other"),"",IF(OR(AND($C$3=2018,$C$4&lt;&gt;"1st Quarter"),AND($C$3=2019,$C$4="1st Quarter")),VLOOKUP($A19,Uninsured_SFY2018,19,FALSE),IF(OR(AND($C$3=2017,$C$4&lt;&gt;"1st Quarter"),AND($C$3=2018,$C$4="1st Quarter")),VLOOKUP($A19,Uninsured_SFY2017,19,FALSE),"Update Lookup")))</f>
        <v/>
      </c>
      <c r="AN19" s="70" t="str">
        <f t="shared" ref="AN19:AN44" si="23">IF(OR($A19="",$A19="Other"),"",IF(AM19=0,0,AL19/AM19))</f>
        <v/>
      </c>
    </row>
    <row r="20" spans="1:46" ht="18" customHeight="1" x14ac:dyDescent="0.2">
      <c r="A20" s="77" t="str">
        <f>IF($C$9="Data Not Entered On Set-Up Worksheet","",IF(OR(VLOOKUP($C$9,County_Lookup,3,FALSE)="",VLOOKUP($C$9,County_Lookup,3,FALSE)=0),"",VLOOKUP($C$9,County_Lookup,3,FALSE)))</f>
        <v/>
      </c>
      <c r="B20" s="69"/>
      <c r="C20" s="62" t="str">
        <f t="shared" si="3"/>
        <v/>
      </c>
      <c r="D20" s="70" t="str">
        <f t="shared" ref="D20:D44" si="24">IF(OR($A20="",$A20="Other"),"",IF(C20=0,0,B20/C20))</f>
        <v/>
      </c>
      <c r="E20" s="69"/>
      <c r="F20" s="62" t="str">
        <f t="shared" si="4"/>
        <v/>
      </c>
      <c r="G20" s="70" t="str">
        <f t="shared" ref="G20:G44" si="25">IF(OR($A20="",$A20="Other"),"",IF(F20=0,0,E20/F20))</f>
        <v/>
      </c>
      <c r="H20" s="69"/>
      <c r="I20" s="62" t="str">
        <f t="shared" si="5"/>
        <v/>
      </c>
      <c r="J20" s="70" t="str">
        <f t="shared" ref="J20:J44" si="26">IF(OR($A20="",$A20="Other"),"",IF(I20=0,0,H20/I20))</f>
        <v/>
      </c>
      <c r="K20" s="74" t="str">
        <f t="shared" ref="K20:K44" si="27">IF($A20="","",SUM(E20,H20))</f>
        <v/>
      </c>
      <c r="L20" s="62" t="str">
        <f t="shared" ref="L20:L44" si="28">IF(OR($A20="",$A20="Other"),"",SUM(F20,I20))</f>
        <v/>
      </c>
      <c r="M20" s="70" t="str">
        <f t="shared" si="6"/>
        <v/>
      </c>
      <c r="N20" s="69"/>
      <c r="O20" s="62" t="str">
        <f t="shared" si="7"/>
        <v/>
      </c>
      <c r="P20" s="70" t="str">
        <f t="shared" si="8"/>
        <v/>
      </c>
      <c r="Q20" s="69"/>
      <c r="R20" s="62" t="str">
        <f t="shared" si="9"/>
        <v/>
      </c>
      <c r="S20" s="70" t="str">
        <f t="shared" si="10"/>
        <v/>
      </c>
      <c r="T20" s="69"/>
      <c r="U20" s="62" t="str">
        <f t="shared" si="11"/>
        <v/>
      </c>
      <c r="V20" s="70" t="str">
        <f t="shared" si="12"/>
        <v/>
      </c>
      <c r="W20" s="74" t="str">
        <f t="shared" ref="W20:W44" si="29">IF($A20="","",SUM(Q20,T20))</f>
        <v/>
      </c>
      <c r="X20" s="62" t="str">
        <f t="shared" ref="X20:X44" si="30">IF(OR($A20="",$A20="Other"),"",SUM(R20,U20))</f>
        <v/>
      </c>
      <c r="Y20" s="70" t="str">
        <f t="shared" si="13"/>
        <v/>
      </c>
      <c r="Z20" s="69"/>
      <c r="AA20" s="62" t="str">
        <f t="shared" si="14"/>
        <v/>
      </c>
      <c r="AB20" s="70" t="str">
        <f t="shared" si="15"/>
        <v/>
      </c>
      <c r="AC20" s="69"/>
      <c r="AD20" s="62" t="str">
        <f t="shared" si="16"/>
        <v/>
      </c>
      <c r="AE20" s="70" t="str">
        <f t="shared" si="17"/>
        <v/>
      </c>
      <c r="AF20" s="69"/>
      <c r="AG20" s="62" t="str">
        <f t="shared" si="18"/>
        <v/>
      </c>
      <c r="AH20" s="70" t="str">
        <f t="shared" si="19"/>
        <v/>
      </c>
      <c r="AI20" s="74" t="str">
        <f t="shared" ref="AI20:AI44" si="31">IF($A20="","",SUM(AC20,AF20))</f>
        <v/>
      </c>
      <c r="AJ20" s="62" t="str">
        <f t="shared" si="20"/>
        <v/>
      </c>
      <c r="AK20" s="70" t="str">
        <f t="shared" si="21"/>
        <v/>
      </c>
      <c r="AL20" s="69"/>
      <c r="AM20" s="62" t="str">
        <f t="shared" si="22"/>
        <v/>
      </c>
      <c r="AN20" s="70" t="str">
        <f t="shared" si="23"/>
        <v/>
      </c>
    </row>
    <row r="21" spans="1:46" ht="18" customHeight="1" x14ac:dyDescent="0.2">
      <c r="A21" s="77" t="str">
        <f>IF($C$9="Data Not Entered On Set-Up Worksheet","",IF(OR(VLOOKUP($C$9,County_Lookup,4,FALSE)="",VLOOKUP($C$9,County_Lookup,4,FALSE)=0),"",VLOOKUP($C$9,County_Lookup,4,FALSE)))</f>
        <v/>
      </c>
      <c r="B21" s="69"/>
      <c r="C21" s="62" t="str">
        <f t="shared" si="3"/>
        <v/>
      </c>
      <c r="D21" s="70" t="str">
        <f t="shared" si="24"/>
        <v/>
      </c>
      <c r="E21" s="69"/>
      <c r="F21" s="62" t="str">
        <f t="shared" si="4"/>
        <v/>
      </c>
      <c r="G21" s="70" t="str">
        <f t="shared" si="25"/>
        <v/>
      </c>
      <c r="H21" s="69"/>
      <c r="I21" s="62" t="str">
        <f t="shared" si="5"/>
        <v/>
      </c>
      <c r="J21" s="70" t="str">
        <f t="shared" si="26"/>
        <v/>
      </c>
      <c r="K21" s="74" t="str">
        <f t="shared" si="27"/>
        <v/>
      </c>
      <c r="L21" s="62" t="str">
        <f t="shared" si="28"/>
        <v/>
      </c>
      <c r="M21" s="70" t="str">
        <f t="shared" si="6"/>
        <v/>
      </c>
      <c r="N21" s="69"/>
      <c r="O21" s="62" t="str">
        <f t="shared" si="7"/>
        <v/>
      </c>
      <c r="P21" s="70" t="str">
        <f t="shared" si="8"/>
        <v/>
      </c>
      <c r="Q21" s="69"/>
      <c r="R21" s="62" t="str">
        <f t="shared" si="9"/>
        <v/>
      </c>
      <c r="S21" s="70" t="str">
        <f t="shared" si="10"/>
        <v/>
      </c>
      <c r="T21" s="69"/>
      <c r="U21" s="62" t="str">
        <f t="shared" si="11"/>
        <v/>
      </c>
      <c r="V21" s="70" t="str">
        <f t="shared" si="12"/>
        <v/>
      </c>
      <c r="W21" s="74" t="str">
        <f t="shared" si="29"/>
        <v/>
      </c>
      <c r="X21" s="62" t="str">
        <f t="shared" si="30"/>
        <v/>
      </c>
      <c r="Y21" s="70" t="str">
        <f t="shared" si="13"/>
        <v/>
      </c>
      <c r="Z21" s="69"/>
      <c r="AA21" s="62" t="str">
        <f t="shared" si="14"/>
        <v/>
      </c>
      <c r="AB21" s="70" t="str">
        <f t="shared" si="15"/>
        <v/>
      </c>
      <c r="AC21" s="69"/>
      <c r="AD21" s="62" t="str">
        <f t="shared" si="16"/>
        <v/>
      </c>
      <c r="AE21" s="70" t="str">
        <f t="shared" si="17"/>
        <v/>
      </c>
      <c r="AF21" s="69"/>
      <c r="AG21" s="62" t="str">
        <f t="shared" si="18"/>
        <v/>
      </c>
      <c r="AH21" s="70" t="str">
        <f t="shared" si="19"/>
        <v/>
      </c>
      <c r="AI21" s="74" t="str">
        <f t="shared" si="31"/>
        <v/>
      </c>
      <c r="AJ21" s="62" t="str">
        <f t="shared" si="20"/>
        <v/>
      </c>
      <c r="AK21" s="70" t="str">
        <f t="shared" si="21"/>
        <v/>
      </c>
      <c r="AL21" s="69"/>
      <c r="AM21" s="62" t="str">
        <f t="shared" si="22"/>
        <v/>
      </c>
      <c r="AN21" s="70" t="str">
        <f t="shared" si="23"/>
        <v/>
      </c>
    </row>
    <row r="22" spans="1:46" ht="18" customHeight="1" x14ac:dyDescent="0.2">
      <c r="A22" s="77" t="str">
        <f>IF($C$9="Data Not Entered On Set-Up Worksheet","",IF(OR(VLOOKUP($C$9,County_Lookup,5,FALSE)="",VLOOKUP($C$9,County_Lookup,5,FALSE)=0),"",VLOOKUP($C$9,County_Lookup,5,FALSE)))</f>
        <v/>
      </c>
      <c r="B22" s="69"/>
      <c r="C22" s="62" t="str">
        <f t="shared" si="3"/>
        <v/>
      </c>
      <c r="D22" s="70" t="str">
        <f t="shared" si="24"/>
        <v/>
      </c>
      <c r="E22" s="69"/>
      <c r="F22" s="62" t="str">
        <f t="shared" si="4"/>
        <v/>
      </c>
      <c r="G22" s="70" t="str">
        <f t="shared" si="25"/>
        <v/>
      </c>
      <c r="H22" s="69"/>
      <c r="I22" s="62" t="str">
        <f t="shared" si="5"/>
        <v/>
      </c>
      <c r="J22" s="70" t="str">
        <f t="shared" si="26"/>
        <v/>
      </c>
      <c r="K22" s="74" t="str">
        <f t="shared" si="27"/>
        <v/>
      </c>
      <c r="L22" s="62" t="str">
        <f t="shared" si="28"/>
        <v/>
      </c>
      <c r="M22" s="70" t="str">
        <f t="shared" si="6"/>
        <v/>
      </c>
      <c r="N22" s="69"/>
      <c r="O22" s="62" t="str">
        <f t="shared" si="7"/>
        <v/>
      </c>
      <c r="P22" s="70" t="str">
        <f t="shared" si="8"/>
        <v/>
      </c>
      <c r="Q22" s="69"/>
      <c r="R22" s="62" t="str">
        <f t="shared" si="9"/>
        <v/>
      </c>
      <c r="S22" s="70" t="str">
        <f t="shared" si="10"/>
        <v/>
      </c>
      <c r="T22" s="69"/>
      <c r="U22" s="62" t="str">
        <f t="shared" si="11"/>
        <v/>
      </c>
      <c r="V22" s="70" t="str">
        <f t="shared" si="12"/>
        <v/>
      </c>
      <c r="W22" s="74" t="str">
        <f t="shared" si="29"/>
        <v/>
      </c>
      <c r="X22" s="62" t="str">
        <f t="shared" si="30"/>
        <v/>
      </c>
      <c r="Y22" s="70" t="str">
        <f t="shared" si="13"/>
        <v/>
      </c>
      <c r="Z22" s="69"/>
      <c r="AA22" s="62" t="str">
        <f t="shared" si="14"/>
        <v/>
      </c>
      <c r="AB22" s="70" t="str">
        <f t="shared" si="15"/>
        <v/>
      </c>
      <c r="AC22" s="69"/>
      <c r="AD22" s="62" t="str">
        <f t="shared" si="16"/>
        <v/>
      </c>
      <c r="AE22" s="70" t="str">
        <f t="shared" si="17"/>
        <v/>
      </c>
      <c r="AF22" s="69"/>
      <c r="AG22" s="62" t="str">
        <f t="shared" si="18"/>
        <v/>
      </c>
      <c r="AH22" s="70" t="str">
        <f t="shared" si="19"/>
        <v/>
      </c>
      <c r="AI22" s="74" t="str">
        <f t="shared" si="31"/>
        <v/>
      </c>
      <c r="AJ22" s="62" t="str">
        <f t="shared" si="20"/>
        <v/>
      </c>
      <c r="AK22" s="70" t="str">
        <f t="shared" si="21"/>
        <v/>
      </c>
      <c r="AL22" s="69"/>
      <c r="AM22" s="62" t="str">
        <f t="shared" si="22"/>
        <v/>
      </c>
      <c r="AN22" s="70" t="str">
        <f t="shared" si="23"/>
        <v/>
      </c>
    </row>
    <row r="23" spans="1:46" ht="18" customHeight="1" x14ac:dyDescent="0.2">
      <c r="A23" s="77" t="str">
        <f>IF($C$9="Data Not Entered On Set-Up Worksheet","",IF(OR(VLOOKUP($C$9,County_Lookup,6,FALSE)="",VLOOKUP($C$9,County_Lookup,6,FALSE)=0),"",VLOOKUP($C$9,County_Lookup,6,FALSE)))</f>
        <v/>
      </c>
      <c r="B23" s="69"/>
      <c r="C23" s="62" t="str">
        <f t="shared" si="3"/>
        <v/>
      </c>
      <c r="D23" s="70" t="str">
        <f t="shared" si="24"/>
        <v/>
      </c>
      <c r="E23" s="69"/>
      <c r="F23" s="62" t="str">
        <f t="shared" si="4"/>
        <v/>
      </c>
      <c r="G23" s="70" t="str">
        <f t="shared" si="25"/>
        <v/>
      </c>
      <c r="H23" s="69"/>
      <c r="I23" s="62" t="str">
        <f t="shared" si="5"/>
        <v/>
      </c>
      <c r="J23" s="70" t="str">
        <f t="shared" si="26"/>
        <v/>
      </c>
      <c r="K23" s="74" t="str">
        <f t="shared" si="27"/>
        <v/>
      </c>
      <c r="L23" s="62" t="str">
        <f t="shared" si="28"/>
        <v/>
      </c>
      <c r="M23" s="70" t="str">
        <f t="shared" si="6"/>
        <v/>
      </c>
      <c r="N23" s="69"/>
      <c r="O23" s="62" t="str">
        <f t="shared" si="7"/>
        <v/>
      </c>
      <c r="P23" s="70" t="str">
        <f t="shared" si="8"/>
        <v/>
      </c>
      <c r="Q23" s="69"/>
      <c r="R23" s="62" t="str">
        <f t="shared" si="9"/>
        <v/>
      </c>
      <c r="S23" s="70" t="str">
        <f t="shared" si="10"/>
        <v/>
      </c>
      <c r="T23" s="69"/>
      <c r="U23" s="62" t="str">
        <f t="shared" si="11"/>
        <v/>
      </c>
      <c r="V23" s="70" t="str">
        <f t="shared" si="12"/>
        <v/>
      </c>
      <c r="W23" s="74" t="str">
        <f t="shared" si="29"/>
        <v/>
      </c>
      <c r="X23" s="62" t="str">
        <f t="shared" si="30"/>
        <v/>
      </c>
      <c r="Y23" s="70" t="str">
        <f t="shared" si="13"/>
        <v/>
      </c>
      <c r="Z23" s="69"/>
      <c r="AA23" s="62" t="str">
        <f t="shared" si="14"/>
        <v/>
      </c>
      <c r="AB23" s="70" t="str">
        <f t="shared" si="15"/>
        <v/>
      </c>
      <c r="AC23" s="69"/>
      <c r="AD23" s="62" t="str">
        <f t="shared" si="16"/>
        <v/>
      </c>
      <c r="AE23" s="70" t="str">
        <f t="shared" si="17"/>
        <v/>
      </c>
      <c r="AF23" s="69"/>
      <c r="AG23" s="62" t="str">
        <f t="shared" si="18"/>
        <v/>
      </c>
      <c r="AH23" s="70" t="str">
        <f t="shared" si="19"/>
        <v/>
      </c>
      <c r="AI23" s="74" t="str">
        <f t="shared" si="31"/>
        <v/>
      </c>
      <c r="AJ23" s="62" t="str">
        <f t="shared" si="20"/>
        <v/>
      </c>
      <c r="AK23" s="70" t="str">
        <f t="shared" si="21"/>
        <v/>
      </c>
      <c r="AL23" s="69"/>
      <c r="AM23" s="62" t="str">
        <f t="shared" si="22"/>
        <v/>
      </c>
      <c r="AN23" s="70" t="str">
        <f t="shared" si="23"/>
        <v/>
      </c>
    </row>
    <row r="24" spans="1:46" ht="18" customHeight="1" x14ac:dyDescent="0.2">
      <c r="A24" s="77" t="str">
        <f>IF($C$9="Data Not Entered On Set-Up Worksheet","",IF(OR(VLOOKUP($C$9,County_Lookup,7,FALSE)="",VLOOKUP($C$9,County_Lookup,7,FALSE)=0),"",VLOOKUP($C$9,County_Lookup,7,FALSE)))</f>
        <v/>
      </c>
      <c r="B24" s="69"/>
      <c r="C24" s="62" t="str">
        <f t="shared" si="3"/>
        <v/>
      </c>
      <c r="D24" s="70" t="str">
        <f t="shared" si="24"/>
        <v/>
      </c>
      <c r="E24" s="69"/>
      <c r="F24" s="62" t="str">
        <f t="shared" si="4"/>
        <v/>
      </c>
      <c r="G24" s="70" t="str">
        <f t="shared" si="25"/>
        <v/>
      </c>
      <c r="H24" s="69"/>
      <c r="I24" s="62" t="str">
        <f t="shared" si="5"/>
        <v/>
      </c>
      <c r="J24" s="70" t="str">
        <f t="shared" si="26"/>
        <v/>
      </c>
      <c r="K24" s="74" t="str">
        <f t="shared" si="27"/>
        <v/>
      </c>
      <c r="L24" s="62" t="str">
        <f t="shared" si="28"/>
        <v/>
      </c>
      <c r="M24" s="70" t="str">
        <f t="shared" si="6"/>
        <v/>
      </c>
      <c r="N24" s="69"/>
      <c r="O24" s="62" t="str">
        <f t="shared" si="7"/>
        <v/>
      </c>
      <c r="P24" s="70" t="str">
        <f t="shared" si="8"/>
        <v/>
      </c>
      <c r="Q24" s="69"/>
      <c r="R24" s="62" t="str">
        <f t="shared" si="9"/>
        <v/>
      </c>
      <c r="S24" s="70" t="str">
        <f t="shared" si="10"/>
        <v/>
      </c>
      <c r="T24" s="69"/>
      <c r="U24" s="62" t="str">
        <f t="shared" si="11"/>
        <v/>
      </c>
      <c r="V24" s="70" t="str">
        <f t="shared" si="12"/>
        <v/>
      </c>
      <c r="W24" s="74" t="str">
        <f t="shared" si="29"/>
        <v/>
      </c>
      <c r="X24" s="62" t="str">
        <f t="shared" si="30"/>
        <v/>
      </c>
      <c r="Y24" s="70" t="str">
        <f t="shared" si="13"/>
        <v/>
      </c>
      <c r="Z24" s="69"/>
      <c r="AA24" s="62" t="str">
        <f t="shared" si="14"/>
        <v/>
      </c>
      <c r="AB24" s="70" t="str">
        <f t="shared" si="15"/>
        <v/>
      </c>
      <c r="AC24" s="69"/>
      <c r="AD24" s="62" t="str">
        <f t="shared" si="16"/>
        <v/>
      </c>
      <c r="AE24" s="70" t="str">
        <f t="shared" si="17"/>
        <v/>
      </c>
      <c r="AF24" s="69"/>
      <c r="AG24" s="62" t="str">
        <f t="shared" si="18"/>
        <v/>
      </c>
      <c r="AH24" s="70" t="str">
        <f t="shared" si="19"/>
        <v/>
      </c>
      <c r="AI24" s="74" t="str">
        <f t="shared" si="31"/>
        <v/>
      </c>
      <c r="AJ24" s="62" t="str">
        <f t="shared" si="20"/>
        <v/>
      </c>
      <c r="AK24" s="70" t="str">
        <f t="shared" si="21"/>
        <v/>
      </c>
      <c r="AL24" s="69"/>
      <c r="AM24" s="62" t="str">
        <f t="shared" si="22"/>
        <v/>
      </c>
      <c r="AN24" s="70" t="str">
        <f t="shared" si="23"/>
        <v/>
      </c>
    </row>
    <row r="25" spans="1:46" ht="18" customHeight="1" x14ac:dyDescent="0.2">
      <c r="A25" s="76" t="str">
        <f>IF($C$9="Data Not Entered On Set-Up Worksheet","",IF(OR(VLOOKUP($C$9,County_Lookup,8,FALSE)="",VLOOKUP($C$9,County_Lookup,8,FALSE)=0),"",VLOOKUP($C$9,County_Lookup,8,FALSE)))</f>
        <v/>
      </c>
      <c r="B25" s="69"/>
      <c r="C25" s="62" t="str">
        <f t="shared" si="3"/>
        <v/>
      </c>
      <c r="D25" s="70" t="str">
        <f t="shared" si="24"/>
        <v/>
      </c>
      <c r="E25" s="69"/>
      <c r="F25" s="62" t="str">
        <f t="shared" si="4"/>
        <v/>
      </c>
      <c r="G25" s="70" t="str">
        <f t="shared" si="25"/>
        <v/>
      </c>
      <c r="H25" s="69"/>
      <c r="I25" s="62" t="str">
        <f t="shared" si="5"/>
        <v/>
      </c>
      <c r="J25" s="70" t="str">
        <f t="shared" si="26"/>
        <v/>
      </c>
      <c r="K25" s="74" t="str">
        <f t="shared" si="27"/>
        <v/>
      </c>
      <c r="L25" s="62" t="str">
        <f t="shared" si="28"/>
        <v/>
      </c>
      <c r="M25" s="70" t="str">
        <f t="shared" si="6"/>
        <v/>
      </c>
      <c r="N25" s="69"/>
      <c r="O25" s="62" t="str">
        <f t="shared" si="7"/>
        <v/>
      </c>
      <c r="P25" s="70" t="str">
        <f t="shared" si="8"/>
        <v/>
      </c>
      <c r="Q25" s="69"/>
      <c r="R25" s="62" t="str">
        <f t="shared" si="9"/>
        <v/>
      </c>
      <c r="S25" s="70" t="str">
        <f t="shared" si="10"/>
        <v/>
      </c>
      <c r="T25" s="69"/>
      <c r="U25" s="62" t="str">
        <f t="shared" si="11"/>
        <v/>
      </c>
      <c r="V25" s="70" t="str">
        <f t="shared" si="12"/>
        <v/>
      </c>
      <c r="W25" s="74" t="str">
        <f t="shared" si="29"/>
        <v/>
      </c>
      <c r="X25" s="62" t="str">
        <f t="shared" si="30"/>
        <v/>
      </c>
      <c r="Y25" s="70" t="str">
        <f t="shared" si="13"/>
        <v/>
      </c>
      <c r="Z25" s="69"/>
      <c r="AA25" s="62" t="str">
        <f t="shared" si="14"/>
        <v/>
      </c>
      <c r="AB25" s="70" t="str">
        <f t="shared" si="15"/>
        <v/>
      </c>
      <c r="AC25" s="69"/>
      <c r="AD25" s="62" t="str">
        <f t="shared" si="16"/>
        <v/>
      </c>
      <c r="AE25" s="70" t="str">
        <f t="shared" si="17"/>
        <v/>
      </c>
      <c r="AF25" s="69"/>
      <c r="AG25" s="62" t="str">
        <f t="shared" si="18"/>
        <v/>
      </c>
      <c r="AH25" s="70" t="str">
        <f t="shared" si="19"/>
        <v/>
      </c>
      <c r="AI25" s="74" t="str">
        <f t="shared" si="31"/>
        <v/>
      </c>
      <c r="AJ25" s="62" t="str">
        <f t="shared" si="20"/>
        <v/>
      </c>
      <c r="AK25" s="70" t="str">
        <f t="shared" si="21"/>
        <v/>
      </c>
      <c r="AL25" s="69"/>
      <c r="AM25" s="62" t="str">
        <f t="shared" si="22"/>
        <v/>
      </c>
      <c r="AN25" s="70" t="str">
        <f t="shared" si="23"/>
        <v/>
      </c>
    </row>
    <row r="26" spans="1:46" ht="18" customHeight="1" x14ac:dyDescent="0.2">
      <c r="A26" s="77" t="str">
        <f>IF($C$9="Data Not Entered On Set-Up Worksheet","",IF(OR(VLOOKUP($C$9,County_Lookup,9,FALSE)="",VLOOKUP($C$9,County_Lookup,9,FALSE)=0),"",VLOOKUP($C$9,County_Lookup,9,FALSE)))</f>
        <v/>
      </c>
      <c r="B26" s="69"/>
      <c r="C26" s="62" t="str">
        <f t="shared" si="3"/>
        <v/>
      </c>
      <c r="D26" s="70" t="str">
        <f t="shared" si="24"/>
        <v/>
      </c>
      <c r="E26" s="69"/>
      <c r="F26" s="62" t="str">
        <f t="shared" si="4"/>
        <v/>
      </c>
      <c r="G26" s="70" t="str">
        <f t="shared" si="25"/>
        <v/>
      </c>
      <c r="H26" s="69"/>
      <c r="I26" s="62" t="str">
        <f t="shared" si="5"/>
        <v/>
      </c>
      <c r="J26" s="70" t="str">
        <f t="shared" si="26"/>
        <v/>
      </c>
      <c r="K26" s="74" t="str">
        <f t="shared" si="27"/>
        <v/>
      </c>
      <c r="L26" s="62" t="str">
        <f t="shared" si="28"/>
        <v/>
      </c>
      <c r="M26" s="70" t="str">
        <f t="shared" si="6"/>
        <v/>
      </c>
      <c r="N26" s="69"/>
      <c r="O26" s="62" t="str">
        <f t="shared" si="7"/>
        <v/>
      </c>
      <c r="P26" s="70" t="str">
        <f t="shared" si="8"/>
        <v/>
      </c>
      <c r="Q26" s="69"/>
      <c r="R26" s="62" t="str">
        <f t="shared" si="9"/>
        <v/>
      </c>
      <c r="S26" s="70" t="str">
        <f t="shared" si="10"/>
        <v/>
      </c>
      <c r="T26" s="69"/>
      <c r="U26" s="62" t="str">
        <f t="shared" si="11"/>
        <v/>
      </c>
      <c r="V26" s="70" t="str">
        <f t="shared" si="12"/>
        <v/>
      </c>
      <c r="W26" s="74" t="str">
        <f t="shared" si="29"/>
        <v/>
      </c>
      <c r="X26" s="62" t="str">
        <f t="shared" si="30"/>
        <v/>
      </c>
      <c r="Y26" s="70" t="str">
        <f t="shared" si="13"/>
        <v/>
      </c>
      <c r="Z26" s="69"/>
      <c r="AA26" s="62" t="str">
        <f t="shared" si="14"/>
        <v/>
      </c>
      <c r="AB26" s="70" t="str">
        <f t="shared" si="15"/>
        <v/>
      </c>
      <c r="AC26" s="69"/>
      <c r="AD26" s="62" t="str">
        <f t="shared" si="16"/>
        <v/>
      </c>
      <c r="AE26" s="70" t="str">
        <f t="shared" si="17"/>
        <v/>
      </c>
      <c r="AF26" s="69"/>
      <c r="AG26" s="62" t="str">
        <f t="shared" si="18"/>
        <v/>
      </c>
      <c r="AH26" s="70" t="str">
        <f t="shared" si="19"/>
        <v/>
      </c>
      <c r="AI26" s="74" t="str">
        <f t="shared" si="31"/>
        <v/>
      </c>
      <c r="AJ26" s="62" t="str">
        <f t="shared" si="20"/>
        <v/>
      </c>
      <c r="AK26" s="70" t="str">
        <f t="shared" si="21"/>
        <v/>
      </c>
      <c r="AL26" s="69"/>
      <c r="AM26" s="62" t="str">
        <f t="shared" si="22"/>
        <v/>
      </c>
      <c r="AN26" s="70" t="str">
        <f t="shared" si="23"/>
        <v/>
      </c>
    </row>
    <row r="27" spans="1:46" ht="18" customHeight="1" x14ac:dyDescent="0.2">
      <c r="A27" s="77" t="str">
        <f>IF($C$9="Data Not Entered On Set-Up Worksheet","",IF(OR(VLOOKUP($C$9,County_Lookup,10,FALSE)="",VLOOKUP($C$9,County_Lookup,10,FALSE)=0),"",VLOOKUP($C$9,County_Lookup,10,FALSE)))</f>
        <v/>
      </c>
      <c r="B27" s="69"/>
      <c r="C27" s="62" t="str">
        <f t="shared" si="3"/>
        <v/>
      </c>
      <c r="D27" s="70" t="str">
        <f t="shared" si="24"/>
        <v/>
      </c>
      <c r="E27" s="69"/>
      <c r="F27" s="62" t="str">
        <f t="shared" si="4"/>
        <v/>
      </c>
      <c r="G27" s="70" t="str">
        <f t="shared" si="25"/>
        <v/>
      </c>
      <c r="H27" s="69"/>
      <c r="I27" s="62" t="str">
        <f t="shared" si="5"/>
        <v/>
      </c>
      <c r="J27" s="70" t="str">
        <f t="shared" si="26"/>
        <v/>
      </c>
      <c r="K27" s="74" t="str">
        <f t="shared" si="27"/>
        <v/>
      </c>
      <c r="L27" s="62" t="str">
        <f t="shared" si="28"/>
        <v/>
      </c>
      <c r="M27" s="70" t="str">
        <f t="shared" si="6"/>
        <v/>
      </c>
      <c r="N27" s="69"/>
      <c r="O27" s="62" t="str">
        <f t="shared" si="7"/>
        <v/>
      </c>
      <c r="P27" s="70" t="str">
        <f t="shared" si="8"/>
        <v/>
      </c>
      <c r="Q27" s="69"/>
      <c r="R27" s="62" t="str">
        <f t="shared" si="9"/>
        <v/>
      </c>
      <c r="S27" s="70" t="str">
        <f t="shared" si="10"/>
        <v/>
      </c>
      <c r="T27" s="69"/>
      <c r="U27" s="62" t="str">
        <f t="shared" si="11"/>
        <v/>
      </c>
      <c r="V27" s="70" t="str">
        <f t="shared" si="12"/>
        <v/>
      </c>
      <c r="W27" s="74" t="str">
        <f t="shared" si="29"/>
        <v/>
      </c>
      <c r="X27" s="62" t="str">
        <f t="shared" si="30"/>
        <v/>
      </c>
      <c r="Y27" s="70" t="str">
        <f t="shared" si="13"/>
        <v/>
      </c>
      <c r="Z27" s="69"/>
      <c r="AA27" s="62" t="str">
        <f t="shared" si="14"/>
        <v/>
      </c>
      <c r="AB27" s="70" t="str">
        <f t="shared" si="15"/>
        <v/>
      </c>
      <c r="AC27" s="69"/>
      <c r="AD27" s="62" t="str">
        <f t="shared" si="16"/>
        <v/>
      </c>
      <c r="AE27" s="70" t="str">
        <f t="shared" si="17"/>
        <v/>
      </c>
      <c r="AF27" s="69"/>
      <c r="AG27" s="62" t="str">
        <f t="shared" si="18"/>
        <v/>
      </c>
      <c r="AH27" s="70" t="str">
        <f t="shared" si="19"/>
        <v/>
      </c>
      <c r="AI27" s="74" t="str">
        <f t="shared" si="31"/>
        <v/>
      </c>
      <c r="AJ27" s="62" t="str">
        <f t="shared" si="20"/>
        <v/>
      </c>
      <c r="AK27" s="70" t="str">
        <f t="shared" si="21"/>
        <v/>
      </c>
      <c r="AL27" s="69"/>
      <c r="AM27" s="62" t="str">
        <f t="shared" si="22"/>
        <v/>
      </c>
      <c r="AN27" s="70" t="str">
        <f t="shared" si="23"/>
        <v/>
      </c>
    </row>
    <row r="28" spans="1:46" ht="18" customHeight="1" x14ac:dyDescent="0.2">
      <c r="A28" s="77" t="str">
        <f>IF($C$9="Data Not Entered On Set-Up Worksheet","",IF(OR(VLOOKUP($C$9,County_Lookup,11,FALSE)="",VLOOKUP($C$9,County_Lookup,11,FALSE)=0),"",VLOOKUP($C$9,County_Lookup,11,FALSE)))</f>
        <v/>
      </c>
      <c r="B28" s="69"/>
      <c r="C28" s="62" t="str">
        <f t="shared" si="3"/>
        <v/>
      </c>
      <c r="D28" s="70" t="str">
        <f t="shared" si="24"/>
        <v/>
      </c>
      <c r="E28" s="69"/>
      <c r="F28" s="62" t="str">
        <f t="shared" si="4"/>
        <v/>
      </c>
      <c r="G28" s="70" t="str">
        <f t="shared" si="25"/>
        <v/>
      </c>
      <c r="H28" s="69"/>
      <c r="I28" s="62" t="str">
        <f t="shared" si="5"/>
        <v/>
      </c>
      <c r="J28" s="70" t="str">
        <f t="shared" si="26"/>
        <v/>
      </c>
      <c r="K28" s="74" t="str">
        <f t="shared" si="27"/>
        <v/>
      </c>
      <c r="L28" s="62" t="str">
        <f t="shared" si="28"/>
        <v/>
      </c>
      <c r="M28" s="70" t="str">
        <f t="shared" si="6"/>
        <v/>
      </c>
      <c r="N28" s="69"/>
      <c r="O28" s="62" t="str">
        <f t="shared" si="7"/>
        <v/>
      </c>
      <c r="P28" s="70" t="str">
        <f t="shared" si="8"/>
        <v/>
      </c>
      <c r="Q28" s="69"/>
      <c r="R28" s="62" t="str">
        <f t="shared" si="9"/>
        <v/>
      </c>
      <c r="S28" s="70" t="str">
        <f t="shared" si="10"/>
        <v/>
      </c>
      <c r="T28" s="69"/>
      <c r="U28" s="62" t="str">
        <f t="shared" si="11"/>
        <v/>
      </c>
      <c r="V28" s="70" t="str">
        <f t="shared" si="12"/>
        <v/>
      </c>
      <c r="W28" s="74" t="str">
        <f t="shared" si="29"/>
        <v/>
      </c>
      <c r="X28" s="62" t="str">
        <f t="shared" si="30"/>
        <v/>
      </c>
      <c r="Y28" s="70" t="str">
        <f t="shared" si="13"/>
        <v/>
      </c>
      <c r="Z28" s="69"/>
      <c r="AA28" s="62" t="str">
        <f t="shared" si="14"/>
        <v/>
      </c>
      <c r="AB28" s="70" t="str">
        <f t="shared" si="15"/>
        <v/>
      </c>
      <c r="AC28" s="69"/>
      <c r="AD28" s="62" t="str">
        <f t="shared" si="16"/>
        <v/>
      </c>
      <c r="AE28" s="70" t="str">
        <f t="shared" si="17"/>
        <v/>
      </c>
      <c r="AF28" s="69"/>
      <c r="AG28" s="62" t="str">
        <f t="shared" si="18"/>
        <v/>
      </c>
      <c r="AH28" s="70" t="str">
        <f t="shared" si="19"/>
        <v/>
      </c>
      <c r="AI28" s="74" t="str">
        <f t="shared" si="31"/>
        <v/>
      </c>
      <c r="AJ28" s="62" t="str">
        <f t="shared" si="20"/>
        <v/>
      </c>
      <c r="AK28" s="70" t="str">
        <f t="shared" si="21"/>
        <v/>
      </c>
      <c r="AL28" s="69"/>
      <c r="AM28" s="62" t="str">
        <f t="shared" si="22"/>
        <v/>
      </c>
      <c r="AN28" s="70" t="str">
        <f t="shared" si="23"/>
        <v/>
      </c>
    </row>
    <row r="29" spans="1:46" ht="18" customHeight="1" x14ac:dyDescent="0.2">
      <c r="A29" s="77" t="str">
        <f>IF($C$9="Data Not Entered On Set-Up Worksheet","",IF(OR(VLOOKUP($C$9,County_Lookup,12,FALSE)="",VLOOKUP($C$9,County_Lookup,12,FALSE)=0),"",VLOOKUP($C$9,County_Lookup,12,FALSE)))</f>
        <v/>
      </c>
      <c r="B29" s="69"/>
      <c r="C29" s="62" t="str">
        <f t="shared" si="3"/>
        <v/>
      </c>
      <c r="D29" s="70" t="str">
        <f t="shared" si="24"/>
        <v/>
      </c>
      <c r="E29" s="69"/>
      <c r="F29" s="62" t="str">
        <f t="shared" si="4"/>
        <v/>
      </c>
      <c r="G29" s="70" t="str">
        <f t="shared" si="25"/>
        <v/>
      </c>
      <c r="H29" s="69"/>
      <c r="I29" s="62" t="str">
        <f t="shared" si="5"/>
        <v/>
      </c>
      <c r="J29" s="70" t="str">
        <f t="shared" si="26"/>
        <v/>
      </c>
      <c r="K29" s="74" t="str">
        <f t="shared" si="27"/>
        <v/>
      </c>
      <c r="L29" s="62" t="str">
        <f t="shared" si="28"/>
        <v/>
      </c>
      <c r="M29" s="70" t="str">
        <f t="shared" si="6"/>
        <v/>
      </c>
      <c r="N29" s="69"/>
      <c r="O29" s="62" t="str">
        <f t="shared" si="7"/>
        <v/>
      </c>
      <c r="P29" s="70" t="str">
        <f t="shared" si="8"/>
        <v/>
      </c>
      <c r="Q29" s="69"/>
      <c r="R29" s="62" t="str">
        <f t="shared" si="9"/>
        <v/>
      </c>
      <c r="S29" s="70" t="str">
        <f t="shared" si="10"/>
        <v/>
      </c>
      <c r="T29" s="69"/>
      <c r="U29" s="62" t="str">
        <f t="shared" si="11"/>
        <v/>
      </c>
      <c r="V29" s="70" t="str">
        <f t="shared" si="12"/>
        <v/>
      </c>
      <c r="W29" s="74" t="str">
        <f t="shared" si="29"/>
        <v/>
      </c>
      <c r="X29" s="62" t="str">
        <f t="shared" si="30"/>
        <v/>
      </c>
      <c r="Y29" s="70" t="str">
        <f t="shared" si="13"/>
        <v/>
      </c>
      <c r="Z29" s="69"/>
      <c r="AA29" s="62" t="str">
        <f t="shared" si="14"/>
        <v/>
      </c>
      <c r="AB29" s="70" t="str">
        <f t="shared" si="15"/>
        <v/>
      </c>
      <c r="AC29" s="69"/>
      <c r="AD29" s="62" t="str">
        <f t="shared" si="16"/>
        <v/>
      </c>
      <c r="AE29" s="70" t="str">
        <f t="shared" si="17"/>
        <v/>
      </c>
      <c r="AF29" s="69"/>
      <c r="AG29" s="62" t="str">
        <f t="shared" si="18"/>
        <v/>
      </c>
      <c r="AH29" s="70" t="str">
        <f t="shared" si="19"/>
        <v/>
      </c>
      <c r="AI29" s="74" t="str">
        <f t="shared" si="31"/>
        <v/>
      </c>
      <c r="AJ29" s="62" t="str">
        <f t="shared" si="20"/>
        <v/>
      </c>
      <c r="AK29" s="70" t="str">
        <f t="shared" si="21"/>
        <v/>
      </c>
      <c r="AL29" s="69"/>
      <c r="AM29" s="62" t="str">
        <f t="shared" si="22"/>
        <v/>
      </c>
      <c r="AN29" s="70" t="str">
        <f t="shared" si="23"/>
        <v/>
      </c>
    </row>
    <row r="30" spans="1:46" ht="18" customHeight="1" x14ac:dyDescent="0.2">
      <c r="A30" s="77" t="str">
        <f>IF($C$9="Data Not Entered On Set-Up Worksheet","",IF(OR(VLOOKUP($C$9,County_Lookup,13,FALSE)="",VLOOKUP($C$9,County_Lookup,13,FALSE)=0),"",VLOOKUP($C$9,County_Lookup,13,FALSE)))</f>
        <v/>
      </c>
      <c r="B30" s="69"/>
      <c r="C30" s="62" t="str">
        <f t="shared" si="3"/>
        <v/>
      </c>
      <c r="D30" s="70" t="str">
        <f t="shared" si="24"/>
        <v/>
      </c>
      <c r="E30" s="69"/>
      <c r="F30" s="62" t="str">
        <f t="shared" si="4"/>
        <v/>
      </c>
      <c r="G30" s="70" t="str">
        <f t="shared" si="25"/>
        <v/>
      </c>
      <c r="H30" s="69"/>
      <c r="I30" s="62" t="str">
        <f t="shared" si="5"/>
        <v/>
      </c>
      <c r="J30" s="70" t="str">
        <f t="shared" si="26"/>
        <v/>
      </c>
      <c r="K30" s="74" t="str">
        <f t="shared" si="27"/>
        <v/>
      </c>
      <c r="L30" s="62" t="str">
        <f t="shared" si="28"/>
        <v/>
      </c>
      <c r="M30" s="70" t="str">
        <f t="shared" si="6"/>
        <v/>
      </c>
      <c r="N30" s="69"/>
      <c r="O30" s="62" t="str">
        <f t="shared" si="7"/>
        <v/>
      </c>
      <c r="P30" s="70" t="str">
        <f t="shared" si="8"/>
        <v/>
      </c>
      <c r="Q30" s="69"/>
      <c r="R30" s="62" t="str">
        <f t="shared" si="9"/>
        <v/>
      </c>
      <c r="S30" s="70" t="str">
        <f t="shared" si="10"/>
        <v/>
      </c>
      <c r="T30" s="69"/>
      <c r="U30" s="62" t="str">
        <f t="shared" si="11"/>
        <v/>
      </c>
      <c r="V30" s="70" t="str">
        <f t="shared" si="12"/>
        <v/>
      </c>
      <c r="W30" s="74" t="str">
        <f t="shared" si="29"/>
        <v/>
      </c>
      <c r="X30" s="62" t="str">
        <f t="shared" si="30"/>
        <v/>
      </c>
      <c r="Y30" s="70" t="str">
        <f t="shared" si="13"/>
        <v/>
      </c>
      <c r="Z30" s="69"/>
      <c r="AA30" s="62" t="str">
        <f t="shared" si="14"/>
        <v/>
      </c>
      <c r="AB30" s="70" t="str">
        <f t="shared" si="15"/>
        <v/>
      </c>
      <c r="AC30" s="69"/>
      <c r="AD30" s="62" t="str">
        <f t="shared" si="16"/>
        <v/>
      </c>
      <c r="AE30" s="70" t="str">
        <f t="shared" si="17"/>
        <v/>
      </c>
      <c r="AF30" s="69"/>
      <c r="AG30" s="62" t="str">
        <f t="shared" si="18"/>
        <v/>
      </c>
      <c r="AH30" s="70" t="str">
        <f t="shared" si="19"/>
        <v/>
      </c>
      <c r="AI30" s="74" t="str">
        <f t="shared" si="31"/>
        <v/>
      </c>
      <c r="AJ30" s="62" t="str">
        <f t="shared" si="20"/>
        <v/>
      </c>
      <c r="AK30" s="70" t="str">
        <f t="shared" si="21"/>
        <v/>
      </c>
      <c r="AL30" s="69"/>
      <c r="AM30" s="62" t="str">
        <f t="shared" si="22"/>
        <v/>
      </c>
      <c r="AN30" s="70" t="str">
        <f t="shared" si="23"/>
        <v/>
      </c>
    </row>
    <row r="31" spans="1:46" ht="18" customHeight="1" x14ac:dyDescent="0.2">
      <c r="A31" s="77" t="str">
        <f>IF($C$9="Data Not Entered On Set-Up Worksheet","",IF(OR(VLOOKUP($C$9,County_Lookup,14,FALSE)="",VLOOKUP($C$9,County_Lookup,14,FALSE)=0),"",VLOOKUP($C$9,County_Lookup,14,FALSE)))</f>
        <v/>
      </c>
      <c r="B31" s="69"/>
      <c r="C31" s="62" t="str">
        <f t="shared" si="3"/>
        <v/>
      </c>
      <c r="D31" s="70" t="str">
        <f t="shared" si="24"/>
        <v/>
      </c>
      <c r="E31" s="69"/>
      <c r="F31" s="62" t="str">
        <f t="shared" si="4"/>
        <v/>
      </c>
      <c r="G31" s="70" t="str">
        <f t="shared" si="25"/>
        <v/>
      </c>
      <c r="H31" s="69"/>
      <c r="I31" s="62" t="str">
        <f t="shared" si="5"/>
        <v/>
      </c>
      <c r="J31" s="70" t="str">
        <f t="shared" si="26"/>
        <v/>
      </c>
      <c r="K31" s="74" t="str">
        <f t="shared" si="27"/>
        <v/>
      </c>
      <c r="L31" s="62" t="str">
        <f t="shared" si="28"/>
        <v/>
      </c>
      <c r="M31" s="70" t="str">
        <f t="shared" si="6"/>
        <v/>
      </c>
      <c r="N31" s="69"/>
      <c r="O31" s="62" t="str">
        <f t="shared" si="7"/>
        <v/>
      </c>
      <c r="P31" s="70" t="str">
        <f t="shared" si="8"/>
        <v/>
      </c>
      <c r="Q31" s="69"/>
      <c r="R31" s="62" t="str">
        <f t="shared" si="9"/>
        <v/>
      </c>
      <c r="S31" s="70" t="str">
        <f t="shared" si="10"/>
        <v/>
      </c>
      <c r="T31" s="69"/>
      <c r="U31" s="62" t="str">
        <f t="shared" si="11"/>
        <v/>
      </c>
      <c r="V31" s="70" t="str">
        <f t="shared" si="12"/>
        <v/>
      </c>
      <c r="W31" s="74" t="str">
        <f t="shared" si="29"/>
        <v/>
      </c>
      <c r="X31" s="62" t="str">
        <f t="shared" si="30"/>
        <v/>
      </c>
      <c r="Y31" s="70" t="str">
        <f t="shared" si="13"/>
        <v/>
      </c>
      <c r="Z31" s="69"/>
      <c r="AA31" s="62" t="str">
        <f t="shared" si="14"/>
        <v/>
      </c>
      <c r="AB31" s="70" t="str">
        <f t="shared" si="15"/>
        <v/>
      </c>
      <c r="AC31" s="69"/>
      <c r="AD31" s="62" t="str">
        <f t="shared" si="16"/>
        <v/>
      </c>
      <c r="AE31" s="70" t="str">
        <f t="shared" si="17"/>
        <v/>
      </c>
      <c r="AF31" s="69"/>
      <c r="AG31" s="62" t="str">
        <f t="shared" si="18"/>
        <v/>
      </c>
      <c r="AH31" s="70" t="str">
        <f t="shared" si="19"/>
        <v/>
      </c>
      <c r="AI31" s="74" t="str">
        <f t="shared" si="31"/>
        <v/>
      </c>
      <c r="AJ31" s="62" t="str">
        <f t="shared" si="20"/>
        <v/>
      </c>
      <c r="AK31" s="70" t="str">
        <f t="shared" si="21"/>
        <v/>
      </c>
      <c r="AL31" s="69"/>
      <c r="AM31" s="62" t="str">
        <f t="shared" si="22"/>
        <v/>
      </c>
      <c r="AN31" s="70" t="str">
        <f t="shared" si="23"/>
        <v/>
      </c>
    </row>
    <row r="32" spans="1:46" ht="18" customHeight="1" x14ac:dyDescent="0.2">
      <c r="A32" s="76" t="str">
        <f>IF($C$9="Data Not Entered On Set-Up Worksheet","",IF(OR(VLOOKUP($C$9,County_Lookup,15,FALSE)="",VLOOKUP($C$9,County_Lookup,15,FALSE)=0),"",VLOOKUP($C$9,County_Lookup,15,FALSE)))</f>
        <v/>
      </c>
      <c r="B32" s="69"/>
      <c r="C32" s="62" t="str">
        <f t="shared" si="3"/>
        <v/>
      </c>
      <c r="D32" s="70" t="str">
        <f t="shared" si="24"/>
        <v/>
      </c>
      <c r="E32" s="69"/>
      <c r="F32" s="62" t="str">
        <f t="shared" si="4"/>
        <v/>
      </c>
      <c r="G32" s="70" t="str">
        <f t="shared" si="25"/>
        <v/>
      </c>
      <c r="H32" s="69"/>
      <c r="I32" s="62" t="str">
        <f t="shared" si="5"/>
        <v/>
      </c>
      <c r="J32" s="70" t="str">
        <f t="shared" si="26"/>
        <v/>
      </c>
      <c r="K32" s="74" t="str">
        <f t="shared" si="27"/>
        <v/>
      </c>
      <c r="L32" s="62" t="str">
        <f t="shared" si="28"/>
        <v/>
      </c>
      <c r="M32" s="70" t="str">
        <f t="shared" si="6"/>
        <v/>
      </c>
      <c r="N32" s="69"/>
      <c r="O32" s="62" t="str">
        <f t="shared" si="7"/>
        <v/>
      </c>
      <c r="P32" s="70" t="str">
        <f t="shared" si="8"/>
        <v/>
      </c>
      <c r="Q32" s="69"/>
      <c r="R32" s="62" t="str">
        <f t="shared" si="9"/>
        <v/>
      </c>
      <c r="S32" s="70" t="str">
        <f t="shared" si="10"/>
        <v/>
      </c>
      <c r="T32" s="69"/>
      <c r="U32" s="62" t="str">
        <f t="shared" si="11"/>
        <v/>
      </c>
      <c r="V32" s="70" t="str">
        <f t="shared" si="12"/>
        <v/>
      </c>
      <c r="W32" s="74" t="str">
        <f t="shared" si="29"/>
        <v/>
      </c>
      <c r="X32" s="62" t="str">
        <f t="shared" si="30"/>
        <v/>
      </c>
      <c r="Y32" s="70" t="str">
        <f t="shared" si="13"/>
        <v/>
      </c>
      <c r="Z32" s="69"/>
      <c r="AA32" s="62" t="str">
        <f t="shared" si="14"/>
        <v/>
      </c>
      <c r="AB32" s="70" t="str">
        <f t="shared" si="15"/>
        <v/>
      </c>
      <c r="AC32" s="69"/>
      <c r="AD32" s="62" t="str">
        <f t="shared" si="16"/>
        <v/>
      </c>
      <c r="AE32" s="70" t="str">
        <f t="shared" si="17"/>
        <v/>
      </c>
      <c r="AF32" s="69"/>
      <c r="AG32" s="62" t="str">
        <f t="shared" si="18"/>
        <v/>
      </c>
      <c r="AH32" s="70" t="str">
        <f t="shared" si="19"/>
        <v/>
      </c>
      <c r="AI32" s="74" t="str">
        <f t="shared" si="31"/>
        <v/>
      </c>
      <c r="AJ32" s="62" t="str">
        <f t="shared" si="20"/>
        <v/>
      </c>
      <c r="AK32" s="70" t="str">
        <f t="shared" si="21"/>
        <v/>
      </c>
      <c r="AL32" s="69"/>
      <c r="AM32" s="62" t="str">
        <f t="shared" si="22"/>
        <v/>
      </c>
      <c r="AN32" s="70" t="str">
        <f t="shared" si="23"/>
        <v/>
      </c>
    </row>
    <row r="33" spans="1:40" ht="18" customHeight="1" x14ac:dyDescent="0.2">
      <c r="A33" s="77" t="str">
        <f>IF($C$9="Data Not Entered On Set-Up Worksheet","",IF(OR(VLOOKUP($C$9,County_Lookup,16,FALSE)="",VLOOKUP($C$9,County_Lookup,16,FALSE)=0),"",VLOOKUP($C$9,County_Lookup,16,FALSE)))</f>
        <v/>
      </c>
      <c r="B33" s="69"/>
      <c r="C33" s="62" t="str">
        <f t="shared" si="3"/>
        <v/>
      </c>
      <c r="D33" s="70" t="str">
        <f t="shared" si="24"/>
        <v/>
      </c>
      <c r="E33" s="69"/>
      <c r="F33" s="62" t="str">
        <f t="shared" si="4"/>
        <v/>
      </c>
      <c r="G33" s="70" t="str">
        <f t="shared" si="25"/>
        <v/>
      </c>
      <c r="H33" s="69"/>
      <c r="I33" s="62" t="str">
        <f t="shared" si="5"/>
        <v/>
      </c>
      <c r="J33" s="70" t="str">
        <f t="shared" si="26"/>
        <v/>
      </c>
      <c r="K33" s="74" t="str">
        <f t="shared" si="27"/>
        <v/>
      </c>
      <c r="L33" s="62" t="str">
        <f t="shared" si="28"/>
        <v/>
      </c>
      <c r="M33" s="70" t="str">
        <f t="shared" si="6"/>
        <v/>
      </c>
      <c r="N33" s="69"/>
      <c r="O33" s="62" t="str">
        <f t="shared" si="7"/>
        <v/>
      </c>
      <c r="P33" s="70" t="str">
        <f t="shared" si="8"/>
        <v/>
      </c>
      <c r="Q33" s="69"/>
      <c r="R33" s="62" t="str">
        <f t="shared" si="9"/>
        <v/>
      </c>
      <c r="S33" s="70" t="str">
        <f t="shared" si="10"/>
        <v/>
      </c>
      <c r="T33" s="69"/>
      <c r="U33" s="62" t="str">
        <f t="shared" si="11"/>
        <v/>
      </c>
      <c r="V33" s="70" t="str">
        <f t="shared" si="12"/>
        <v/>
      </c>
      <c r="W33" s="74" t="str">
        <f t="shared" si="29"/>
        <v/>
      </c>
      <c r="X33" s="62" t="str">
        <f t="shared" si="30"/>
        <v/>
      </c>
      <c r="Y33" s="70" t="str">
        <f t="shared" si="13"/>
        <v/>
      </c>
      <c r="Z33" s="69"/>
      <c r="AA33" s="62" t="str">
        <f t="shared" si="14"/>
        <v/>
      </c>
      <c r="AB33" s="70" t="str">
        <f t="shared" si="15"/>
        <v/>
      </c>
      <c r="AC33" s="69"/>
      <c r="AD33" s="62" t="str">
        <f t="shared" si="16"/>
        <v/>
      </c>
      <c r="AE33" s="70" t="str">
        <f t="shared" si="17"/>
        <v/>
      </c>
      <c r="AF33" s="69"/>
      <c r="AG33" s="62" t="str">
        <f t="shared" si="18"/>
        <v/>
      </c>
      <c r="AH33" s="70" t="str">
        <f t="shared" si="19"/>
        <v/>
      </c>
      <c r="AI33" s="74" t="str">
        <f t="shared" si="31"/>
        <v/>
      </c>
      <c r="AJ33" s="62" t="str">
        <f t="shared" si="20"/>
        <v/>
      </c>
      <c r="AK33" s="70" t="str">
        <f t="shared" si="21"/>
        <v/>
      </c>
      <c r="AL33" s="69"/>
      <c r="AM33" s="62" t="str">
        <f t="shared" si="22"/>
        <v/>
      </c>
      <c r="AN33" s="70" t="str">
        <f t="shared" si="23"/>
        <v/>
      </c>
    </row>
    <row r="34" spans="1:40" ht="18" customHeight="1" x14ac:dyDescent="0.2">
      <c r="A34" s="77" t="str">
        <f>IF($C$9="Data Not Entered On Set-Up Worksheet","",IF(OR(VLOOKUP($C$9,County_Lookup,17,FALSE)="",VLOOKUP($C$9,County_Lookup,17,FALSE)=0),"",VLOOKUP($C$9,County_Lookup,17,FALSE)))</f>
        <v/>
      </c>
      <c r="B34" s="69"/>
      <c r="C34" s="62" t="str">
        <f t="shared" si="3"/>
        <v/>
      </c>
      <c r="D34" s="70" t="str">
        <f t="shared" si="24"/>
        <v/>
      </c>
      <c r="E34" s="69"/>
      <c r="F34" s="62" t="str">
        <f t="shared" si="4"/>
        <v/>
      </c>
      <c r="G34" s="70" t="str">
        <f t="shared" si="25"/>
        <v/>
      </c>
      <c r="H34" s="69"/>
      <c r="I34" s="62" t="str">
        <f t="shared" si="5"/>
        <v/>
      </c>
      <c r="J34" s="70" t="str">
        <f t="shared" si="26"/>
        <v/>
      </c>
      <c r="K34" s="74" t="str">
        <f t="shared" si="27"/>
        <v/>
      </c>
      <c r="L34" s="62" t="str">
        <f t="shared" si="28"/>
        <v/>
      </c>
      <c r="M34" s="70" t="str">
        <f t="shared" si="6"/>
        <v/>
      </c>
      <c r="N34" s="69"/>
      <c r="O34" s="62" t="str">
        <f t="shared" si="7"/>
        <v/>
      </c>
      <c r="P34" s="70" t="str">
        <f t="shared" si="8"/>
        <v/>
      </c>
      <c r="Q34" s="69"/>
      <c r="R34" s="62" t="str">
        <f t="shared" si="9"/>
        <v/>
      </c>
      <c r="S34" s="70" t="str">
        <f t="shared" si="10"/>
        <v/>
      </c>
      <c r="T34" s="69"/>
      <c r="U34" s="62" t="str">
        <f t="shared" si="11"/>
        <v/>
      </c>
      <c r="V34" s="70" t="str">
        <f t="shared" si="12"/>
        <v/>
      </c>
      <c r="W34" s="74" t="str">
        <f t="shared" si="29"/>
        <v/>
      </c>
      <c r="X34" s="62" t="str">
        <f t="shared" si="30"/>
        <v/>
      </c>
      <c r="Y34" s="70" t="str">
        <f t="shared" si="13"/>
        <v/>
      </c>
      <c r="Z34" s="69"/>
      <c r="AA34" s="62" t="str">
        <f t="shared" si="14"/>
        <v/>
      </c>
      <c r="AB34" s="70" t="str">
        <f t="shared" si="15"/>
        <v/>
      </c>
      <c r="AC34" s="69"/>
      <c r="AD34" s="62" t="str">
        <f t="shared" si="16"/>
        <v/>
      </c>
      <c r="AE34" s="70" t="str">
        <f t="shared" si="17"/>
        <v/>
      </c>
      <c r="AF34" s="69"/>
      <c r="AG34" s="62" t="str">
        <f t="shared" si="18"/>
        <v/>
      </c>
      <c r="AH34" s="70" t="str">
        <f t="shared" si="19"/>
        <v/>
      </c>
      <c r="AI34" s="74" t="str">
        <f t="shared" si="31"/>
        <v/>
      </c>
      <c r="AJ34" s="62" t="str">
        <f t="shared" si="20"/>
        <v/>
      </c>
      <c r="AK34" s="70" t="str">
        <f t="shared" si="21"/>
        <v/>
      </c>
      <c r="AL34" s="69"/>
      <c r="AM34" s="62" t="str">
        <f t="shared" si="22"/>
        <v/>
      </c>
      <c r="AN34" s="70" t="str">
        <f t="shared" si="23"/>
        <v/>
      </c>
    </row>
    <row r="35" spans="1:40" ht="18" customHeight="1" x14ac:dyDescent="0.2">
      <c r="A35" s="77" t="str">
        <f>IF($C$9="Data Not Entered On Set-Up Worksheet","",IF(OR(VLOOKUP($C$9,County_Lookup,18,FALSE)="",VLOOKUP($C$9,County_Lookup,18,FALSE)=0),"",VLOOKUP($C$9,County_Lookup,18,FALSE)))</f>
        <v/>
      </c>
      <c r="B35" s="69"/>
      <c r="C35" s="62" t="str">
        <f t="shared" si="3"/>
        <v/>
      </c>
      <c r="D35" s="70" t="str">
        <f t="shared" si="24"/>
        <v/>
      </c>
      <c r="E35" s="69"/>
      <c r="F35" s="62" t="str">
        <f t="shared" si="4"/>
        <v/>
      </c>
      <c r="G35" s="70" t="str">
        <f t="shared" si="25"/>
        <v/>
      </c>
      <c r="H35" s="69"/>
      <c r="I35" s="62" t="str">
        <f t="shared" si="5"/>
        <v/>
      </c>
      <c r="J35" s="70" t="str">
        <f t="shared" si="26"/>
        <v/>
      </c>
      <c r="K35" s="74" t="str">
        <f t="shared" si="27"/>
        <v/>
      </c>
      <c r="L35" s="62" t="str">
        <f t="shared" si="28"/>
        <v/>
      </c>
      <c r="M35" s="70" t="str">
        <f t="shared" si="6"/>
        <v/>
      </c>
      <c r="N35" s="69"/>
      <c r="O35" s="62" t="str">
        <f t="shared" si="7"/>
        <v/>
      </c>
      <c r="P35" s="70" t="str">
        <f t="shared" si="8"/>
        <v/>
      </c>
      <c r="Q35" s="69"/>
      <c r="R35" s="62" t="str">
        <f t="shared" si="9"/>
        <v/>
      </c>
      <c r="S35" s="70" t="str">
        <f t="shared" si="10"/>
        <v/>
      </c>
      <c r="T35" s="69"/>
      <c r="U35" s="62" t="str">
        <f t="shared" si="11"/>
        <v/>
      </c>
      <c r="V35" s="70" t="str">
        <f t="shared" si="12"/>
        <v/>
      </c>
      <c r="W35" s="74" t="str">
        <f t="shared" si="29"/>
        <v/>
      </c>
      <c r="X35" s="62" t="str">
        <f t="shared" si="30"/>
        <v/>
      </c>
      <c r="Y35" s="70" t="str">
        <f t="shared" si="13"/>
        <v/>
      </c>
      <c r="Z35" s="69"/>
      <c r="AA35" s="62" t="str">
        <f t="shared" si="14"/>
        <v/>
      </c>
      <c r="AB35" s="70" t="str">
        <f t="shared" si="15"/>
        <v/>
      </c>
      <c r="AC35" s="69"/>
      <c r="AD35" s="62" t="str">
        <f t="shared" si="16"/>
        <v/>
      </c>
      <c r="AE35" s="70" t="str">
        <f t="shared" si="17"/>
        <v/>
      </c>
      <c r="AF35" s="69"/>
      <c r="AG35" s="62" t="str">
        <f t="shared" si="18"/>
        <v/>
      </c>
      <c r="AH35" s="70" t="str">
        <f t="shared" si="19"/>
        <v/>
      </c>
      <c r="AI35" s="74" t="str">
        <f t="shared" si="31"/>
        <v/>
      </c>
      <c r="AJ35" s="62" t="str">
        <f t="shared" si="20"/>
        <v/>
      </c>
      <c r="AK35" s="70" t="str">
        <f t="shared" si="21"/>
        <v/>
      </c>
      <c r="AL35" s="69"/>
      <c r="AM35" s="62" t="str">
        <f t="shared" si="22"/>
        <v/>
      </c>
      <c r="AN35" s="70" t="str">
        <f t="shared" si="23"/>
        <v/>
      </c>
    </row>
    <row r="36" spans="1:40" ht="18" customHeight="1" x14ac:dyDescent="0.2">
      <c r="A36" s="77" t="str">
        <f>IF($C$9="Data Not Entered On Set-Up Worksheet","",IF(OR(VLOOKUP($C$9,County_Lookup,19,FALSE)="",VLOOKUP($C$9,County_Lookup,19,FALSE)=0),"",VLOOKUP($C$9,County_Lookup,19,FALSE)))</f>
        <v/>
      </c>
      <c r="B36" s="69"/>
      <c r="C36" s="62" t="str">
        <f t="shared" si="3"/>
        <v/>
      </c>
      <c r="D36" s="70" t="str">
        <f t="shared" si="24"/>
        <v/>
      </c>
      <c r="E36" s="69"/>
      <c r="F36" s="62" t="str">
        <f t="shared" si="4"/>
        <v/>
      </c>
      <c r="G36" s="70" t="str">
        <f t="shared" si="25"/>
        <v/>
      </c>
      <c r="H36" s="69"/>
      <c r="I36" s="62" t="str">
        <f t="shared" si="5"/>
        <v/>
      </c>
      <c r="J36" s="70" t="str">
        <f t="shared" si="26"/>
        <v/>
      </c>
      <c r="K36" s="74" t="str">
        <f t="shared" si="27"/>
        <v/>
      </c>
      <c r="L36" s="62" t="str">
        <f t="shared" si="28"/>
        <v/>
      </c>
      <c r="M36" s="70" t="str">
        <f t="shared" si="6"/>
        <v/>
      </c>
      <c r="N36" s="69"/>
      <c r="O36" s="62" t="str">
        <f t="shared" si="7"/>
        <v/>
      </c>
      <c r="P36" s="70" t="str">
        <f t="shared" si="8"/>
        <v/>
      </c>
      <c r="Q36" s="69"/>
      <c r="R36" s="62" t="str">
        <f t="shared" si="9"/>
        <v/>
      </c>
      <c r="S36" s="70" t="str">
        <f t="shared" si="10"/>
        <v/>
      </c>
      <c r="T36" s="69"/>
      <c r="U36" s="62" t="str">
        <f t="shared" si="11"/>
        <v/>
      </c>
      <c r="V36" s="70" t="str">
        <f t="shared" si="12"/>
        <v/>
      </c>
      <c r="W36" s="74" t="str">
        <f t="shared" si="29"/>
        <v/>
      </c>
      <c r="X36" s="62" t="str">
        <f t="shared" si="30"/>
        <v/>
      </c>
      <c r="Y36" s="70" t="str">
        <f t="shared" si="13"/>
        <v/>
      </c>
      <c r="Z36" s="69"/>
      <c r="AA36" s="62" t="str">
        <f t="shared" si="14"/>
        <v/>
      </c>
      <c r="AB36" s="70" t="str">
        <f t="shared" si="15"/>
        <v/>
      </c>
      <c r="AC36" s="69"/>
      <c r="AD36" s="62" t="str">
        <f t="shared" si="16"/>
        <v/>
      </c>
      <c r="AE36" s="70" t="str">
        <f t="shared" si="17"/>
        <v/>
      </c>
      <c r="AF36" s="69"/>
      <c r="AG36" s="62" t="str">
        <f t="shared" si="18"/>
        <v/>
      </c>
      <c r="AH36" s="70" t="str">
        <f t="shared" si="19"/>
        <v/>
      </c>
      <c r="AI36" s="74" t="str">
        <f t="shared" si="31"/>
        <v/>
      </c>
      <c r="AJ36" s="62" t="str">
        <f t="shared" si="20"/>
        <v/>
      </c>
      <c r="AK36" s="70" t="str">
        <f t="shared" si="21"/>
        <v/>
      </c>
      <c r="AL36" s="69"/>
      <c r="AM36" s="62" t="str">
        <f t="shared" si="22"/>
        <v/>
      </c>
      <c r="AN36" s="70" t="str">
        <f t="shared" si="23"/>
        <v/>
      </c>
    </row>
    <row r="37" spans="1:40" ht="18" customHeight="1" x14ac:dyDescent="0.2">
      <c r="A37" s="77" t="str">
        <f>IF($C$9="Data Not Entered On Set-Up Worksheet","",IF(OR(VLOOKUP($C$9,County_Lookup,20,FALSE)="",VLOOKUP($C$9,County_Lookup,20,FALSE)=0),"",VLOOKUP($C$9,County_Lookup,20,FALSE)))</f>
        <v/>
      </c>
      <c r="B37" s="69"/>
      <c r="C37" s="62" t="str">
        <f t="shared" si="3"/>
        <v/>
      </c>
      <c r="D37" s="70" t="str">
        <f t="shared" si="24"/>
        <v/>
      </c>
      <c r="E37" s="69"/>
      <c r="F37" s="62" t="str">
        <f t="shared" si="4"/>
        <v/>
      </c>
      <c r="G37" s="70" t="str">
        <f t="shared" si="25"/>
        <v/>
      </c>
      <c r="H37" s="69"/>
      <c r="I37" s="62" t="str">
        <f t="shared" si="5"/>
        <v/>
      </c>
      <c r="J37" s="70" t="str">
        <f t="shared" si="26"/>
        <v/>
      </c>
      <c r="K37" s="74" t="str">
        <f t="shared" si="27"/>
        <v/>
      </c>
      <c r="L37" s="62" t="str">
        <f t="shared" si="28"/>
        <v/>
      </c>
      <c r="M37" s="70" t="str">
        <f t="shared" si="6"/>
        <v/>
      </c>
      <c r="N37" s="69"/>
      <c r="O37" s="62" t="str">
        <f t="shared" si="7"/>
        <v/>
      </c>
      <c r="P37" s="70" t="str">
        <f t="shared" si="8"/>
        <v/>
      </c>
      <c r="Q37" s="69"/>
      <c r="R37" s="62" t="str">
        <f t="shared" si="9"/>
        <v/>
      </c>
      <c r="S37" s="70" t="str">
        <f t="shared" si="10"/>
        <v/>
      </c>
      <c r="T37" s="69"/>
      <c r="U37" s="62" t="str">
        <f t="shared" si="11"/>
        <v/>
      </c>
      <c r="V37" s="70" t="str">
        <f t="shared" si="12"/>
        <v/>
      </c>
      <c r="W37" s="74" t="str">
        <f t="shared" si="29"/>
        <v/>
      </c>
      <c r="X37" s="62" t="str">
        <f t="shared" si="30"/>
        <v/>
      </c>
      <c r="Y37" s="70" t="str">
        <f t="shared" si="13"/>
        <v/>
      </c>
      <c r="Z37" s="69"/>
      <c r="AA37" s="62" t="str">
        <f t="shared" si="14"/>
        <v/>
      </c>
      <c r="AB37" s="70" t="str">
        <f t="shared" si="15"/>
        <v/>
      </c>
      <c r="AC37" s="69"/>
      <c r="AD37" s="62" t="str">
        <f t="shared" si="16"/>
        <v/>
      </c>
      <c r="AE37" s="70" t="str">
        <f t="shared" si="17"/>
        <v/>
      </c>
      <c r="AF37" s="69"/>
      <c r="AG37" s="62" t="str">
        <f t="shared" si="18"/>
        <v/>
      </c>
      <c r="AH37" s="70" t="str">
        <f t="shared" si="19"/>
        <v/>
      </c>
      <c r="AI37" s="74" t="str">
        <f t="shared" si="31"/>
        <v/>
      </c>
      <c r="AJ37" s="62" t="str">
        <f t="shared" si="20"/>
        <v/>
      </c>
      <c r="AK37" s="70" t="str">
        <f t="shared" si="21"/>
        <v/>
      </c>
      <c r="AL37" s="69"/>
      <c r="AM37" s="62" t="str">
        <f t="shared" si="22"/>
        <v/>
      </c>
      <c r="AN37" s="70" t="str">
        <f t="shared" si="23"/>
        <v/>
      </c>
    </row>
    <row r="38" spans="1:40" ht="18" customHeight="1" x14ac:dyDescent="0.2">
      <c r="A38" s="77" t="str">
        <f>IF($C$9="Data Not Entered On Set-Up Worksheet","",IF(OR(VLOOKUP($C$9,County_Lookup,21,FALSE)="",VLOOKUP($C$9,County_Lookup,21,FALSE)=0),"",VLOOKUP($C$9,County_Lookup,21,FALSE)))</f>
        <v/>
      </c>
      <c r="B38" s="69"/>
      <c r="C38" s="62" t="str">
        <f t="shared" si="3"/>
        <v/>
      </c>
      <c r="D38" s="70" t="str">
        <f t="shared" si="24"/>
        <v/>
      </c>
      <c r="E38" s="69"/>
      <c r="F38" s="62" t="str">
        <f t="shared" si="4"/>
        <v/>
      </c>
      <c r="G38" s="70" t="str">
        <f t="shared" si="25"/>
        <v/>
      </c>
      <c r="H38" s="69"/>
      <c r="I38" s="62" t="str">
        <f t="shared" si="5"/>
        <v/>
      </c>
      <c r="J38" s="70" t="str">
        <f t="shared" si="26"/>
        <v/>
      </c>
      <c r="K38" s="74" t="str">
        <f t="shared" si="27"/>
        <v/>
      </c>
      <c r="L38" s="62" t="str">
        <f t="shared" si="28"/>
        <v/>
      </c>
      <c r="M38" s="70" t="str">
        <f t="shared" si="6"/>
        <v/>
      </c>
      <c r="N38" s="69"/>
      <c r="O38" s="62" t="str">
        <f t="shared" si="7"/>
        <v/>
      </c>
      <c r="P38" s="70" t="str">
        <f t="shared" si="8"/>
        <v/>
      </c>
      <c r="Q38" s="69"/>
      <c r="R38" s="62" t="str">
        <f t="shared" si="9"/>
        <v/>
      </c>
      <c r="S38" s="70" t="str">
        <f t="shared" si="10"/>
        <v/>
      </c>
      <c r="T38" s="69"/>
      <c r="U38" s="62" t="str">
        <f t="shared" si="11"/>
        <v/>
      </c>
      <c r="V38" s="70" t="str">
        <f t="shared" si="12"/>
        <v/>
      </c>
      <c r="W38" s="74" t="str">
        <f t="shared" si="29"/>
        <v/>
      </c>
      <c r="X38" s="62" t="str">
        <f t="shared" si="30"/>
        <v/>
      </c>
      <c r="Y38" s="70" t="str">
        <f t="shared" si="13"/>
        <v/>
      </c>
      <c r="Z38" s="69"/>
      <c r="AA38" s="62" t="str">
        <f t="shared" si="14"/>
        <v/>
      </c>
      <c r="AB38" s="70" t="str">
        <f t="shared" si="15"/>
        <v/>
      </c>
      <c r="AC38" s="69"/>
      <c r="AD38" s="62" t="str">
        <f t="shared" si="16"/>
        <v/>
      </c>
      <c r="AE38" s="70" t="str">
        <f t="shared" si="17"/>
        <v/>
      </c>
      <c r="AF38" s="69"/>
      <c r="AG38" s="62" t="str">
        <f t="shared" si="18"/>
        <v/>
      </c>
      <c r="AH38" s="70" t="str">
        <f t="shared" si="19"/>
        <v/>
      </c>
      <c r="AI38" s="74" t="str">
        <f t="shared" si="31"/>
        <v/>
      </c>
      <c r="AJ38" s="62" t="str">
        <f t="shared" si="20"/>
        <v/>
      </c>
      <c r="AK38" s="70" t="str">
        <f t="shared" si="21"/>
        <v/>
      </c>
      <c r="AL38" s="69"/>
      <c r="AM38" s="62" t="str">
        <f t="shared" si="22"/>
        <v/>
      </c>
      <c r="AN38" s="70" t="str">
        <f t="shared" si="23"/>
        <v/>
      </c>
    </row>
    <row r="39" spans="1:40" ht="18" customHeight="1" x14ac:dyDescent="0.2">
      <c r="A39" s="76" t="str">
        <f>IF($C$9="Data Not Entered On Set-Up Worksheet","",IF(OR(VLOOKUP($C$9,County_Lookup,22,FALSE)="",VLOOKUP($C$9,County_Lookup,22,FALSE)=0),"",VLOOKUP($C$9,County_Lookup,22,FALSE)))</f>
        <v/>
      </c>
      <c r="B39" s="69"/>
      <c r="C39" s="62" t="str">
        <f t="shared" si="3"/>
        <v/>
      </c>
      <c r="D39" s="70" t="str">
        <f t="shared" si="24"/>
        <v/>
      </c>
      <c r="E39" s="69"/>
      <c r="F39" s="62" t="str">
        <f t="shared" si="4"/>
        <v/>
      </c>
      <c r="G39" s="70" t="str">
        <f t="shared" si="25"/>
        <v/>
      </c>
      <c r="H39" s="69"/>
      <c r="I39" s="62" t="str">
        <f t="shared" si="5"/>
        <v/>
      </c>
      <c r="J39" s="70" t="str">
        <f t="shared" si="26"/>
        <v/>
      </c>
      <c r="K39" s="74" t="str">
        <f t="shared" si="27"/>
        <v/>
      </c>
      <c r="L39" s="62" t="str">
        <f t="shared" si="28"/>
        <v/>
      </c>
      <c r="M39" s="70" t="str">
        <f t="shared" si="6"/>
        <v/>
      </c>
      <c r="N39" s="69"/>
      <c r="O39" s="62" t="str">
        <f t="shared" si="7"/>
        <v/>
      </c>
      <c r="P39" s="70" t="str">
        <f t="shared" si="8"/>
        <v/>
      </c>
      <c r="Q39" s="69"/>
      <c r="R39" s="62" t="str">
        <f t="shared" si="9"/>
        <v/>
      </c>
      <c r="S39" s="70" t="str">
        <f t="shared" si="10"/>
        <v/>
      </c>
      <c r="T39" s="69"/>
      <c r="U39" s="62" t="str">
        <f t="shared" si="11"/>
        <v/>
      </c>
      <c r="V39" s="70" t="str">
        <f t="shared" si="12"/>
        <v/>
      </c>
      <c r="W39" s="74" t="str">
        <f t="shared" si="29"/>
        <v/>
      </c>
      <c r="X39" s="62" t="str">
        <f t="shared" si="30"/>
        <v/>
      </c>
      <c r="Y39" s="70" t="str">
        <f t="shared" si="13"/>
        <v/>
      </c>
      <c r="Z39" s="69"/>
      <c r="AA39" s="62" t="str">
        <f t="shared" si="14"/>
        <v/>
      </c>
      <c r="AB39" s="70" t="str">
        <f t="shared" si="15"/>
        <v/>
      </c>
      <c r="AC39" s="69"/>
      <c r="AD39" s="62" t="str">
        <f t="shared" si="16"/>
        <v/>
      </c>
      <c r="AE39" s="70" t="str">
        <f t="shared" si="17"/>
        <v/>
      </c>
      <c r="AF39" s="69"/>
      <c r="AG39" s="62" t="str">
        <f t="shared" si="18"/>
        <v/>
      </c>
      <c r="AH39" s="70" t="str">
        <f t="shared" si="19"/>
        <v/>
      </c>
      <c r="AI39" s="74" t="str">
        <f t="shared" si="31"/>
        <v/>
      </c>
      <c r="AJ39" s="62" t="str">
        <f t="shared" si="20"/>
        <v/>
      </c>
      <c r="AK39" s="70" t="str">
        <f t="shared" si="21"/>
        <v/>
      </c>
      <c r="AL39" s="69"/>
      <c r="AM39" s="62" t="str">
        <f t="shared" si="22"/>
        <v/>
      </c>
      <c r="AN39" s="70" t="str">
        <f t="shared" si="23"/>
        <v/>
      </c>
    </row>
    <row r="40" spans="1:40" ht="18" customHeight="1" x14ac:dyDescent="0.2">
      <c r="A40" s="77" t="str">
        <f>IF($C$9="Data Not Entered On Set-Up Worksheet","",IF(OR(VLOOKUP($C$9,County_Lookup,23,FALSE)="",VLOOKUP($C$9,County_Lookup,23,FALSE)=0),"",VLOOKUP($C$9,County_Lookup,23,FALSE)))</f>
        <v/>
      </c>
      <c r="B40" s="69"/>
      <c r="C40" s="62" t="str">
        <f t="shared" si="3"/>
        <v/>
      </c>
      <c r="D40" s="70" t="str">
        <f t="shared" si="24"/>
        <v/>
      </c>
      <c r="E40" s="69"/>
      <c r="F40" s="62" t="str">
        <f t="shared" si="4"/>
        <v/>
      </c>
      <c r="G40" s="70" t="str">
        <f t="shared" si="25"/>
        <v/>
      </c>
      <c r="H40" s="69"/>
      <c r="I40" s="62" t="str">
        <f t="shared" si="5"/>
        <v/>
      </c>
      <c r="J40" s="70" t="str">
        <f t="shared" si="26"/>
        <v/>
      </c>
      <c r="K40" s="74" t="str">
        <f t="shared" si="27"/>
        <v/>
      </c>
      <c r="L40" s="62" t="str">
        <f t="shared" si="28"/>
        <v/>
      </c>
      <c r="M40" s="70" t="str">
        <f t="shared" si="6"/>
        <v/>
      </c>
      <c r="N40" s="69"/>
      <c r="O40" s="62" t="str">
        <f t="shared" si="7"/>
        <v/>
      </c>
      <c r="P40" s="70" t="str">
        <f t="shared" si="8"/>
        <v/>
      </c>
      <c r="Q40" s="69"/>
      <c r="R40" s="62" t="str">
        <f t="shared" si="9"/>
        <v/>
      </c>
      <c r="S40" s="70" t="str">
        <f t="shared" si="10"/>
        <v/>
      </c>
      <c r="T40" s="69"/>
      <c r="U40" s="62" t="str">
        <f t="shared" si="11"/>
        <v/>
      </c>
      <c r="V40" s="70" t="str">
        <f t="shared" si="12"/>
        <v/>
      </c>
      <c r="W40" s="74" t="str">
        <f t="shared" si="29"/>
        <v/>
      </c>
      <c r="X40" s="62" t="str">
        <f t="shared" si="30"/>
        <v/>
      </c>
      <c r="Y40" s="70" t="str">
        <f t="shared" si="13"/>
        <v/>
      </c>
      <c r="Z40" s="69"/>
      <c r="AA40" s="62" t="str">
        <f t="shared" si="14"/>
        <v/>
      </c>
      <c r="AB40" s="70" t="str">
        <f t="shared" si="15"/>
        <v/>
      </c>
      <c r="AC40" s="69"/>
      <c r="AD40" s="62" t="str">
        <f t="shared" si="16"/>
        <v/>
      </c>
      <c r="AE40" s="70" t="str">
        <f t="shared" si="17"/>
        <v/>
      </c>
      <c r="AF40" s="69"/>
      <c r="AG40" s="62" t="str">
        <f t="shared" si="18"/>
        <v/>
      </c>
      <c r="AH40" s="70" t="str">
        <f t="shared" si="19"/>
        <v/>
      </c>
      <c r="AI40" s="74" t="str">
        <f t="shared" si="31"/>
        <v/>
      </c>
      <c r="AJ40" s="62" t="str">
        <f t="shared" si="20"/>
        <v/>
      </c>
      <c r="AK40" s="70" t="str">
        <f t="shared" si="21"/>
        <v/>
      </c>
      <c r="AL40" s="69"/>
      <c r="AM40" s="62" t="str">
        <f t="shared" si="22"/>
        <v/>
      </c>
      <c r="AN40" s="70" t="str">
        <f t="shared" si="23"/>
        <v/>
      </c>
    </row>
    <row r="41" spans="1:40" ht="18" customHeight="1" x14ac:dyDescent="0.2">
      <c r="A41" s="77" t="str">
        <f>IF($C$9="Data Not Entered On Set-Up Worksheet","",IF(OR(VLOOKUP($C$9,County_Lookup,24,FALSE)="",VLOOKUP($C$9,County_Lookup,24,FALSE)=0),"",VLOOKUP($C$9,County_Lookup,24,FALSE)))</f>
        <v/>
      </c>
      <c r="B41" s="69"/>
      <c r="C41" s="62" t="str">
        <f t="shared" si="3"/>
        <v/>
      </c>
      <c r="D41" s="70" t="str">
        <f t="shared" si="24"/>
        <v/>
      </c>
      <c r="E41" s="69"/>
      <c r="F41" s="62" t="str">
        <f t="shared" si="4"/>
        <v/>
      </c>
      <c r="G41" s="70" t="str">
        <f t="shared" si="25"/>
        <v/>
      </c>
      <c r="H41" s="69"/>
      <c r="I41" s="62" t="str">
        <f t="shared" si="5"/>
        <v/>
      </c>
      <c r="J41" s="70" t="str">
        <f t="shared" si="26"/>
        <v/>
      </c>
      <c r="K41" s="74" t="str">
        <f t="shared" ref="K41:K43" si="32">IF($A41="","",SUM(E41,H41))</f>
        <v/>
      </c>
      <c r="L41" s="62" t="str">
        <f t="shared" si="28"/>
        <v/>
      </c>
      <c r="M41" s="70" t="str">
        <f t="shared" si="6"/>
        <v/>
      </c>
      <c r="N41" s="69"/>
      <c r="O41" s="62" t="str">
        <f t="shared" si="7"/>
        <v/>
      </c>
      <c r="P41" s="70" t="str">
        <f t="shared" si="8"/>
        <v/>
      </c>
      <c r="Q41" s="69"/>
      <c r="R41" s="62" t="str">
        <f t="shared" si="9"/>
        <v/>
      </c>
      <c r="S41" s="70" t="str">
        <f t="shared" si="10"/>
        <v/>
      </c>
      <c r="T41" s="69"/>
      <c r="U41" s="62" t="str">
        <f t="shared" si="11"/>
        <v/>
      </c>
      <c r="V41" s="70" t="str">
        <f t="shared" si="12"/>
        <v/>
      </c>
      <c r="W41" s="74" t="str">
        <f t="shared" ref="W41:W43" si="33">IF($A41="","",SUM(Q41,T41))</f>
        <v/>
      </c>
      <c r="X41" s="62" t="str">
        <f t="shared" si="30"/>
        <v/>
      </c>
      <c r="Y41" s="70" t="str">
        <f t="shared" si="13"/>
        <v/>
      </c>
      <c r="Z41" s="69"/>
      <c r="AA41" s="62" t="str">
        <f t="shared" si="14"/>
        <v/>
      </c>
      <c r="AB41" s="70" t="str">
        <f t="shared" si="15"/>
        <v/>
      </c>
      <c r="AC41" s="69"/>
      <c r="AD41" s="62" t="str">
        <f t="shared" si="16"/>
        <v/>
      </c>
      <c r="AE41" s="70" t="str">
        <f t="shared" si="17"/>
        <v/>
      </c>
      <c r="AF41" s="69"/>
      <c r="AG41" s="62" t="str">
        <f t="shared" si="18"/>
        <v/>
      </c>
      <c r="AH41" s="70" t="str">
        <f t="shared" si="19"/>
        <v/>
      </c>
      <c r="AI41" s="74" t="str">
        <f t="shared" ref="AI41:AI43" si="34">IF($A41="","",SUM(AC41,AF41))</f>
        <v/>
      </c>
      <c r="AJ41" s="62" t="str">
        <f t="shared" si="20"/>
        <v/>
      </c>
      <c r="AK41" s="70" t="str">
        <f t="shared" si="21"/>
        <v/>
      </c>
      <c r="AL41" s="69"/>
      <c r="AM41" s="62" t="str">
        <f t="shared" si="22"/>
        <v/>
      </c>
      <c r="AN41" s="70" t="str">
        <f t="shared" si="23"/>
        <v/>
      </c>
    </row>
    <row r="42" spans="1:40" ht="18" customHeight="1" x14ac:dyDescent="0.2">
      <c r="A42" s="77" t="str">
        <f>IF($C$9="Data Not Entered On Set-Up Worksheet","",IF(OR(VLOOKUP($C$9,County_Lookup,25,FALSE)="",VLOOKUP($C$9,County_Lookup,25,FALSE)=0),"",VLOOKUP($C$9,County_Lookup,25,FALSE)))</f>
        <v/>
      </c>
      <c r="B42" s="69"/>
      <c r="C42" s="62" t="str">
        <f t="shared" si="3"/>
        <v/>
      </c>
      <c r="D42" s="70" t="str">
        <f t="shared" ref="D42:D43" si="35">IF(OR($A42="",$A42="Other"),"",IF(C42=0,0,B42/C42))</f>
        <v/>
      </c>
      <c r="E42" s="69"/>
      <c r="F42" s="62" t="str">
        <f t="shared" si="4"/>
        <v/>
      </c>
      <c r="G42" s="70" t="str">
        <f t="shared" ref="G42:G43" si="36">IF(OR($A42="",$A42="Other"),"",IF(F42=0,0,E42/F42))</f>
        <v/>
      </c>
      <c r="H42" s="69"/>
      <c r="I42" s="62" t="str">
        <f t="shared" si="5"/>
        <v/>
      </c>
      <c r="J42" s="70" t="str">
        <f t="shared" ref="J42:J43" si="37">IF(OR($A42="",$A42="Other"),"",IF(I42=0,0,H42/I42))</f>
        <v/>
      </c>
      <c r="K42" s="74" t="str">
        <f t="shared" si="32"/>
        <v/>
      </c>
      <c r="L42" s="62" t="str">
        <f t="shared" ref="L42:L43" si="38">IF(OR($A42="",$A42="Other"),"",SUM(F42,I42))</f>
        <v/>
      </c>
      <c r="M42" s="70" t="str">
        <f t="shared" ref="M42:M43" si="39">IF(OR($A42="",$A42="Other"),"",IF(L42=0,0,K42/L42))</f>
        <v/>
      </c>
      <c r="N42" s="69"/>
      <c r="O42" s="62" t="str">
        <f t="shared" si="7"/>
        <v/>
      </c>
      <c r="P42" s="70" t="str">
        <f t="shared" ref="P42:P43" si="40">IF(OR($A42="",$A42="Other"),"",IF(O42=0,0,N42/O42))</f>
        <v/>
      </c>
      <c r="Q42" s="69"/>
      <c r="R42" s="62" t="str">
        <f t="shared" si="9"/>
        <v/>
      </c>
      <c r="S42" s="70" t="str">
        <f t="shared" ref="S42:S43" si="41">IF(OR($A42="",$A42="Other"),"",IF(R42=0,0,Q42/R42))</f>
        <v/>
      </c>
      <c r="T42" s="69"/>
      <c r="U42" s="62" t="str">
        <f t="shared" si="11"/>
        <v/>
      </c>
      <c r="V42" s="70" t="str">
        <f t="shared" ref="V42:V43" si="42">IF(OR($A42="",$A42="Other"),"",IF(U42=0,0,T42/U42))</f>
        <v/>
      </c>
      <c r="W42" s="74" t="str">
        <f t="shared" si="33"/>
        <v/>
      </c>
      <c r="X42" s="62" t="str">
        <f t="shared" ref="X42:X43" si="43">IF(OR($A42="",$A42="Other"),"",SUM(R42,U42))</f>
        <v/>
      </c>
      <c r="Y42" s="70" t="str">
        <f t="shared" ref="Y42:Y43" si="44">IF(OR($A42="",$A42="Other"),"",IF(X42=0,0,W42/X42))</f>
        <v/>
      </c>
      <c r="Z42" s="69"/>
      <c r="AA42" s="62" t="str">
        <f t="shared" si="14"/>
        <v/>
      </c>
      <c r="AB42" s="70" t="str">
        <f t="shared" ref="AB42:AB43" si="45">IF(OR($A42="",$A42="Other"),"",IF(AA42=0,0,Z42/AA42))</f>
        <v/>
      </c>
      <c r="AC42" s="69"/>
      <c r="AD42" s="62" t="str">
        <f t="shared" si="16"/>
        <v/>
      </c>
      <c r="AE42" s="70" t="str">
        <f t="shared" ref="AE42:AE43" si="46">IF(OR($A42="",$A42="Other"),"",IF(AD42=0,0,AC42/AD42))</f>
        <v/>
      </c>
      <c r="AF42" s="69"/>
      <c r="AG42" s="62" t="str">
        <f t="shared" si="18"/>
        <v/>
      </c>
      <c r="AH42" s="70" t="str">
        <f t="shared" ref="AH42:AH43" si="47">IF(OR($A42="",$A42="Other"),"",IF(AG42=0,0,AF42/AG42))</f>
        <v/>
      </c>
      <c r="AI42" s="74" t="str">
        <f t="shared" si="34"/>
        <v/>
      </c>
      <c r="AJ42" s="62" t="str">
        <f t="shared" ref="AJ42:AJ43" si="48">IF(OR($A42="",$A42="Other"),"",SUM(AD42,AG42))</f>
        <v/>
      </c>
      <c r="AK42" s="70" t="str">
        <f t="shared" ref="AK42:AK43" si="49">IF(OR($A42="",$A42="Other"),"",IF(AJ42=0,0,AI42/AJ42))</f>
        <v/>
      </c>
      <c r="AL42" s="69"/>
      <c r="AM42" s="62" t="str">
        <f t="shared" si="22"/>
        <v/>
      </c>
      <c r="AN42" s="70" t="str">
        <f t="shared" ref="AN42:AN43" si="50">IF(OR($A42="",$A42="Other"),"",IF(AM42=0,0,AL42/AM42))</f>
        <v/>
      </c>
    </row>
    <row r="43" spans="1:40" ht="18" customHeight="1" x14ac:dyDescent="0.2">
      <c r="A43" s="77" t="str">
        <f>IF($C$9="Data Not Entered On Set-Up Worksheet","",IF(OR(VLOOKUP($C$9,County_Lookup,26,FALSE)="",VLOOKUP($C$9,County_Lookup,26,FALSE)=0),"",VLOOKUP($C$9,County_Lookup,26,FALSE)))</f>
        <v/>
      </c>
      <c r="B43" s="69"/>
      <c r="C43" s="62" t="str">
        <f t="shared" si="3"/>
        <v/>
      </c>
      <c r="D43" s="70" t="str">
        <f t="shared" si="35"/>
        <v/>
      </c>
      <c r="E43" s="69"/>
      <c r="F43" s="62" t="str">
        <f t="shared" si="4"/>
        <v/>
      </c>
      <c r="G43" s="70" t="str">
        <f t="shared" si="36"/>
        <v/>
      </c>
      <c r="H43" s="69"/>
      <c r="I43" s="62" t="str">
        <f t="shared" si="5"/>
        <v/>
      </c>
      <c r="J43" s="70" t="str">
        <f t="shared" si="37"/>
        <v/>
      </c>
      <c r="K43" s="74" t="str">
        <f t="shared" si="32"/>
        <v/>
      </c>
      <c r="L43" s="62" t="str">
        <f t="shared" si="38"/>
        <v/>
      </c>
      <c r="M43" s="70" t="str">
        <f t="shared" si="39"/>
        <v/>
      </c>
      <c r="N43" s="69"/>
      <c r="O43" s="62" t="str">
        <f t="shared" si="7"/>
        <v/>
      </c>
      <c r="P43" s="70" t="str">
        <f t="shared" si="40"/>
        <v/>
      </c>
      <c r="Q43" s="69"/>
      <c r="R43" s="62" t="str">
        <f t="shared" si="9"/>
        <v/>
      </c>
      <c r="S43" s="70" t="str">
        <f t="shared" si="41"/>
        <v/>
      </c>
      <c r="T43" s="69"/>
      <c r="U43" s="62" t="str">
        <f t="shared" si="11"/>
        <v/>
      </c>
      <c r="V43" s="70" t="str">
        <f t="shared" si="42"/>
        <v/>
      </c>
      <c r="W43" s="74" t="str">
        <f t="shared" si="33"/>
        <v/>
      </c>
      <c r="X43" s="62" t="str">
        <f t="shared" si="43"/>
        <v/>
      </c>
      <c r="Y43" s="70" t="str">
        <f t="shared" si="44"/>
        <v/>
      </c>
      <c r="Z43" s="69"/>
      <c r="AA43" s="62" t="str">
        <f t="shared" si="14"/>
        <v/>
      </c>
      <c r="AB43" s="70" t="str">
        <f t="shared" si="45"/>
        <v/>
      </c>
      <c r="AC43" s="69"/>
      <c r="AD43" s="62" t="str">
        <f t="shared" si="16"/>
        <v/>
      </c>
      <c r="AE43" s="70" t="str">
        <f t="shared" si="46"/>
        <v/>
      </c>
      <c r="AF43" s="69"/>
      <c r="AG43" s="62" t="str">
        <f t="shared" si="18"/>
        <v/>
      </c>
      <c r="AH43" s="70" t="str">
        <f t="shared" si="47"/>
        <v/>
      </c>
      <c r="AI43" s="74" t="str">
        <f t="shared" si="34"/>
        <v/>
      </c>
      <c r="AJ43" s="62" t="str">
        <f t="shared" si="48"/>
        <v/>
      </c>
      <c r="AK43" s="70" t="str">
        <f t="shared" si="49"/>
        <v/>
      </c>
      <c r="AL43" s="69"/>
      <c r="AM43" s="62" t="str">
        <f t="shared" si="22"/>
        <v/>
      </c>
      <c r="AN43" s="70" t="str">
        <f t="shared" si="50"/>
        <v/>
      </c>
    </row>
    <row r="44" spans="1:40" ht="18" customHeight="1" x14ac:dyDescent="0.2">
      <c r="A44" s="77" t="str">
        <f>IF($C$9="Data Not Entered On Set-Up Worksheet","",IF(OR(VLOOKUP($C$9,County_Lookup,27,FALSE)="",VLOOKUP($C$9,County_Lookup,27,FALSE)=0),"",VLOOKUP($C$9,County_Lookup,27,FALSE)))</f>
        <v/>
      </c>
      <c r="B44" s="69"/>
      <c r="C44" s="62" t="str">
        <f t="shared" si="3"/>
        <v/>
      </c>
      <c r="D44" s="70" t="str">
        <f t="shared" si="24"/>
        <v/>
      </c>
      <c r="E44" s="69"/>
      <c r="F44" s="62" t="str">
        <f t="shared" si="4"/>
        <v/>
      </c>
      <c r="G44" s="70" t="str">
        <f t="shared" si="25"/>
        <v/>
      </c>
      <c r="H44" s="69"/>
      <c r="I44" s="62" t="str">
        <f t="shared" si="5"/>
        <v/>
      </c>
      <c r="J44" s="70" t="str">
        <f t="shared" si="26"/>
        <v/>
      </c>
      <c r="K44" s="74" t="str">
        <f t="shared" si="27"/>
        <v/>
      </c>
      <c r="L44" s="62" t="str">
        <f t="shared" si="28"/>
        <v/>
      </c>
      <c r="M44" s="70" t="str">
        <f t="shared" si="6"/>
        <v/>
      </c>
      <c r="N44" s="69"/>
      <c r="O44" s="62" t="str">
        <f t="shared" si="7"/>
        <v/>
      </c>
      <c r="P44" s="70" t="str">
        <f t="shared" si="8"/>
        <v/>
      </c>
      <c r="Q44" s="69"/>
      <c r="R44" s="62" t="str">
        <f t="shared" si="9"/>
        <v/>
      </c>
      <c r="S44" s="70" t="str">
        <f t="shared" si="10"/>
        <v/>
      </c>
      <c r="T44" s="69"/>
      <c r="U44" s="62" t="str">
        <f t="shared" si="11"/>
        <v/>
      </c>
      <c r="V44" s="70" t="str">
        <f t="shared" si="12"/>
        <v/>
      </c>
      <c r="W44" s="74" t="str">
        <f t="shared" si="29"/>
        <v/>
      </c>
      <c r="X44" s="62" t="str">
        <f t="shared" si="30"/>
        <v/>
      </c>
      <c r="Y44" s="70" t="str">
        <f t="shared" si="13"/>
        <v/>
      </c>
      <c r="Z44" s="69"/>
      <c r="AA44" s="62" t="str">
        <f t="shared" si="14"/>
        <v/>
      </c>
      <c r="AB44" s="70" t="str">
        <f t="shared" si="15"/>
        <v/>
      </c>
      <c r="AC44" s="69"/>
      <c r="AD44" s="62" t="str">
        <f t="shared" si="16"/>
        <v/>
      </c>
      <c r="AE44" s="70" t="str">
        <f t="shared" si="17"/>
        <v/>
      </c>
      <c r="AF44" s="69"/>
      <c r="AG44" s="62" t="str">
        <f t="shared" si="18"/>
        <v/>
      </c>
      <c r="AH44" s="70" t="str">
        <f t="shared" si="19"/>
        <v/>
      </c>
      <c r="AI44" s="74" t="str">
        <f t="shared" si="31"/>
        <v/>
      </c>
      <c r="AJ44" s="62" t="str">
        <f t="shared" si="20"/>
        <v/>
      </c>
      <c r="AK44" s="70" t="str">
        <f t="shared" si="21"/>
        <v/>
      </c>
      <c r="AL44" s="69"/>
      <c r="AM44" s="62" t="str">
        <f t="shared" si="22"/>
        <v/>
      </c>
      <c r="AN44" s="70" t="str">
        <f t="shared" si="23"/>
        <v/>
      </c>
    </row>
    <row r="45" spans="1:40" ht="18" customHeight="1" thickBot="1" x14ac:dyDescent="0.25">
      <c r="A45" s="78" t="s">
        <v>0</v>
      </c>
      <c r="B45" s="71">
        <f>SUM(B19:B44)</f>
        <v>0</v>
      </c>
      <c r="C45" s="72">
        <f>SUM(C19:C44)</f>
        <v>0</v>
      </c>
      <c r="D45" s="73">
        <f t="shared" ref="D45" si="51">IF(C45=0,0,B45/C45)</f>
        <v>0</v>
      </c>
      <c r="E45" s="71">
        <f>SUM(E19:E44)</f>
        <v>0</v>
      </c>
      <c r="F45" s="72">
        <f>SUM(F19:F44)</f>
        <v>0</v>
      </c>
      <c r="G45" s="73">
        <f t="shared" ref="G45" si="52">IF(F45=0,0,E45/F45)</f>
        <v>0</v>
      </c>
      <c r="H45" s="71">
        <f>SUM(H19:H44)</f>
        <v>0</v>
      </c>
      <c r="I45" s="72">
        <f>SUM(I19:I44)</f>
        <v>0</v>
      </c>
      <c r="J45" s="73">
        <f t="shared" ref="J45" si="53">IF(I45=0,0,H45/I45)</f>
        <v>0</v>
      </c>
      <c r="K45" s="71">
        <f>SUM(K19:K44)</f>
        <v>0</v>
      </c>
      <c r="L45" s="72">
        <f>SUM(L19:L44)</f>
        <v>0</v>
      </c>
      <c r="M45" s="73">
        <f t="shared" ref="M45" si="54">IF(L45=0,0,K45/L45)</f>
        <v>0</v>
      </c>
      <c r="N45" s="71">
        <f>SUM(N19:N44)</f>
        <v>0</v>
      </c>
      <c r="O45" s="72">
        <f>SUM(O19:O44)</f>
        <v>0</v>
      </c>
      <c r="P45" s="73">
        <f t="shared" ref="P45" si="55">IF(O45=0,0,N45/O45)</f>
        <v>0</v>
      </c>
      <c r="Q45" s="71">
        <f>SUM(Q19:Q44)</f>
        <v>0</v>
      </c>
      <c r="R45" s="72">
        <f>SUM(R19:R44)</f>
        <v>0</v>
      </c>
      <c r="S45" s="73">
        <f t="shared" ref="S45" si="56">IF(R45=0,0,Q45/R45)</f>
        <v>0</v>
      </c>
      <c r="T45" s="71">
        <f>SUM(T19:T44)</f>
        <v>0</v>
      </c>
      <c r="U45" s="72">
        <f>SUM(U19:U44)</f>
        <v>0</v>
      </c>
      <c r="V45" s="73">
        <f t="shared" ref="V45" si="57">IF(U45=0,0,T45/U45)</f>
        <v>0</v>
      </c>
      <c r="W45" s="71">
        <f>SUM(W19:W44)</f>
        <v>0</v>
      </c>
      <c r="X45" s="72">
        <f>SUM(X19:X44)</f>
        <v>0</v>
      </c>
      <c r="Y45" s="73">
        <f t="shared" ref="Y45" si="58">IF(X45=0,0,W45/X45)</f>
        <v>0</v>
      </c>
      <c r="Z45" s="71">
        <f>SUM(Z19:Z44)</f>
        <v>0</v>
      </c>
      <c r="AA45" s="72">
        <f>SUM(AA19:AA44)</f>
        <v>0</v>
      </c>
      <c r="AB45" s="73">
        <f t="shared" ref="AB45" si="59">IF(AA45=0,0,Z45/AA45)</f>
        <v>0</v>
      </c>
      <c r="AC45" s="71">
        <f>SUM(AC19:AC44)</f>
        <v>0</v>
      </c>
      <c r="AD45" s="72">
        <f>SUM(AD19:AD44)</f>
        <v>0</v>
      </c>
      <c r="AE45" s="73">
        <f t="shared" ref="AE45" si="60">IF(AD45=0,0,AC45/AD45)</f>
        <v>0</v>
      </c>
      <c r="AF45" s="71">
        <f>SUM(AF19:AF44)</f>
        <v>0</v>
      </c>
      <c r="AG45" s="72">
        <f>SUM(AG19:AG44)</f>
        <v>0</v>
      </c>
      <c r="AH45" s="73">
        <f t="shared" ref="AH45" si="61">IF(AG45=0,0,AF45/AG45)</f>
        <v>0</v>
      </c>
      <c r="AI45" s="71">
        <f>SUM(AI19:AI44)</f>
        <v>0</v>
      </c>
      <c r="AJ45" s="72">
        <f>SUM(AJ19:AJ44)</f>
        <v>0</v>
      </c>
      <c r="AK45" s="73">
        <f t="shared" ref="AK45" si="62">IF(AJ45=0,0,AI45/AJ45)</f>
        <v>0</v>
      </c>
      <c r="AL45" s="71">
        <f>SUM(AL19:AL44)</f>
        <v>0</v>
      </c>
      <c r="AM45" s="72">
        <f>SUM(AM19:AM44)</f>
        <v>0</v>
      </c>
      <c r="AN45" s="73">
        <f t="shared" ref="AN45" si="63">IF(AM45=0,0,AL45/AM45)</f>
        <v>0</v>
      </c>
    </row>
    <row r="47" spans="1:40" ht="20.100000000000001" customHeight="1" x14ac:dyDescent="0.2">
      <c r="A47" s="312" t="s">
        <v>307</v>
      </c>
      <c r="B47" s="243" t="str">
        <f>"State Fiscal Year-To-Date ("&amp;IF($C$4="Data Not Entered On Set-Up Worksheet","Data Not Entered On Set-Up Worksheet",IF($C$4="1st Quarter","Jul "&amp;$C$3-2&amp;" - Jun "&amp;$C$3-1&amp;")",IF($C$4="2nd Quarter","Jul "&amp;$C$3-1&amp;" - Sep "&amp;$C$3-1&amp;")",IF($C$4="3rd Quarter","Jul "&amp;$C$3-1&amp;" - Dec "&amp;$C$3-1&amp;")",IF($C$4="4th Quarter","Jul "&amp;$C$3-1&amp;" - Mar "&amp;$C$3&amp;")","")))))</f>
        <v>State Fiscal Year-To-Date (Jul 2016 - Jun 2017)</v>
      </c>
      <c r="C47" s="243"/>
      <c r="D47" s="243"/>
      <c r="E47" s="243"/>
      <c r="F47" s="243"/>
      <c r="G47" s="243"/>
      <c r="H47" s="243"/>
      <c r="I47" s="243"/>
      <c r="J47" s="243"/>
      <c r="K47" s="243"/>
      <c r="L47" s="243"/>
      <c r="M47" s="243"/>
      <c r="N47" s="243" t="str">
        <f>$B$47</f>
        <v>State Fiscal Year-To-Date (Jul 2016 - Jun 2017)</v>
      </c>
      <c r="O47" s="243"/>
      <c r="P47" s="243"/>
      <c r="Q47" s="243"/>
      <c r="R47" s="243"/>
      <c r="S47" s="243"/>
      <c r="T47" s="243"/>
      <c r="U47" s="243"/>
      <c r="V47" s="243"/>
      <c r="W47" s="243"/>
      <c r="X47" s="243"/>
      <c r="Y47" s="243"/>
      <c r="Z47" s="243" t="str">
        <f>$B$47</f>
        <v>State Fiscal Year-To-Date (Jul 2016 - Jun 2017)</v>
      </c>
      <c r="AA47" s="243"/>
      <c r="AB47" s="243"/>
      <c r="AC47" s="243"/>
      <c r="AD47" s="243"/>
      <c r="AE47" s="243"/>
      <c r="AF47" s="243"/>
      <c r="AG47" s="243"/>
      <c r="AH47" s="243"/>
      <c r="AI47" s="243"/>
      <c r="AJ47" s="243"/>
      <c r="AK47" s="243"/>
      <c r="AL47" s="243" t="str">
        <f>$B$47</f>
        <v>State Fiscal Year-To-Date (Jul 2016 - Jun 2017)</v>
      </c>
      <c r="AM47" s="44"/>
      <c r="AN47" s="44"/>
    </row>
    <row r="48" spans="1:40" ht="13.5" thickBot="1" x14ac:dyDescent="0.25"/>
    <row r="49" spans="1:46" ht="18" customHeight="1" thickBot="1" x14ac:dyDescent="0.25">
      <c r="A49" s="226" t="s">
        <v>251</v>
      </c>
      <c r="B49" s="234" t="s">
        <v>248</v>
      </c>
      <c r="C49" s="235"/>
      <c r="D49" s="236"/>
      <c r="E49" s="63" t="s">
        <v>249</v>
      </c>
      <c r="F49" s="231"/>
      <c r="G49" s="231"/>
      <c r="H49" s="231"/>
      <c r="I49" s="231"/>
      <c r="J49" s="231"/>
      <c r="K49" s="231"/>
      <c r="L49" s="231"/>
      <c r="M49" s="232"/>
      <c r="N49" s="234" t="s">
        <v>253</v>
      </c>
      <c r="O49" s="235"/>
      <c r="P49" s="236"/>
      <c r="Q49" s="63" t="s">
        <v>254</v>
      </c>
      <c r="R49" s="231"/>
      <c r="S49" s="231"/>
      <c r="T49" s="231"/>
      <c r="U49" s="231"/>
      <c r="V49" s="231"/>
      <c r="W49" s="231"/>
      <c r="X49" s="231"/>
      <c r="Y49" s="232"/>
      <c r="Z49" s="234" t="s">
        <v>255</v>
      </c>
      <c r="AA49" s="235"/>
      <c r="AB49" s="236"/>
      <c r="AC49" s="63" t="s">
        <v>256</v>
      </c>
      <c r="AD49" s="231"/>
      <c r="AE49" s="231"/>
      <c r="AF49" s="231"/>
      <c r="AG49" s="231"/>
      <c r="AH49" s="231"/>
      <c r="AI49" s="231"/>
      <c r="AJ49" s="231"/>
      <c r="AK49" s="232"/>
      <c r="AL49" s="234" t="s">
        <v>260</v>
      </c>
      <c r="AM49" s="235"/>
      <c r="AN49" s="236"/>
    </row>
    <row r="50" spans="1:46" s="35" customFormat="1" ht="18" customHeight="1" thickBot="1" x14ac:dyDescent="0.25">
      <c r="A50" s="233" t="s">
        <v>252</v>
      </c>
      <c r="B50" s="234" t="s">
        <v>246</v>
      </c>
      <c r="C50" s="237"/>
      <c r="D50" s="238"/>
      <c r="E50" s="63" t="s">
        <v>146</v>
      </c>
      <c r="F50" s="64"/>
      <c r="G50" s="65"/>
      <c r="H50" s="63" t="s">
        <v>294</v>
      </c>
      <c r="I50" s="64"/>
      <c r="J50" s="65"/>
      <c r="K50" s="63" t="s">
        <v>295</v>
      </c>
      <c r="L50" s="64"/>
      <c r="M50" s="65"/>
      <c r="N50" s="234" t="s">
        <v>246</v>
      </c>
      <c r="O50" s="237"/>
      <c r="P50" s="238"/>
      <c r="Q50" s="63" t="s">
        <v>146</v>
      </c>
      <c r="R50" s="64"/>
      <c r="S50" s="65"/>
      <c r="T50" s="63" t="s">
        <v>294</v>
      </c>
      <c r="U50" s="64"/>
      <c r="V50" s="65"/>
      <c r="W50" s="63" t="s">
        <v>295</v>
      </c>
      <c r="X50" s="64"/>
      <c r="Y50" s="65"/>
      <c r="Z50" s="234" t="s">
        <v>246</v>
      </c>
      <c r="AA50" s="237"/>
      <c r="AB50" s="238"/>
      <c r="AC50" s="63" t="s">
        <v>146</v>
      </c>
      <c r="AD50" s="64"/>
      <c r="AE50" s="65"/>
      <c r="AF50" s="63" t="s">
        <v>294</v>
      </c>
      <c r="AG50" s="64"/>
      <c r="AH50" s="65"/>
      <c r="AI50" s="63" t="s">
        <v>295</v>
      </c>
      <c r="AJ50" s="64"/>
      <c r="AK50" s="65"/>
      <c r="AL50" s="234" t="s">
        <v>296</v>
      </c>
      <c r="AM50" s="237"/>
      <c r="AN50" s="238"/>
    </row>
    <row r="51" spans="1:46" s="35" customFormat="1" ht="13.5" thickBot="1" x14ac:dyDescent="0.25">
      <c r="A51" s="30"/>
      <c r="B51" s="56" t="s">
        <v>3</v>
      </c>
      <c r="C51" s="57" t="s">
        <v>4</v>
      </c>
      <c r="D51" s="58" t="s">
        <v>5</v>
      </c>
      <c r="E51" s="56" t="s">
        <v>3</v>
      </c>
      <c r="F51" s="57" t="s">
        <v>4</v>
      </c>
      <c r="G51" s="58" t="s">
        <v>5</v>
      </c>
      <c r="H51" s="56" t="s">
        <v>3</v>
      </c>
      <c r="I51" s="57" t="s">
        <v>4</v>
      </c>
      <c r="J51" s="58" t="s">
        <v>5</v>
      </c>
      <c r="K51" s="56" t="s">
        <v>3</v>
      </c>
      <c r="L51" s="57" t="s">
        <v>4</v>
      </c>
      <c r="M51" s="58" t="s">
        <v>5</v>
      </c>
      <c r="N51" s="56" t="s">
        <v>3</v>
      </c>
      <c r="O51" s="57" t="s">
        <v>4</v>
      </c>
      <c r="P51" s="58" t="s">
        <v>5</v>
      </c>
      <c r="Q51" s="56" t="s">
        <v>3</v>
      </c>
      <c r="R51" s="57" t="s">
        <v>4</v>
      </c>
      <c r="S51" s="58" t="s">
        <v>5</v>
      </c>
      <c r="T51" s="56" t="s">
        <v>3</v>
      </c>
      <c r="U51" s="57" t="s">
        <v>4</v>
      </c>
      <c r="V51" s="58" t="s">
        <v>5</v>
      </c>
      <c r="W51" s="56" t="s">
        <v>3</v>
      </c>
      <c r="X51" s="57" t="s">
        <v>4</v>
      </c>
      <c r="Y51" s="58" t="s">
        <v>5</v>
      </c>
      <c r="Z51" s="56" t="s">
        <v>3</v>
      </c>
      <c r="AA51" s="57" t="s">
        <v>4</v>
      </c>
      <c r="AB51" s="58" t="s">
        <v>5</v>
      </c>
      <c r="AC51" s="56" t="s">
        <v>3</v>
      </c>
      <c r="AD51" s="57" t="s">
        <v>4</v>
      </c>
      <c r="AE51" s="58" t="s">
        <v>5</v>
      </c>
      <c r="AF51" s="56" t="s">
        <v>3</v>
      </c>
      <c r="AG51" s="57" t="s">
        <v>4</v>
      </c>
      <c r="AH51" s="58" t="s">
        <v>5</v>
      </c>
      <c r="AI51" s="56" t="s">
        <v>3</v>
      </c>
      <c r="AJ51" s="57" t="s">
        <v>4</v>
      </c>
      <c r="AK51" s="58" t="s">
        <v>5</v>
      </c>
      <c r="AL51" s="56" t="s">
        <v>3</v>
      </c>
      <c r="AM51" s="57" t="s">
        <v>4</v>
      </c>
      <c r="AN51" s="58" t="s">
        <v>5</v>
      </c>
      <c r="AO51" s="33"/>
      <c r="AP51" s="30"/>
      <c r="AQ51" s="30"/>
      <c r="AR51" s="30"/>
      <c r="AS51" s="30"/>
      <c r="AT51" s="30"/>
    </row>
    <row r="52" spans="1:46" ht="39.950000000000003" customHeight="1" x14ac:dyDescent="0.2">
      <c r="A52" s="75" t="s">
        <v>43</v>
      </c>
      <c r="B52" s="239" t="s">
        <v>429</v>
      </c>
      <c r="C52" s="240" t="s">
        <v>264</v>
      </c>
      <c r="D52" s="241" t="s">
        <v>430</v>
      </c>
      <c r="E52" s="66" t="s">
        <v>429</v>
      </c>
      <c r="F52" s="67" t="s">
        <v>264</v>
      </c>
      <c r="G52" s="68" t="s">
        <v>430</v>
      </c>
      <c r="H52" s="66" t="s">
        <v>429</v>
      </c>
      <c r="I52" s="67" t="s">
        <v>264</v>
      </c>
      <c r="J52" s="68" t="s">
        <v>430</v>
      </c>
      <c r="K52" s="66" t="s">
        <v>429</v>
      </c>
      <c r="L52" s="67" t="s">
        <v>264</v>
      </c>
      <c r="M52" s="68" t="s">
        <v>430</v>
      </c>
      <c r="N52" s="239" t="s">
        <v>429</v>
      </c>
      <c r="O52" s="240" t="s">
        <v>264</v>
      </c>
      <c r="P52" s="241" t="s">
        <v>430</v>
      </c>
      <c r="Q52" s="66" t="s">
        <v>429</v>
      </c>
      <c r="R52" s="67" t="s">
        <v>264</v>
      </c>
      <c r="S52" s="68" t="s">
        <v>430</v>
      </c>
      <c r="T52" s="66" t="s">
        <v>429</v>
      </c>
      <c r="U52" s="67" t="s">
        <v>264</v>
      </c>
      <c r="V52" s="68" t="s">
        <v>430</v>
      </c>
      <c r="W52" s="66" t="s">
        <v>429</v>
      </c>
      <c r="X52" s="67" t="s">
        <v>264</v>
      </c>
      <c r="Y52" s="68" t="s">
        <v>430</v>
      </c>
      <c r="Z52" s="239" t="s">
        <v>429</v>
      </c>
      <c r="AA52" s="240" t="s">
        <v>264</v>
      </c>
      <c r="AB52" s="241" t="s">
        <v>430</v>
      </c>
      <c r="AC52" s="66" t="s">
        <v>429</v>
      </c>
      <c r="AD52" s="67" t="s">
        <v>264</v>
      </c>
      <c r="AE52" s="68" t="s">
        <v>430</v>
      </c>
      <c r="AF52" s="66" t="s">
        <v>429</v>
      </c>
      <c r="AG52" s="67" t="s">
        <v>264</v>
      </c>
      <c r="AH52" s="68" t="s">
        <v>430</v>
      </c>
      <c r="AI52" s="66" t="s">
        <v>429</v>
      </c>
      <c r="AJ52" s="67" t="s">
        <v>264</v>
      </c>
      <c r="AK52" s="68" t="s">
        <v>430</v>
      </c>
      <c r="AL52" s="239" t="s">
        <v>257</v>
      </c>
      <c r="AM52" s="240" t="s">
        <v>264</v>
      </c>
      <c r="AN52" s="241" t="s">
        <v>258</v>
      </c>
    </row>
    <row r="53" spans="1:46" ht="18" customHeight="1" x14ac:dyDescent="0.2">
      <c r="A53" s="76" t="str">
        <f>IF($C$9="Data Not Entered On Set-Up Worksheet","",IF(OR(VLOOKUP($C$9,County_Lookup,2,FALSE)="",VLOOKUP($C$9,County_Lookup,2,FALSE)=0),"",VLOOKUP($C$9,County_Lookup,2,FALSE)))</f>
        <v/>
      </c>
      <c r="B53" s="69"/>
      <c r="C53" s="62" t="str">
        <f t="shared" ref="C53:C78" si="64">IF(OR($A53="",$A53="Other"),"",IF(OR(AND($C$3=2018,$C$4&lt;&gt;"1st Quarter"),AND($C$3=2019,$C$4="1st Quarter")),VLOOKUP($A53,Uninsured_SFY2018,15,FALSE),IF(OR(AND($C$3=2017,$C$4&lt;&gt;"1st Quarter"),AND($C$3=2018,$C$4="1st Quarter")),VLOOKUP($A53,Uninsured_SFY2017,15,FALSE),"Update Lookup")))</f>
        <v/>
      </c>
      <c r="D53" s="70" t="str">
        <f t="shared" ref="D53:D78" si="65">IF(OR($A53="",$A53="Other"),"",IF(C53=0,0,B53/C53))</f>
        <v/>
      </c>
      <c r="E53" s="69"/>
      <c r="F53" s="62" t="str">
        <f t="shared" ref="F53:F78" si="66">IF(OR($A53="",$A53="Other"),"",IF(OR(AND($C$3=2018,$C$4&lt;&gt;"1st Quarter"),AND($C$3=2019,$C$4="1st Quarter")),VLOOKUP($A53,Uninsured_SFY2018,16,FALSE),IF(OR(AND($C$3=2017,$C$4&lt;&gt;"1st Quarter"),AND($C$3=2018,$C$4="1st Quarter")),VLOOKUP($A53,Uninsured_SFY2017,16,FALSE),"Update Lookup")))</f>
        <v/>
      </c>
      <c r="G53" s="70" t="str">
        <f t="shared" ref="G53:G78" si="67">IF(OR($A53="",$A53="Other"),"",IF(F53=0,0,E53/F53))</f>
        <v/>
      </c>
      <c r="H53" s="69"/>
      <c r="I53" s="62" t="str">
        <f t="shared" ref="I53:I78" si="68">IF(OR($A53="",$A53="Other"),"",IF(OR(AND($C$3=2018,$C$4&lt;&gt;"1st Quarter"),AND($C$3=2019,$C$4="1st Quarter")),VLOOKUP($A53,Uninsured_SFY2018,17,FALSE),IF(OR(AND($C$3=2017,$C$4&lt;&gt;"1st Quarter"),AND($C$3=2018,$C$4="1st Quarter")),VLOOKUP($A53,Uninsured_SFY2017,17,FALSE),"Update Lookup")))</f>
        <v/>
      </c>
      <c r="J53" s="70" t="str">
        <f t="shared" ref="J53:J78" si="69">IF(OR($A53="",$A53="Other"),"",IF(I53=0,0,H53/I53))</f>
        <v/>
      </c>
      <c r="K53" s="74" t="str">
        <f>IF($A53="","",SUM(E53,H53))</f>
        <v/>
      </c>
      <c r="L53" s="62" t="str">
        <f t="shared" ref="L53:L78" si="70">IF(OR($A53="",$A53="Other"),"",SUM(F53,I53))</f>
        <v/>
      </c>
      <c r="M53" s="70" t="str">
        <f t="shared" ref="M53:M78" si="71">IF(OR($A53="",$A53="Other"),"",IF(L53=0,0,K53/L53))</f>
        <v/>
      </c>
      <c r="N53" s="69"/>
      <c r="O53" s="62" t="str">
        <f t="shared" ref="O53:O78" si="72">IF(OR($A53="",$A53="Other"),"",IF(OR(AND($C$3=2018,$C$4&lt;&gt;"1st Quarter"),AND($C$3=2019,$C$4="1st Quarter")),VLOOKUP($A53,Uninsured_SFY2018,15,FALSE),IF(OR(AND($C$3=2017,$C$4&lt;&gt;"1st Quarter"),AND($C$3=2018,$C$4="1st Quarter")),VLOOKUP($A53,Uninsured_SFY2017,15,FALSE),"Update Lookup")))</f>
        <v/>
      </c>
      <c r="P53" s="70" t="str">
        <f t="shared" ref="P53:P78" si="73">IF(OR($A53="",$A53="Other"),"",IF(O53=0,0,N53/O53))</f>
        <v/>
      </c>
      <c r="Q53" s="69"/>
      <c r="R53" s="62" t="str">
        <f t="shared" ref="R53:R78" si="74">IF(OR($A53="",$A53="Other"),"",IF(OR(AND($C$3=2018,$C$4&lt;&gt;"1st Quarter"),AND($C$3=2019,$C$4="1st Quarter")),VLOOKUP($A53,Uninsured_SFY2018,16,FALSE),IF(OR(AND($C$3=2017,$C$4&lt;&gt;"1st Quarter"),AND($C$3=2018,$C$4="1st Quarter")),VLOOKUP($A53,Uninsured_SFY2017,16,FALSE),"Update Lookup")))</f>
        <v/>
      </c>
      <c r="S53" s="70" t="str">
        <f t="shared" ref="S53:S78" si="75">IF(OR($A53="",$A53="Other"),"",IF(R53=0,0,Q53/R53))</f>
        <v/>
      </c>
      <c r="T53" s="69"/>
      <c r="U53" s="62" t="str">
        <f t="shared" ref="U53:U78" si="76">IF(OR($A53="",$A53="Other"),"",IF(OR(AND($C$3=2018,$C$4&lt;&gt;"1st Quarter"),AND($C$3=2019,$C$4="1st Quarter")),VLOOKUP($A53,Uninsured_SFY2018,17,FALSE),IF(OR(AND($C$3=2017,$C$4&lt;&gt;"1st Quarter"),AND($C$3=2018,$C$4="1st Quarter")),VLOOKUP($A53,Uninsured_SFY2017,17,FALSE),"Update Lookup")))</f>
        <v/>
      </c>
      <c r="V53" s="70" t="str">
        <f t="shared" ref="V53:V78" si="77">IF(OR($A53="",$A53="Other"),"",IF(U53=0,0,T53/U53))</f>
        <v/>
      </c>
      <c r="W53" s="74" t="str">
        <f>IF($A53="","",SUM(Q53,T53))</f>
        <v/>
      </c>
      <c r="X53" s="62" t="str">
        <f t="shared" ref="X53:X78" si="78">IF(OR($A53="",$A53="Other"),"",SUM(R53,U53))</f>
        <v/>
      </c>
      <c r="Y53" s="70" t="str">
        <f t="shared" ref="Y53:Y78" si="79">IF(OR($A53="",$A53="Other"),"",IF(X53=0,0,W53/X53))</f>
        <v/>
      </c>
      <c r="Z53" s="69"/>
      <c r="AA53" s="62" t="str">
        <f t="shared" ref="AA53:AA78" si="80">IF(OR($A53="",$A53="Other"),"",IF(OR(AND($C$3=2018,$C$4&lt;&gt;"1st Quarter"),AND($C$3=2019,$C$4="1st Quarter")),VLOOKUP($A53,Uninsured_SFY2018,15,FALSE),IF(OR(AND($C$3=2017,$C$4&lt;&gt;"1st Quarter"),AND($C$3=2018,$C$4="1st Quarter")),VLOOKUP($A53,Uninsured_SFY2017,15,FALSE),"Update Lookup")))</f>
        <v/>
      </c>
      <c r="AB53" s="70" t="str">
        <f t="shared" ref="AB53:AB78" si="81">IF(OR($A53="",$A53="Other"),"",IF(AA53=0,0,Z53/AA53))</f>
        <v/>
      </c>
      <c r="AC53" s="69"/>
      <c r="AD53" s="62" t="str">
        <f t="shared" ref="AD53:AD78" si="82">IF(OR($A53="",$A53="Other"),"",IF(OR(AND($C$3=2018,$C$4&lt;&gt;"1st Quarter"),AND($C$3=2019,$C$4="1st Quarter")),VLOOKUP($A53,Uninsured_SFY2018,16,FALSE),IF(OR(AND($C$3=2017,$C$4&lt;&gt;"1st Quarter"),AND($C$3=2018,$C$4="1st Quarter")),VLOOKUP($A53,Uninsured_SFY2017,16,FALSE),"Update Lookup")))</f>
        <v/>
      </c>
      <c r="AE53" s="70" t="str">
        <f t="shared" ref="AE53:AE78" si="83">IF(OR($A53="",$A53="Other"),"",IF(AD53=0,0,AC53/AD53))</f>
        <v/>
      </c>
      <c r="AF53" s="69"/>
      <c r="AG53" s="62" t="str">
        <f t="shared" ref="AG53:AG78" si="84">IF(OR($A53="",$A53="Other"),"",IF(OR(AND($C$3=2018,$C$4&lt;&gt;"1st Quarter"),AND($C$3=2019,$C$4="1st Quarter")),VLOOKUP($A53,Uninsured_SFY2018,17,FALSE),IF(OR(AND($C$3=2017,$C$4&lt;&gt;"1st Quarter"),AND($C$3=2018,$C$4="1st Quarter")),VLOOKUP($A53,Uninsured_SFY2017,17,FALSE),"Update Lookup")))</f>
        <v/>
      </c>
      <c r="AH53" s="70" t="str">
        <f t="shared" ref="AH53:AH78" si="85">IF(OR($A53="",$A53="Other"),"",IF(AG53=0,0,AF53/AG53))</f>
        <v/>
      </c>
      <c r="AI53" s="74" t="str">
        <f>IF($A53="","",SUM(AC53,AF53))</f>
        <v/>
      </c>
      <c r="AJ53" s="62" t="str">
        <f>IF(OR($A53="",$A53="Other"),"",SUM(AD53,AG53))</f>
        <v/>
      </c>
      <c r="AK53" s="70" t="str">
        <f t="shared" ref="AK53:AK78" si="86">IF(OR($A53="",$A53="Other"),"",IF(AJ53=0,0,AI53/AJ53))</f>
        <v/>
      </c>
      <c r="AL53" s="69"/>
      <c r="AM53" s="62" t="str">
        <f t="shared" ref="AM53:AM78" si="87">IF(OR($A53="",$A53="Other"),"",IF(OR(AND($C$3=2018,$C$4&lt;&gt;"1st Quarter"),AND($C$3=2019,$C$4="1st Quarter")),VLOOKUP($A53,Uninsured_SFY2018,19,FALSE),IF(OR(AND($C$3=2017,$C$4&lt;&gt;"1st Quarter"),AND($C$3=2018,$C$4="1st Quarter")),VLOOKUP($A53,Uninsured_SFY2017,19,FALSE),"Update Lookup")))</f>
        <v/>
      </c>
      <c r="AN53" s="70" t="str">
        <f t="shared" ref="AN53:AN78" si="88">IF(OR($A53="",$A53="Other"),"",IF(AM53=0,0,AL53/AM53))</f>
        <v/>
      </c>
    </row>
    <row r="54" spans="1:46" ht="18" customHeight="1" x14ac:dyDescent="0.2">
      <c r="A54" s="77" t="str">
        <f>IF($C$9="Data Not Entered On Set-Up Worksheet","",IF(OR(VLOOKUP($C$9,County_Lookup,3,FALSE)="",VLOOKUP($C$9,County_Lookup,3,FALSE)=0),"",VLOOKUP($C$9,County_Lookup,3,FALSE)))</f>
        <v/>
      </c>
      <c r="B54" s="69"/>
      <c r="C54" s="62" t="str">
        <f t="shared" si="64"/>
        <v/>
      </c>
      <c r="D54" s="70" t="str">
        <f t="shared" si="65"/>
        <v/>
      </c>
      <c r="E54" s="69"/>
      <c r="F54" s="62" t="str">
        <f t="shared" si="66"/>
        <v/>
      </c>
      <c r="G54" s="70" t="str">
        <f t="shared" si="67"/>
        <v/>
      </c>
      <c r="H54" s="69"/>
      <c r="I54" s="62" t="str">
        <f t="shared" si="68"/>
        <v/>
      </c>
      <c r="J54" s="70" t="str">
        <f t="shared" si="69"/>
        <v/>
      </c>
      <c r="K54" s="74" t="str">
        <f t="shared" ref="K54:K78" si="89">IF($A54="","",SUM(E54,H54))</f>
        <v/>
      </c>
      <c r="L54" s="62" t="str">
        <f t="shared" si="70"/>
        <v/>
      </c>
      <c r="M54" s="70" t="str">
        <f t="shared" si="71"/>
        <v/>
      </c>
      <c r="N54" s="69"/>
      <c r="O54" s="62" t="str">
        <f t="shared" si="72"/>
        <v/>
      </c>
      <c r="P54" s="70" t="str">
        <f t="shared" si="73"/>
        <v/>
      </c>
      <c r="Q54" s="69"/>
      <c r="R54" s="62" t="str">
        <f t="shared" si="74"/>
        <v/>
      </c>
      <c r="S54" s="70" t="str">
        <f t="shared" si="75"/>
        <v/>
      </c>
      <c r="T54" s="69"/>
      <c r="U54" s="62" t="str">
        <f t="shared" si="76"/>
        <v/>
      </c>
      <c r="V54" s="70" t="str">
        <f t="shared" si="77"/>
        <v/>
      </c>
      <c r="W54" s="74" t="str">
        <f t="shared" ref="W54:W78" si="90">IF($A54="","",SUM(Q54,T54))</f>
        <v/>
      </c>
      <c r="X54" s="62" t="str">
        <f t="shared" si="78"/>
        <v/>
      </c>
      <c r="Y54" s="70" t="str">
        <f t="shared" si="79"/>
        <v/>
      </c>
      <c r="Z54" s="69"/>
      <c r="AA54" s="62" t="str">
        <f t="shared" si="80"/>
        <v/>
      </c>
      <c r="AB54" s="70" t="str">
        <f t="shared" si="81"/>
        <v/>
      </c>
      <c r="AC54" s="69"/>
      <c r="AD54" s="62" t="str">
        <f t="shared" si="82"/>
        <v/>
      </c>
      <c r="AE54" s="70" t="str">
        <f t="shared" si="83"/>
        <v/>
      </c>
      <c r="AF54" s="69"/>
      <c r="AG54" s="62" t="str">
        <f t="shared" si="84"/>
        <v/>
      </c>
      <c r="AH54" s="70" t="str">
        <f t="shared" si="85"/>
        <v/>
      </c>
      <c r="AI54" s="74" t="str">
        <f t="shared" ref="AI54:AI78" si="91">IF($A54="","",SUM(AC54,AF54))</f>
        <v/>
      </c>
      <c r="AJ54" s="62" t="str">
        <f t="shared" ref="AJ54:AJ78" si="92">IF(OR($A54="",$A54="Other"),"",SUM(AD54,AG54))</f>
        <v/>
      </c>
      <c r="AK54" s="70" t="str">
        <f t="shared" si="86"/>
        <v/>
      </c>
      <c r="AL54" s="69"/>
      <c r="AM54" s="62" t="str">
        <f t="shared" si="87"/>
        <v/>
      </c>
      <c r="AN54" s="70" t="str">
        <f t="shared" si="88"/>
        <v/>
      </c>
    </row>
    <row r="55" spans="1:46" ht="18" customHeight="1" x14ac:dyDescent="0.2">
      <c r="A55" s="77" t="str">
        <f>IF($C$9="Data Not Entered On Set-Up Worksheet","",IF(OR(VLOOKUP($C$9,County_Lookup,4,FALSE)="",VLOOKUP($C$9,County_Lookup,4,FALSE)=0),"",VLOOKUP($C$9,County_Lookup,4,FALSE)))</f>
        <v/>
      </c>
      <c r="B55" s="69"/>
      <c r="C55" s="62" t="str">
        <f t="shared" si="64"/>
        <v/>
      </c>
      <c r="D55" s="70" t="str">
        <f t="shared" si="65"/>
        <v/>
      </c>
      <c r="E55" s="69"/>
      <c r="F55" s="62" t="str">
        <f t="shared" si="66"/>
        <v/>
      </c>
      <c r="G55" s="70" t="str">
        <f t="shared" si="67"/>
        <v/>
      </c>
      <c r="H55" s="69"/>
      <c r="I55" s="62" t="str">
        <f t="shared" si="68"/>
        <v/>
      </c>
      <c r="J55" s="70" t="str">
        <f t="shared" si="69"/>
        <v/>
      </c>
      <c r="K55" s="74" t="str">
        <f t="shared" si="89"/>
        <v/>
      </c>
      <c r="L55" s="62" t="str">
        <f t="shared" si="70"/>
        <v/>
      </c>
      <c r="M55" s="70" t="str">
        <f t="shared" si="71"/>
        <v/>
      </c>
      <c r="N55" s="69"/>
      <c r="O55" s="62" t="str">
        <f t="shared" si="72"/>
        <v/>
      </c>
      <c r="P55" s="70" t="str">
        <f t="shared" si="73"/>
        <v/>
      </c>
      <c r="Q55" s="69"/>
      <c r="R55" s="62" t="str">
        <f t="shared" si="74"/>
        <v/>
      </c>
      <c r="S55" s="70" t="str">
        <f t="shared" si="75"/>
        <v/>
      </c>
      <c r="T55" s="69"/>
      <c r="U55" s="62" t="str">
        <f t="shared" si="76"/>
        <v/>
      </c>
      <c r="V55" s="70" t="str">
        <f t="shared" si="77"/>
        <v/>
      </c>
      <c r="W55" s="74" t="str">
        <f t="shared" si="90"/>
        <v/>
      </c>
      <c r="X55" s="62" t="str">
        <f t="shared" si="78"/>
        <v/>
      </c>
      <c r="Y55" s="70" t="str">
        <f t="shared" si="79"/>
        <v/>
      </c>
      <c r="Z55" s="69"/>
      <c r="AA55" s="62" t="str">
        <f t="shared" si="80"/>
        <v/>
      </c>
      <c r="AB55" s="70" t="str">
        <f t="shared" si="81"/>
        <v/>
      </c>
      <c r="AC55" s="69"/>
      <c r="AD55" s="62" t="str">
        <f t="shared" si="82"/>
        <v/>
      </c>
      <c r="AE55" s="70" t="str">
        <f t="shared" si="83"/>
        <v/>
      </c>
      <c r="AF55" s="69"/>
      <c r="AG55" s="62" t="str">
        <f t="shared" si="84"/>
        <v/>
      </c>
      <c r="AH55" s="70" t="str">
        <f t="shared" si="85"/>
        <v/>
      </c>
      <c r="AI55" s="74" t="str">
        <f t="shared" si="91"/>
        <v/>
      </c>
      <c r="AJ55" s="62" t="str">
        <f t="shared" si="92"/>
        <v/>
      </c>
      <c r="AK55" s="70" t="str">
        <f t="shared" si="86"/>
        <v/>
      </c>
      <c r="AL55" s="69"/>
      <c r="AM55" s="62" t="str">
        <f t="shared" si="87"/>
        <v/>
      </c>
      <c r="AN55" s="70" t="str">
        <f t="shared" si="88"/>
        <v/>
      </c>
    </row>
    <row r="56" spans="1:46" ht="18" customHeight="1" x14ac:dyDescent="0.2">
      <c r="A56" s="77" t="str">
        <f>IF($C$9="Data Not Entered On Set-Up Worksheet","",IF(OR(VLOOKUP($C$9,County_Lookup,5,FALSE)="",VLOOKUP($C$9,County_Lookup,5,FALSE)=0),"",VLOOKUP($C$9,County_Lookup,5,FALSE)))</f>
        <v/>
      </c>
      <c r="B56" s="69"/>
      <c r="C56" s="62" t="str">
        <f t="shared" si="64"/>
        <v/>
      </c>
      <c r="D56" s="70" t="str">
        <f t="shared" si="65"/>
        <v/>
      </c>
      <c r="E56" s="69"/>
      <c r="F56" s="62" t="str">
        <f t="shared" si="66"/>
        <v/>
      </c>
      <c r="G56" s="70" t="str">
        <f t="shared" si="67"/>
        <v/>
      </c>
      <c r="H56" s="69"/>
      <c r="I56" s="62" t="str">
        <f t="shared" si="68"/>
        <v/>
      </c>
      <c r="J56" s="70" t="str">
        <f t="shared" si="69"/>
        <v/>
      </c>
      <c r="K56" s="74" t="str">
        <f t="shared" si="89"/>
        <v/>
      </c>
      <c r="L56" s="62" t="str">
        <f t="shared" si="70"/>
        <v/>
      </c>
      <c r="M56" s="70" t="str">
        <f t="shared" si="71"/>
        <v/>
      </c>
      <c r="N56" s="69"/>
      <c r="O56" s="62" t="str">
        <f t="shared" si="72"/>
        <v/>
      </c>
      <c r="P56" s="70" t="str">
        <f t="shared" si="73"/>
        <v/>
      </c>
      <c r="Q56" s="69"/>
      <c r="R56" s="62" t="str">
        <f t="shared" si="74"/>
        <v/>
      </c>
      <c r="S56" s="70" t="str">
        <f t="shared" si="75"/>
        <v/>
      </c>
      <c r="T56" s="69"/>
      <c r="U56" s="62" t="str">
        <f t="shared" si="76"/>
        <v/>
      </c>
      <c r="V56" s="70" t="str">
        <f t="shared" si="77"/>
        <v/>
      </c>
      <c r="W56" s="74" t="str">
        <f t="shared" si="90"/>
        <v/>
      </c>
      <c r="X56" s="62" t="str">
        <f t="shared" si="78"/>
        <v/>
      </c>
      <c r="Y56" s="70" t="str">
        <f t="shared" si="79"/>
        <v/>
      </c>
      <c r="Z56" s="69"/>
      <c r="AA56" s="62" t="str">
        <f t="shared" si="80"/>
        <v/>
      </c>
      <c r="AB56" s="70" t="str">
        <f t="shared" si="81"/>
        <v/>
      </c>
      <c r="AC56" s="69"/>
      <c r="AD56" s="62" t="str">
        <f t="shared" si="82"/>
        <v/>
      </c>
      <c r="AE56" s="70" t="str">
        <f t="shared" si="83"/>
        <v/>
      </c>
      <c r="AF56" s="69"/>
      <c r="AG56" s="62" t="str">
        <f t="shared" si="84"/>
        <v/>
      </c>
      <c r="AH56" s="70" t="str">
        <f t="shared" si="85"/>
        <v/>
      </c>
      <c r="AI56" s="74" t="str">
        <f t="shared" si="91"/>
        <v/>
      </c>
      <c r="AJ56" s="62" t="str">
        <f t="shared" si="92"/>
        <v/>
      </c>
      <c r="AK56" s="70" t="str">
        <f t="shared" si="86"/>
        <v/>
      </c>
      <c r="AL56" s="69"/>
      <c r="AM56" s="62" t="str">
        <f t="shared" si="87"/>
        <v/>
      </c>
      <c r="AN56" s="70" t="str">
        <f t="shared" si="88"/>
        <v/>
      </c>
    </row>
    <row r="57" spans="1:46" ht="18" customHeight="1" x14ac:dyDescent="0.2">
      <c r="A57" s="77" t="str">
        <f>IF($C$9="Data Not Entered On Set-Up Worksheet","",IF(OR(VLOOKUP($C$9,County_Lookup,6,FALSE)="",VLOOKUP($C$9,County_Lookup,6,FALSE)=0),"",VLOOKUP($C$9,County_Lookup,6,FALSE)))</f>
        <v/>
      </c>
      <c r="B57" s="69"/>
      <c r="C57" s="62" t="str">
        <f t="shared" si="64"/>
        <v/>
      </c>
      <c r="D57" s="70" t="str">
        <f t="shared" si="65"/>
        <v/>
      </c>
      <c r="E57" s="69"/>
      <c r="F57" s="62" t="str">
        <f t="shared" si="66"/>
        <v/>
      </c>
      <c r="G57" s="70" t="str">
        <f t="shared" si="67"/>
        <v/>
      </c>
      <c r="H57" s="69"/>
      <c r="I57" s="62" t="str">
        <f t="shared" si="68"/>
        <v/>
      </c>
      <c r="J57" s="70" t="str">
        <f t="shared" si="69"/>
        <v/>
      </c>
      <c r="K57" s="74" t="str">
        <f t="shared" si="89"/>
        <v/>
      </c>
      <c r="L57" s="62" t="str">
        <f t="shared" si="70"/>
        <v/>
      </c>
      <c r="M57" s="70" t="str">
        <f t="shared" si="71"/>
        <v/>
      </c>
      <c r="N57" s="69"/>
      <c r="O57" s="62" t="str">
        <f t="shared" si="72"/>
        <v/>
      </c>
      <c r="P57" s="70" t="str">
        <f t="shared" si="73"/>
        <v/>
      </c>
      <c r="Q57" s="69"/>
      <c r="R57" s="62" t="str">
        <f t="shared" si="74"/>
        <v/>
      </c>
      <c r="S57" s="70" t="str">
        <f t="shared" si="75"/>
        <v/>
      </c>
      <c r="T57" s="69"/>
      <c r="U57" s="62" t="str">
        <f t="shared" si="76"/>
        <v/>
      </c>
      <c r="V57" s="70" t="str">
        <f t="shared" si="77"/>
        <v/>
      </c>
      <c r="W57" s="74" t="str">
        <f t="shared" si="90"/>
        <v/>
      </c>
      <c r="X57" s="62" t="str">
        <f t="shared" si="78"/>
        <v/>
      </c>
      <c r="Y57" s="70" t="str">
        <f t="shared" si="79"/>
        <v/>
      </c>
      <c r="Z57" s="69"/>
      <c r="AA57" s="62" t="str">
        <f t="shared" si="80"/>
        <v/>
      </c>
      <c r="AB57" s="70" t="str">
        <f t="shared" si="81"/>
        <v/>
      </c>
      <c r="AC57" s="69"/>
      <c r="AD57" s="62" t="str">
        <f t="shared" si="82"/>
        <v/>
      </c>
      <c r="AE57" s="70" t="str">
        <f t="shared" si="83"/>
        <v/>
      </c>
      <c r="AF57" s="69"/>
      <c r="AG57" s="62" t="str">
        <f t="shared" si="84"/>
        <v/>
      </c>
      <c r="AH57" s="70" t="str">
        <f t="shared" si="85"/>
        <v/>
      </c>
      <c r="AI57" s="74" t="str">
        <f t="shared" si="91"/>
        <v/>
      </c>
      <c r="AJ57" s="62" t="str">
        <f t="shared" si="92"/>
        <v/>
      </c>
      <c r="AK57" s="70" t="str">
        <f t="shared" si="86"/>
        <v/>
      </c>
      <c r="AL57" s="69"/>
      <c r="AM57" s="62" t="str">
        <f t="shared" si="87"/>
        <v/>
      </c>
      <c r="AN57" s="70" t="str">
        <f t="shared" si="88"/>
        <v/>
      </c>
    </row>
    <row r="58" spans="1:46" ht="18" customHeight="1" x14ac:dyDescent="0.2">
      <c r="A58" s="77" t="str">
        <f>IF($C$9="Data Not Entered On Set-Up Worksheet","",IF(OR(VLOOKUP($C$9,County_Lookup,7,FALSE)="",VLOOKUP($C$9,County_Lookup,7,FALSE)=0),"",VLOOKUP($C$9,County_Lookup,7,FALSE)))</f>
        <v/>
      </c>
      <c r="B58" s="69"/>
      <c r="C58" s="62" t="str">
        <f t="shared" si="64"/>
        <v/>
      </c>
      <c r="D58" s="70" t="str">
        <f t="shared" si="65"/>
        <v/>
      </c>
      <c r="E58" s="69"/>
      <c r="F58" s="62" t="str">
        <f t="shared" si="66"/>
        <v/>
      </c>
      <c r="G58" s="70" t="str">
        <f t="shared" si="67"/>
        <v/>
      </c>
      <c r="H58" s="69"/>
      <c r="I58" s="62" t="str">
        <f t="shared" si="68"/>
        <v/>
      </c>
      <c r="J58" s="70" t="str">
        <f t="shared" si="69"/>
        <v/>
      </c>
      <c r="K58" s="74" t="str">
        <f t="shared" si="89"/>
        <v/>
      </c>
      <c r="L58" s="62" t="str">
        <f t="shared" si="70"/>
        <v/>
      </c>
      <c r="M58" s="70" t="str">
        <f t="shared" si="71"/>
        <v/>
      </c>
      <c r="N58" s="69"/>
      <c r="O58" s="62" t="str">
        <f t="shared" si="72"/>
        <v/>
      </c>
      <c r="P58" s="70" t="str">
        <f t="shared" si="73"/>
        <v/>
      </c>
      <c r="Q58" s="69"/>
      <c r="R58" s="62" t="str">
        <f t="shared" si="74"/>
        <v/>
      </c>
      <c r="S58" s="70" t="str">
        <f t="shared" si="75"/>
        <v/>
      </c>
      <c r="T58" s="69"/>
      <c r="U58" s="62" t="str">
        <f t="shared" si="76"/>
        <v/>
      </c>
      <c r="V58" s="70" t="str">
        <f t="shared" si="77"/>
        <v/>
      </c>
      <c r="W58" s="74" t="str">
        <f t="shared" si="90"/>
        <v/>
      </c>
      <c r="X58" s="62" t="str">
        <f t="shared" si="78"/>
        <v/>
      </c>
      <c r="Y58" s="70" t="str">
        <f t="shared" si="79"/>
        <v/>
      </c>
      <c r="Z58" s="69"/>
      <c r="AA58" s="62" t="str">
        <f t="shared" si="80"/>
        <v/>
      </c>
      <c r="AB58" s="70" t="str">
        <f t="shared" si="81"/>
        <v/>
      </c>
      <c r="AC58" s="69"/>
      <c r="AD58" s="62" t="str">
        <f t="shared" si="82"/>
        <v/>
      </c>
      <c r="AE58" s="70" t="str">
        <f t="shared" si="83"/>
        <v/>
      </c>
      <c r="AF58" s="69"/>
      <c r="AG58" s="62" t="str">
        <f t="shared" si="84"/>
        <v/>
      </c>
      <c r="AH58" s="70" t="str">
        <f t="shared" si="85"/>
        <v/>
      </c>
      <c r="AI58" s="74" t="str">
        <f t="shared" si="91"/>
        <v/>
      </c>
      <c r="AJ58" s="62" t="str">
        <f t="shared" si="92"/>
        <v/>
      </c>
      <c r="AK58" s="70" t="str">
        <f t="shared" si="86"/>
        <v/>
      </c>
      <c r="AL58" s="69"/>
      <c r="AM58" s="62" t="str">
        <f t="shared" si="87"/>
        <v/>
      </c>
      <c r="AN58" s="70" t="str">
        <f t="shared" si="88"/>
        <v/>
      </c>
    </row>
    <row r="59" spans="1:46" ht="18" customHeight="1" x14ac:dyDescent="0.2">
      <c r="A59" s="76" t="str">
        <f>IF($C$9="Data Not Entered On Set-Up Worksheet","",IF(OR(VLOOKUP($C$9,County_Lookup,8,FALSE)="",VLOOKUP($C$9,County_Lookup,8,FALSE)=0),"",VLOOKUP($C$9,County_Lookup,8,FALSE)))</f>
        <v/>
      </c>
      <c r="B59" s="69"/>
      <c r="C59" s="62" t="str">
        <f t="shared" si="64"/>
        <v/>
      </c>
      <c r="D59" s="70" t="str">
        <f t="shared" si="65"/>
        <v/>
      </c>
      <c r="E59" s="69"/>
      <c r="F59" s="62" t="str">
        <f t="shared" si="66"/>
        <v/>
      </c>
      <c r="G59" s="70" t="str">
        <f t="shared" si="67"/>
        <v/>
      </c>
      <c r="H59" s="69"/>
      <c r="I59" s="62" t="str">
        <f t="shared" si="68"/>
        <v/>
      </c>
      <c r="J59" s="70" t="str">
        <f t="shared" si="69"/>
        <v/>
      </c>
      <c r="K59" s="74" t="str">
        <f t="shared" si="89"/>
        <v/>
      </c>
      <c r="L59" s="62" t="str">
        <f t="shared" si="70"/>
        <v/>
      </c>
      <c r="M59" s="70" t="str">
        <f t="shared" si="71"/>
        <v/>
      </c>
      <c r="N59" s="69"/>
      <c r="O59" s="62" t="str">
        <f t="shared" si="72"/>
        <v/>
      </c>
      <c r="P59" s="70" t="str">
        <f t="shared" si="73"/>
        <v/>
      </c>
      <c r="Q59" s="69"/>
      <c r="R59" s="62" t="str">
        <f t="shared" si="74"/>
        <v/>
      </c>
      <c r="S59" s="70" t="str">
        <f t="shared" si="75"/>
        <v/>
      </c>
      <c r="T59" s="69"/>
      <c r="U59" s="62" t="str">
        <f t="shared" si="76"/>
        <v/>
      </c>
      <c r="V59" s="70" t="str">
        <f t="shared" si="77"/>
        <v/>
      </c>
      <c r="W59" s="74" t="str">
        <f t="shared" si="90"/>
        <v/>
      </c>
      <c r="X59" s="62" t="str">
        <f t="shared" si="78"/>
        <v/>
      </c>
      <c r="Y59" s="70" t="str">
        <f t="shared" si="79"/>
        <v/>
      </c>
      <c r="Z59" s="69"/>
      <c r="AA59" s="62" t="str">
        <f t="shared" si="80"/>
        <v/>
      </c>
      <c r="AB59" s="70" t="str">
        <f t="shared" si="81"/>
        <v/>
      </c>
      <c r="AC59" s="69"/>
      <c r="AD59" s="62" t="str">
        <f t="shared" si="82"/>
        <v/>
      </c>
      <c r="AE59" s="70" t="str">
        <f t="shared" si="83"/>
        <v/>
      </c>
      <c r="AF59" s="69"/>
      <c r="AG59" s="62" t="str">
        <f t="shared" si="84"/>
        <v/>
      </c>
      <c r="AH59" s="70" t="str">
        <f t="shared" si="85"/>
        <v/>
      </c>
      <c r="AI59" s="74" t="str">
        <f t="shared" si="91"/>
        <v/>
      </c>
      <c r="AJ59" s="62" t="str">
        <f t="shared" si="92"/>
        <v/>
      </c>
      <c r="AK59" s="70" t="str">
        <f t="shared" si="86"/>
        <v/>
      </c>
      <c r="AL59" s="69"/>
      <c r="AM59" s="62" t="str">
        <f t="shared" si="87"/>
        <v/>
      </c>
      <c r="AN59" s="70" t="str">
        <f t="shared" si="88"/>
        <v/>
      </c>
    </row>
    <row r="60" spans="1:46" ht="18" customHeight="1" x14ac:dyDescent="0.2">
      <c r="A60" s="77" t="str">
        <f>IF($C$9="Data Not Entered On Set-Up Worksheet","",IF(OR(VLOOKUP($C$9,County_Lookup,9,FALSE)="",VLOOKUP($C$9,County_Lookup,9,FALSE)=0),"",VLOOKUP($C$9,County_Lookup,9,FALSE)))</f>
        <v/>
      </c>
      <c r="B60" s="69"/>
      <c r="C60" s="62" t="str">
        <f t="shared" si="64"/>
        <v/>
      </c>
      <c r="D60" s="70" t="str">
        <f t="shared" si="65"/>
        <v/>
      </c>
      <c r="E60" s="69"/>
      <c r="F60" s="62" t="str">
        <f t="shared" si="66"/>
        <v/>
      </c>
      <c r="G60" s="70" t="str">
        <f t="shared" si="67"/>
        <v/>
      </c>
      <c r="H60" s="69"/>
      <c r="I60" s="62" t="str">
        <f t="shared" si="68"/>
        <v/>
      </c>
      <c r="J60" s="70" t="str">
        <f t="shared" si="69"/>
        <v/>
      </c>
      <c r="K60" s="74" t="str">
        <f t="shared" si="89"/>
        <v/>
      </c>
      <c r="L60" s="62" t="str">
        <f t="shared" si="70"/>
        <v/>
      </c>
      <c r="M60" s="70" t="str">
        <f t="shared" si="71"/>
        <v/>
      </c>
      <c r="N60" s="69"/>
      <c r="O60" s="62" t="str">
        <f t="shared" si="72"/>
        <v/>
      </c>
      <c r="P60" s="70" t="str">
        <f t="shared" si="73"/>
        <v/>
      </c>
      <c r="Q60" s="69"/>
      <c r="R60" s="62" t="str">
        <f t="shared" si="74"/>
        <v/>
      </c>
      <c r="S60" s="70" t="str">
        <f t="shared" si="75"/>
        <v/>
      </c>
      <c r="T60" s="69"/>
      <c r="U60" s="62" t="str">
        <f t="shared" si="76"/>
        <v/>
      </c>
      <c r="V60" s="70" t="str">
        <f t="shared" si="77"/>
        <v/>
      </c>
      <c r="W60" s="74" t="str">
        <f t="shared" si="90"/>
        <v/>
      </c>
      <c r="X60" s="62" t="str">
        <f t="shared" si="78"/>
        <v/>
      </c>
      <c r="Y60" s="70" t="str">
        <f t="shared" si="79"/>
        <v/>
      </c>
      <c r="Z60" s="69"/>
      <c r="AA60" s="62" t="str">
        <f t="shared" si="80"/>
        <v/>
      </c>
      <c r="AB60" s="70" t="str">
        <f t="shared" si="81"/>
        <v/>
      </c>
      <c r="AC60" s="69"/>
      <c r="AD60" s="62" t="str">
        <f t="shared" si="82"/>
        <v/>
      </c>
      <c r="AE60" s="70" t="str">
        <f t="shared" si="83"/>
        <v/>
      </c>
      <c r="AF60" s="69"/>
      <c r="AG60" s="62" t="str">
        <f t="shared" si="84"/>
        <v/>
      </c>
      <c r="AH60" s="70" t="str">
        <f t="shared" si="85"/>
        <v/>
      </c>
      <c r="AI60" s="74" t="str">
        <f t="shared" si="91"/>
        <v/>
      </c>
      <c r="AJ60" s="62" t="str">
        <f t="shared" si="92"/>
        <v/>
      </c>
      <c r="AK60" s="70" t="str">
        <f t="shared" si="86"/>
        <v/>
      </c>
      <c r="AL60" s="69"/>
      <c r="AM60" s="62" t="str">
        <f t="shared" si="87"/>
        <v/>
      </c>
      <c r="AN60" s="70" t="str">
        <f t="shared" si="88"/>
        <v/>
      </c>
    </row>
    <row r="61" spans="1:46" ht="18" customHeight="1" x14ac:dyDescent="0.2">
      <c r="A61" s="77" t="str">
        <f>IF($C$9="Data Not Entered On Set-Up Worksheet","",IF(OR(VLOOKUP($C$9,County_Lookup,10,FALSE)="",VLOOKUP($C$9,County_Lookup,10,FALSE)=0),"",VLOOKUP($C$9,County_Lookup,10,FALSE)))</f>
        <v/>
      </c>
      <c r="B61" s="69"/>
      <c r="C61" s="62" t="str">
        <f t="shared" si="64"/>
        <v/>
      </c>
      <c r="D61" s="70" t="str">
        <f t="shared" si="65"/>
        <v/>
      </c>
      <c r="E61" s="69"/>
      <c r="F61" s="62" t="str">
        <f t="shared" si="66"/>
        <v/>
      </c>
      <c r="G61" s="70" t="str">
        <f t="shared" si="67"/>
        <v/>
      </c>
      <c r="H61" s="69"/>
      <c r="I61" s="62" t="str">
        <f t="shared" si="68"/>
        <v/>
      </c>
      <c r="J61" s="70" t="str">
        <f t="shared" si="69"/>
        <v/>
      </c>
      <c r="K61" s="74" t="str">
        <f t="shared" si="89"/>
        <v/>
      </c>
      <c r="L61" s="62" t="str">
        <f t="shared" si="70"/>
        <v/>
      </c>
      <c r="M61" s="70" t="str">
        <f t="shared" si="71"/>
        <v/>
      </c>
      <c r="N61" s="69"/>
      <c r="O61" s="62" t="str">
        <f t="shared" si="72"/>
        <v/>
      </c>
      <c r="P61" s="70" t="str">
        <f t="shared" si="73"/>
        <v/>
      </c>
      <c r="Q61" s="69"/>
      <c r="R61" s="62" t="str">
        <f t="shared" si="74"/>
        <v/>
      </c>
      <c r="S61" s="70" t="str">
        <f t="shared" si="75"/>
        <v/>
      </c>
      <c r="T61" s="69"/>
      <c r="U61" s="62" t="str">
        <f t="shared" si="76"/>
        <v/>
      </c>
      <c r="V61" s="70" t="str">
        <f t="shared" si="77"/>
        <v/>
      </c>
      <c r="W61" s="74" t="str">
        <f t="shared" si="90"/>
        <v/>
      </c>
      <c r="X61" s="62" t="str">
        <f t="shared" si="78"/>
        <v/>
      </c>
      <c r="Y61" s="70" t="str">
        <f t="shared" si="79"/>
        <v/>
      </c>
      <c r="Z61" s="69"/>
      <c r="AA61" s="62" t="str">
        <f t="shared" si="80"/>
        <v/>
      </c>
      <c r="AB61" s="70" t="str">
        <f t="shared" si="81"/>
        <v/>
      </c>
      <c r="AC61" s="69"/>
      <c r="AD61" s="62" t="str">
        <f t="shared" si="82"/>
        <v/>
      </c>
      <c r="AE61" s="70" t="str">
        <f t="shared" si="83"/>
        <v/>
      </c>
      <c r="AF61" s="69"/>
      <c r="AG61" s="62" t="str">
        <f t="shared" si="84"/>
        <v/>
      </c>
      <c r="AH61" s="70" t="str">
        <f t="shared" si="85"/>
        <v/>
      </c>
      <c r="AI61" s="74" t="str">
        <f t="shared" si="91"/>
        <v/>
      </c>
      <c r="AJ61" s="62" t="str">
        <f t="shared" si="92"/>
        <v/>
      </c>
      <c r="AK61" s="70" t="str">
        <f t="shared" si="86"/>
        <v/>
      </c>
      <c r="AL61" s="69"/>
      <c r="AM61" s="62" t="str">
        <f t="shared" si="87"/>
        <v/>
      </c>
      <c r="AN61" s="70" t="str">
        <f t="shared" si="88"/>
        <v/>
      </c>
    </row>
    <row r="62" spans="1:46" ht="18" customHeight="1" x14ac:dyDescent="0.2">
      <c r="A62" s="77" t="str">
        <f>IF($C$9="Data Not Entered On Set-Up Worksheet","",IF(OR(VLOOKUP($C$9,County_Lookup,11,FALSE)="",VLOOKUP($C$9,County_Lookup,11,FALSE)=0),"",VLOOKUP($C$9,County_Lookup,11,FALSE)))</f>
        <v/>
      </c>
      <c r="B62" s="69"/>
      <c r="C62" s="62" t="str">
        <f t="shared" si="64"/>
        <v/>
      </c>
      <c r="D62" s="70" t="str">
        <f t="shared" si="65"/>
        <v/>
      </c>
      <c r="E62" s="69"/>
      <c r="F62" s="62" t="str">
        <f t="shared" si="66"/>
        <v/>
      </c>
      <c r="G62" s="70" t="str">
        <f t="shared" si="67"/>
        <v/>
      </c>
      <c r="H62" s="69"/>
      <c r="I62" s="62" t="str">
        <f t="shared" si="68"/>
        <v/>
      </c>
      <c r="J62" s="70" t="str">
        <f t="shared" si="69"/>
        <v/>
      </c>
      <c r="K62" s="74" t="str">
        <f t="shared" si="89"/>
        <v/>
      </c>
      <c r="L62" s="62" t="str">
        <f t="shared" si="70"/>
        <v/>
      </c>
      <c r="M62" s="70" t="str">
        <f t="shared" si="71"/>
        <v/>
      </c>
      <c r="N62" s="69"/>
      <c r="O62" s="62" t="str">
        <f t="shared" si="72"/>
        <v/>
      </c>
      <c r="P62" s="70" t="str">
        <f t="shared" si="73"/>
        <v/>
      </c>
      <c r="Q62" s="69"/>
      <c r="R62" s="62" t="str">
        <f t="shared" si="74"/>
        <v/>
      </c>
      <c r="S62" s="70" t="str">
        <f t="shared" si="75"/>
        <v/>
      </c>
      <c r="T62" s="69"/>
      <c r="U62" s="62" t="str">
        <f t="shared" si="76"/>
        <v/>
      </c>
      <c r="V62" s="70" t="str">
        <f t="shared" si="77"/>
        <v/>
      </c>
      <c r="W62" s="74" t="str">
        <f t="shared" si="90"/>
        <v/>
      </c>
      <c r="X62" s="62" t="str">
        <f t="shared" si="78"/>
        <v/>
      </c>
      <c r="Y62" s="70" t="str">
        <f t="shared" si="79"/>
        <v/>
      </c>
      <c r="Z62" s="69"/>
      <c r="AA62" s="62" t="str">
        <f t="shared" si="80"/>
        <v/>
      </c>
      <c r="AB62" s="70" t="str">
        <f t="shared" si="81"/>
        <v/>
      </c>
      <c r="AC62" s="69"/>
      <c r="AD62" s="62" t="str">
        <f t="shared" si="82"/>
        <v/>
      </c>
      <c r="AE62" s="70" t="str">
        <f t="shared" si="83"/>
        <v/>
      </c>
      <c r="AF62" s="69"/>
      <c r="AG62" s="62" t="str">
        <f t="shared" si="84"/>
        <v/>
      </c>
      <c r="AH62" s="70" t="str">
        <f t="shared" si="85"/>
        <v/>
      </c>
      <c r="AI62" s="74" t="str">
        <f t="shared" si="91"/>
        <v/>
      </c>
      <c r="AJ62" s="62" t="str">
        <f t="shared" si="92"/>
        <v/>
      </c>
      <c r="AK62" s="70" t="str">
        <f t="shared" si="86"/>
        <v/>
      </c>
      <c r="AL62" s="69"/>
      <c r="AM62" s="62" t="str">
        <f t="shared" si="87"/>
        <v/>
      </c>
      <c r="AN62" s="70" t="str">
        <f t="shared" si="88"/>
        <v/>
      </c>
    </row>
    <row r="63" spans="1:46" ht="18" customHeight="1" x14ac:dyDescent="0.2">
      <c r="A63" s="77" t="str">
        <f>IF($C$9="Data Not Entered On Set-Up Worksheet","",IF(OR(VLOOKUP($C$9,County_Lookup,12,FALSE)="",VLOOKUP($C$9,County_Lookup,12,FALSE)=0),"",VLOOKUP($C$9,County_Lookup,12,FALSE)))</f>
        <v/>
      </c>
      <c r="B63" s="69"/>
      <c r="C63" s="62" t="str">
        <f t="shared" si="64"/>
        <v/>
      </c>
      <c r="D63" s="70" t="str">
        <f t="shared" si="65"/>
        <v/>
      </c>
      <c r="E63" s="69"/>
      <c r="F63" s="62" t="str">
        <f t="shared" si="66"/>
        <v/>
      </c>
      <c r="G63" s="70" t="str">
        <f t="shared" si="67"/>
        <v/>
      </c>
      <c r="H63" s="69"/>
      <c r="I63" s="62" t="str">
        <f t="shared" si="68"/>
        <v/>
      </c>
      <c r="J63" s="70" t="str">
        <f t="shared" si="69"/>
        <v/>
      </c>
      <c r="K63" s="74" t="str">
        <f t="shared" si="89"/>
        <v/>
      </c>
      <c r="L63" s="62" t="str">
        <f t="shared" si="70"/>
        <v/>
      </c>
      <c r="M63" s="70" t="str">
        <f t="shared" si="71"/>
        <v/>
      </c>
      <c r="N63" s="69"/>
      <c r="O63" s="62" t="str">
        <f t="shared" si="72"/>
        <v/>
      </c>
      <c r="P63" s="70" t="str">
        <f t="shared" si="73"/>
        <v/>
      </c>
      <c r="Q63" s="69"/>
      <c r="R63" s="62" t="str">
        <f t="shared" si="74"/>
        <v/>
      </c>
      <c r="S63" s="70" t="str">
        <f t="shared" si="75"/>
        <v/>
      </c>
      <c r="T63" s="69"/>
      <c r="U63" s="62" t="str">
        <f t="shared" si="76"/>
        <v/>
      </c>
      <c r="V63" s="70" t="str">
        <f t="shared" si="77"/>
        <v/>
      </c>
      <c r="W63" s="74" t="str">
        <f t="shared" si="90"/>
        <v/>
      </c>
      <c r="X63" s="62" t="str">
        <f t="shared" si="78"/>
        <v/>
      </c>
      <c r="Y63" s="70" t="str">
        <f t="shared" si="79"/>
        <v/>
      </c>
      <c r="Z63" s="69"/>
      <c r="AA63" s="62" t="str">
        <f t="shared" si="80"/>
        <v/>
      </c>
      <c r="AB63" s="70" t="str">
        <f t="shared" si="81"/>
        <v/>
      </c>
      <c r="AC63" s="69"/>
      <c r="AD63" s="62" t="str">
        <f t="shared" si="82"/>
        <v/>
      </c>
      <c r="AE63" s="70" t="str">
        <f t="shared" si="83"/>
        <v/>
      </c>
      <c r="AF63" s="69"/>
      <c r="AG63" s="62" t="str">
        <f t="shared" si="84"/>
        <v/>
      </c>
      <c r="AH63" s="70" t="str">
        <f t="shared" si="85"/>
        <v/>
      </c>
      <c r="AI63" s="74" t="str">
        <f t="shared" si="91"/>
        <v/>
      </c>
      <c r="AJ63" s="62" t="str">
        <f t="shared" si="92"/>
        <v/>
      </c>
      <c r="AK63" s="70" t="str">
        <f t="shared" si="86"/>
        <v/>
      </c>
      <c r="AL63" s="69"/>
      <c r="AM63" s="62" t="str">
        <f t="shared" si="87"/>
        <v/>
      </c>
      <c r="AN63" s="70" t="str">
        <f t="shared" si="88"/>
        <v/>
      </c>
    </row>
    <row r="64" spans="1:46" ht="18" customHeight="1" x14ac:dyDescent="0.2">
      <c r="A64" s="77" t="str">
        <f>IF($C$9="Data Not Entered On Set-Up Worksheet","",IF(OR(VLOOKUP($C$9,County_Lookup,13,FALSE)="",VLOOKUP($C$9,County_Lookup,13,FALSE)=0),"",VLOOKUP($C$9,County_Lookup,13,FALSE)))</f>
        <v/>
      </c>
      <c r="B64" s="69"/>
      <c r="C64" s="62" t="str">
        <f t="shared" si="64"/>
        <v/>
      </c>
      <c r="D64" s="70" t="str">
        <f t="shared" si="65"/>
        <v/>
      </c>
      <c r="E64" s="69"/>
      <c r="F64" s="62" t="str">
        <f t="shared" si="66"/>
        <v/>
      </c>
      <c r="G64" s="70" t="str">
        <f t="shared" si="67"/>
        <v/>
      </c>
      <c r="H64" s="69"/>
      <c r="I64" s="62" t="str">
        <f t="shared" si="68"/>
        <v/>
      </c>
      <c r="J64" s="70" t="str">
        <f t="shared" si="69"/>
        <v/>
      </c>
      <c r="K64" s="74" t="str">
        <f t="shared" si="89"/>
        <v/>
      </c>
      <c r="L64" s="62" t="str">
        <f t="shared" si="70"/>
        <v/>
      </c>
      <c r="M64" s="70" t="str">
        <f t="shared" si="71"/>
        <v/>
      </c>
      <c r="N64" s="69"/>
      <c r="O64" s="62" t="str">
        <f t="shared" si="72"/>
        <v/>
      </c>
      <c r="P64" s="70" t="str">
        <f t="shared" si="73"/>
        <v/>
      </c>
      <c r="Q64" s="69"/>
      <c r="R64" s="62" t="str">
        <f t="shared" si="74"/>
        <v/>
      </c>
      <c r="S64" s="70" t="str">
        <f t="shared" si="75"/>
        <v/>
      </c>
      <c r="T64" s="69"/>
      <c r="U64" s="62" t="str">
        <f t="shared" si="76"/>
        <v/>
      </c>
      <c r="V64" s="70" t="str">
        <f t="shared" si="77"/>
        <v/>
      </c>
      <c r="W64" s="74" t="str">
        <f t="shared" si="90"/>
        <v/>
      </c>
      <c r="X64" s="62" t="str">
        <f t="shared" si="78"/>
        <v/>
      </c>
      <c r="Y64" s="70" t="str">
        <f t="shared" si="79"/>
        <v/>
      </c>
      <c r="Z64" s="69"/>
      <c r="AA64" s="62" t="str">
        <f t="shared" si="80"/>
        <v/>
      </c>
      <c r="AB64" s="70" t="str">
        <f t="shared" si="81"/>
        <v/>
      </c>
      <c r="AC64" s="69"/>
      <c r="AD64" s="62" t="str">
        <f t="shared" si="82"/>
        <v/>
      </c>
      <c r="AE64" s="70" t="str">
        <f t="shared" si="83"/>
        <v/>
      </c>
      <c r="AF64" s="69"/>
      <c r="AG64" s="62" t="str">
        <f t="shared" si="84"/>
        <v/>
      </c>
      <c r="AH64" s="70" t="str">
        <f t="shared" si="85"/>
        <v/>
      </c>
      <c r="AI64" s="74" t="str">
        <f t="shared" si="91"/>
        <v/>
      </c>
      <c r="AJ64" s="62" t="str">
        <f t="shared" si="92"/>
        <v/>
      </c>
      <c r="AK64" s="70" t="str">
        <f t="shared" si="86"/>
        <v/>
      </c>
      <c r="AL64" s="69"/>
      <c r="AM64" s="62" t="str">
        <f t="shared" si="87"/>
        <v/>
      </c>
      <c r="AN64" s="70" t="str">
        <f t="shared" si="88"/>
        <v/>
      </c>
    </row>
    <row r="65" spans="1:40" ht="18" customHeight="1" x14ac:dyDescent="0.2">
      <c r="A65" s="77" t="str">
        <f>IF($C$9="Data Not Entered On Set-Up Worksheet","",IF(OR(VLOOKUP($C$9,County_Lookup,14,FALSE)="",VLOOKUP($C$9,County_Lookup,14,FALSE)=0),"",VLOOKUP($C$9,County_Lookup,14,FALSE)))</f>
        <v/>
      </c>
      <c r="B65" s="69"/>
      <c r="C65" s="62" t="str">
        <f t="shared" si="64"/>
        <v/>
      </c>
      <c r="D65" s="70" t="str">
        <f t="shared" si="65"/>
        <v/>
      </c>
      <c r="E65" s="69"/>
      <c r="F65" s="62" t="str">
        <f t="shared" si="66"/>
        <v/>
      </c>
      <c r="G65" s="70" t="str">
        <f t="shared" si="67"/>
        <v/>
      </c>
      <c r="H65" s="69"/>
      <c r="I65" s="62" t="str">
        <f t="shared" si="68"/>
        <v/>
      </c>
      <c r="J65" s="70" t="str">
        <f t="shared" si="69"/>
        <v/>
      </c>
      <c r="K65" s="74" t="str">
        <f t="shared" si="89"/>
        <v/>
      </c>
      <c r="L65" s="62" t="str">
        <f t="shared" si="70"/>
        <v/>
      </c>
      <c r="M65" s="70" t="str">
        <f t="shared" si="71"/>
        <v/>
      </c>
      <c r="N65" s="69"/>
      <c r="O65" s="62" t="str">
        <f t="shared" si="72"/>
        <v/>
      </c>
      <c r="P65" s="70" t="str">
        <f t="shared" si="73"/>
        <v/>
      </c>
      <c r="Q65" s="69"/>
      <c r="R65" s="62" t="str">
        <f t="shared" si="74"/>
        <v/>
      </c>
      <c r="S65" s="70" t="str">
        <f t="shared" si="75"/>
        <v/>
      </c>
      <c r="T65" s="69"/>
      <c r="U65" s="62" t="str">
        <f t="shared" si="76"/>
        <v/>
      </c>
      <c r="V65" s="70" t="str">
        <f t="shared" si="77"/>
        <v/>
      </c>
      <c r="W65" s="74" t="str">
        <f t="shared" si="90"/>
        <v/>
      </c>
      <c r="X65" s="62" t="str">
        <f t="shared" si="78"/>
        <v/>
      </c>
      <c r="Y65" s="70" t="str">
        <f t="shared" si="79"/>
        <v/>
      </c>
      <c r="Z65" s="69"/>
      <c r="AA65" s="62" t="str">
        <f t="shared" si="80"/>
        <v/>
      </c>
      <c r="AB65" s="70" t="str">
        <f t="shared" si="81"/>
        <v/>
      </c>
      <c r="AC65" s="69"/>
      <c r="AD65" s="62" t="str">
        <f t="shared" si="82"/>
        <v/>
      </c>
      <c r="AE65" s="70" t="str">
        <f t="shared" si="83"/>
        <v/>
      </c>
      <c r="AF65" s="69"/>
      <c r="AG65" s="62" t="str">
        <f t="shared" si="84"/>
        <v/>
      </c>
      <c r="AH65" s="70" t="str">
        <f t="shared" si="85"/>
        <v/>
      </c>
      <c r="AI65" s="74" t="str">
        <f t="shared" si="91"/>
        <v/>
      </c>
      <c r="AJ65" s="62" t="str">
        <f t="shared" si="92"/>
        <v/>
      </c>
      <c r="AK65" s="70" t="str">
        <f t="shared" si="86"/>
        <v/>
      </c>
      <c r="AL65" s="69"/>
      <c r="AM65" s="62" t="str">
        <f t="shared" si="87"/>
        <v/>
      </c>
      <c r="AN65" s="70" t="str">
        <f t="shared" si="88"/>
        <v/>
      </c>
    </row>
    <row r="66" spans="1:40" ht="18" customHeight="1" x14ac:dyDescent="0.2">
      <c r="A66" s="76" t="str">
        <f>IF($C$9="Data Not Entered On Set-Up Worksheet","",IF(OR(VLOOKUP($C$9,County_Lookup,15,FALSE)="",VLOOKUP($C$9,County_Lookup,15,FALSE)=0),"",VLOOKUP($C$9,County_Lookup,15,FALSE)))</f>
        <v/>
      </c>
      <c r="B66" s="69"/>
      <c r="C66" s="62" t="str">
        <f t="shared" si="64"/>
        <v/>
      </c>
      <c r="D66" s="70" t="str">
        <f t="shared" si="65"/>
        <v/>
      </c>
      <c r="E66" s="69"/>
      <c r="F66" s="62" t="str">
        <f t="shared" si="66"/>
        <v/>
      </c>
      <c r="G66" s="70" t="str">
        <f t="shared" si="67"/>
        <v/>
      </c>
      <c r="H66" s="69"/>
      <c r="I66" s="62" t="str">
        <f t="shared" si="68"/>
        <v/>
      </c>
      <c r="J66" s="70" t="str">
        <f t="shared" si="69"/>
        <v/>
      </c>
      <c r="K66" s="74" t="str">
        <f t="shared" si="89"/>
        <v/>
      </c>
      <c r="L66" s="62" t="str">
        <f t="shared" si="70"/>
        <v/>
      </c>
      <c r="M66" s="70" t="str">
        <f t="shared" si="71"/>
        <v/>
      </c>
      <c r="N66" s="69"/>
      <c r="O66" s="62" t="str">
        <f t="shared" si="72"/>
        <v/>
      </c>
      <c r="P66" s="70" t="str">
        <f t="shared" si="73"/>
        <v/>
      </c>
      <c r="Q66" s="69"/>
      <c r="R66" s="62" t="str">
        <f t="shared" si="74"/>
        <v/>
      </c>
      <c r="S66" s="70" t="str">
        <f t="shared" si="75"/>
        <v/>
      </c>
      <c r="T66" s="69"/>
      <c r="U66" s="62" t="str">
        <f t="shared" si="76"/>
        <v/>
      </c>
      <c r="V66" s="70" t="str">
        <f t="shared" si="77"/>
        <v/>
      </c>
      <c r="W66" s="74" t="str">
        <f t="shared" si="90"/>
        <v/>
      </c>
      <c r="X66" s="62" t="str">
        <f t="shared" si="78"/>
        <v/>
      </c>
      <c r="Y66" s="70" t="str">
        <f t="shared" si="79"/>
        <v/>
      </c>
      <c r="Z66" s="69"/>
      <c r="AA66" s="62" t="str">
        <f t="shared" si="80"/>
        <v/>
      </c>
      <c r="AB66" s="70" t="str">
        <f t="shared" si="81"/>
        <v/>
      </c>
      <c r="AC66" s="69"/>
      <c r="AD66" s="62" t="str">
        <f t="shared" si="82"/>
        <v/>
      </c>
      <c r="AE66" s="70" t="str">
        <f t="shared" si="83"/>
        <v/>
      </c>
      <c r="AF66" s="69"/>
      <c r="AG66" s="62" t="str">
        <f t="shared" si="84"/>
        <v/>
      </c>
      <c r="AH66" s="70" t="str">
        <f t="shared" si="85"/>
        <v/>
      </c>
      <c r="AI66" s="74" t="str">
        <f t="shared" si="91"/>
        <v/>
      </c>
      <c r="AJ66" s="62" t="str">
        <f t="shared" si="92"/>
        <v/>
      </c>
      <c r="AK66" s="70" t="str">
        <f t="shared" si="86"/>
        <v/>
      </c>
      <c r="AL66" s="69"/>
      <c r="AM66" s="62" t="str">
        <f t="shared" si="87"/>
        <v/>
      </c>
      <c r="AN66" s="70" t="str">
        <f t="shared" si="88"/>
        <v/>
      </c>
    </row>
    <row r="67" spans="1:40" ht="18" customHeight="1" x14ac:dyDescent="0.2">
      <c r="A67" s="77" t="str">
        <f>IF($C$9="Data Not Entered On Set-Up Worksheet","",IF(OR(VLOOKUP($C$9,County_Lookup,16,FALSE)="",VLOOKUP($C$9,County_Lookup,16,FALSE)=0),"",VLOOKUP($C$9,County_Lookup,16,FALSE)))</f>
        <v/>
      </c>
      <c r="B67" s="69"/>
      <c r="C67" s="62" t="str">
        <f t="shared" si="64"/>
        <v/>
      </c>
      <c r="D67" s="70" t="str">
        <f t="shared" si="65"/>
        <v/>
      </c>
      <c r="E67" s="69"/>
      <c r="F67" s="62" t="str">
        <f t="shared" si="66"/>
        <v/>
      </c>
      <c r="G67" s="70" t="str">
        <f t="shared" si="67"/>
        <v/>
      </c>
      <c r="H67" s="69"/>
      <c r="I67" s="62" t="str">
        <f t="shared" si="68"/>
        <v/>
      </c>
      <c r="J67" s="70" t="str">
        <f t="shared" si="69"/>
        <v/>
      </c>
      <c r="K67" s="74" t="str">
        <f t="shared" si="89"/>
        <v/>
      </c>
      <c r="L67" s="62" t="str">
        <f t="shared" si="70"/>
        <v/>
      </c>
      <c r="M67" s="70" t="str">
        <f t="shared" si="71"/>
        <v/>
      </c>
      <c r="N67" s="69"/>
      <c r="O67" s="62" t="str">
        <f t="shared" si="72"/>
        <v/>
      </c>
      <c r="P67" s="70" t="str">
        <f t="shared" si="73"/>
        <v/>
      </c>
      <c r="Q67" s="69"/>
      <c r="R67" s="62" t="str">
        <f t="shared" si="74"/>
        <v/>
      </c>
      <c r="S67" s="70" t="str">
        <f t="shared" si="75"/>
        <v/>
      </c>
      <c r="T67" s="69"/>
      <c r="U67" s="62" t="str">
        <f t="shared" si="76"/>
        <v/>
      </c>
      <c r="V67" s="70" t="str">
        <f t="shared" si="77"/>
        <v/>
      </c>
      <c r="W67" s="74" t="str">
        <f t="shared" si="90"/>
        <v/>
      </c>
      <c r="X67" s="62" t="str">
        <f t="shared" si="78"/>
        <v/>
      </c>
      <c r="Y67" s="70" t="str">
        <f t="shared" si="79"/>
        <v/>
      </c>
      <c r="Z67" s="69"/>
      <c r="AA67" s="62" t="str">
        <f t="shared" si="80"/>
        <v/>
      </c>
      <c r="AB67" s="70" t="str">
        <f t="shared" si="81"/>
        <v/>
      </c>
      <c r="AC67" s="69"/>
      <c r="AD67" s="62" t="str">
        <f t="shared" si="82"/>
        <v/>
      </c>
      <c r="AE67" s="70" t="str">
        <f t="shared" si="83"/>
        <v/>
      </c>
      <c r="AF67" s="69"/>
      <c r="AG67" s="62" t="str">
        <f t="shared" si="84"/>
        <v/>
      </c>
      <c r="AH67" s="70" t="str">
        <f t="shared" si="85"/>
        <v/>
      </c>
      <c r="AI67" s="74" t="str">
        <f t="shared" si="91"/>
        <v/>
      </c>
      <c r="AJ67" s="62" t="str">
        <f t="shared" si="92"/>
        <v/>
      </c>
      <c r="AK67" s="70" t="str">
        <f t="shared" si="86"/>
        <v/>
      </c>
      <c r="AL67" s="69"/>
      <c r="AM67" s="62" t="str">
        <f t="shared" si="87"/>
        <v/>
      </c>
      <c r="AN67" s="70" t="str">
        <f t="shared" si="88"/>
        <v/>
      </c>
    </row>
    <row r="68" spans="1:40" ht="18" customHeight="1" x14ac:dyDescent="0.2">
      <c r="A68" s="77" t="str">
        <f>IF($C$9="Data Not Entered On Set-Up Worksheet","",IF(OR(VLOOKUP($C$9,County_Lookup,17,FALSE)="",VLOOKUP($C$9,County_Lookup,17,FALSE)=0),"",VLOOKUP($C$9,County_Lookup,17,FALSE)))</f>
        <v/>
      </c>
      <c r="B68" s="69"/>
      <c r="C68" s="62" t="str">
        <f t="shared" si="64"/>
        <v/>
      </c>
      <c r="D68" s="70" t="str">
        <f t="shared" si="65"/>
        <v/>
      </c>
      <c r="E68" s="69"/>
      <c r="F68" s="62" t="str">
        <f t="shared" si="66"/>
        <v/>
      </c>
      <c r="G68" s="70" t="str">
        <f t="shared" si="67"/>
        <v/>
      </c>
      <c r="H68" s="69"/>
      <c r="I68" s="62" t="str">
        <f t="shared" si="68"/>
        <v/>
      </c>
      <c r="J68" s="70" t="str">
        <f t="shared" si="69"/>
        <v/>
      </c>
      <c r="K68" s="74" t="str">
        <f t="shared" si="89"/>
        <v/>
      </c>
      <c r="L68" s="62" t="str">
        <f t="shared" si="70"/>
        <v/>
      </c>
      <c r="M68" s="70" t="str">
        <f t="shared" si="71"/>
        <v/>
      </c>
      <c r="N68" s="69"/>
      <c r="O68" s="62" t="str">
        <f t="shared" si="72"/>
        <v/>
      </c>
      <c r="P68" s="70" t="str">
        <f t="shared" si="73"/>
        <v/>
      </c>
      <c r="Q68" s="69"/>
      <c r="R68" s="62" t="str">
        <f t="shared" si="74"/>
        <v/>
      </c>
      <c r="S68" s="70" t="str">
        <f t="shared" si="75"/>
        <v/>
      </c>
      <c r="T68" s="69"/>
      <c r="U68" s="62" t="str">
        <f t="shared" si="76"/>
        <v/>
      </c>
      <c r="V68" s="70" t="str">
        <f t="shared" si="77"/>
        <v/>
      </c>
      <c r="W68" s="74" t="str">
        <f t="shared" si="90"/>
        <v/>
      </c>
      <c r="X68" s="62" t="str">
        <f t="shared" si="78"/>
        <v/>
      </c>
      <c r="Y68" s="70" t="str">
        <f t="shared" si="79"/>
        <v/>
      </c>
      <c r="Z68" s="69"/>
      <c r="AA68" s="62" t="str">
        <f t="shared" si="80"/>
        <v/>
      </c>
      <c r="AB68" s="70" t="str">
        <f t="shared" si="81"/>
        <v/>
      </c>
      <c r="AC68" s="69"/>
      <c r="AD68" s="62" t="str">
        <f t="shared" si="82"/>
        <v/>
      </c>
      <c r="AE68" s="70" t="str">
        <f t="shared" si="83"/>
        <v/>
      </c>
      <c r="AF68" s="69"/>
      <c r="AG68" s="62" t="str">
        <f t="shared" si="84"/>
        <v/>
      </c>
      <c r="AH68" s="70" t="str">
        <f t="shared" si="85"/>
        <v/>
      </c>
      <c r="AI68" s="74" t="str">
        <f t="shared" si="91"/>
        <v/>
      </c>
      <c r="AJ68" s="62" t="str">
        <f t="shared" si="92"/>
        <v/>
      </c>
      <c r="AK68" s="70" t="str">
        <f t="shared" si="86"/>
        <v/>
      </c>
      <c r="AL68" s="69"/>
      <c r="AM68" s="62" t="str">
        <f t="shared" si="87"/>
        <v/>
      </c>
      <c r="AN68" s="70" t="str">
        <f t="shared" si="88"/>
        <v/>
      </c>
    </row>
    <row r="69" spans="1:40" ht="18" customHeight="1" x14ac:dyDescent="0.2">
      <c r="A69" s="77" t="str">
        <f>IF($C$9="Data Not Entered On Set-Up Worksheet","",IF(OR(VLOOKUP($C$9,County_Lookup,18,FALSE)="",VLOOKUP($C$9,County_Lookup,18,FALSE)=0),"",VLOOKUP($C$9,County_Lookup,18,FALSE)))</f>
        <v/>
      </c>
      <c r="B69" s="69"/>
      <c r="C69" s="62" t="str">
        <f t="shared" si="64"/>
        <v/>
      </c>
      <c r="D69" s="70" t="str">
        <f t="shared" si="65"/>
        <v/>
      </c>
      <c r="E69" s="69"/>
      <c r="F69" s="62" t="str">
        <f t="shared" si="66"/>
        <v/>
      </c>
      <c r="G69" s="70" t="str">
        <f t="shared" si="67"/>
        <v/>
      </c>
      <c r="H69" s="69"/>
      <c r="I69" s="62" t="str">
        <f t="shared" si="68"/>
        <v/>
      </c>
      <c r="J69" s="70" t="str">
        <f t="shared" si="69"/>
        <v/>
      </c>
      <c r="K69" s="74" t="str">
        <f t="shared" si="89"/>
        <v/>
      </c>
      <c r="L69" s="62" t="str">
        <f t="shared" si="70"/>
        <v/>
      </c>
      <c r="M69" s="70" t="str">
        <f t="shared" si="71"/>
        <v/>
      </c>
      <c r="N69" s="69"/>
      <c r="O69" s="62" t="str">
        <f t="shared" si="72"/>
        <v/>
      </c>
      <c r="P69" s="70" t="str">
        <f t="shared" si="73"/>
        <v/>
      </c>
      <c r="Q69" s="69"/>
      <c r="R69" s="62" t="str">
        <f t="shared" si="74"/>
        <v/>
      </c>
      <c r="S69" s="70" t="str">
        <f t="shared" si="75"/>
        <v/>
      </c>
      <c r="T69" s="69"/>
      <c r="U69" s="62" t="str">
        <f t="shared" si="76"/>
        <v/>
      </c>
      <c r="V69" s="70" t="str">
        <f t="shared" si="77"/>
        <v/>
      </c>
      <c r="W69" s="74" t="str">
        <f t="shared" si="90"/>
        <v/>
      </c>
      <c r="X69" s="62" t="str">
        <f t="shared" si="78"/>
        <v/>
      </c>
      <c r="Y69" s="70" t="str">
        <f t="shared" si="79"/>
        <v/>
      </c>
      <c r="Z69" s="69"/>
      <c r="AA69" s="62" t="str">
        <f t="shared" si="80"/>
        <v/>
      </c>
      <c r="AB69" s="70" t="str">
        <f t="shared" si="81"/>
        <v/>
      </c>
      <c r="AC69" s="69"/>
      <c r="AD69" s="62" t="str">
        <f t="shared" si="82"/>
        <v/>
      </c>
      <c r="AE69" s="70" t="str">
        <f t="shared" si="83"/>
        <v/>
      </c>
      <c r="AF69" s="69"/>
      <c r="AG69" s="62" t="str">
        <f t="shared" si="84"/>
        <v/>
      </c>
      <c r="AH69" s="70" t="str">
        <f t="shared" si="85"/>
        <v/>
      </c>
      <c r="AI69" s="74" t="str">
        <f t="shared" si="91"/>
        <v/>
      </c>
      <c r="AJ69" s="62" t="str">
        <f t="shared" si="92"/>
        <v/>
      </c>
      <c r="AK69" s="70" t="str">
        <f t="shared" si="86"/>
        <v/>
      </c>
      <c r="AL69" s="69"/>
      <c r="AM69" s="62" t="str">
        <f t="shared" si="87"/>
        <v/>
      </c>
      <c r="AN69" s="70" t="str">
        <f t="shared" si="88"/>
        <v/>
      </c>
    </row>
    <row r="70" spans="1:40" ht="18" customHeight="1" x14ac:dyDescent="0.2">
      <c r="A70" s="77" t="str">
        <f>IF($C$9="Data Not Entered On Set-Up Worksheet","",IF(OR(VLOOKUP($C$9,County_Lookup,19,FALSE)="",VLOOKUP($C$9,County_Lookup,19,FALSE)=0),"",VLOOKUP($C$9,County_Lookup,19,FALSE)))</f>
        <v/>
      </c>
      <c r="B70" s="69"/>
      <c r="C70" s="62" t="str">
        <f t="shared" si="64"/>
        <v/>
      </c>
      <c r="D70" s="70" t="str">
        <f t="shared" si="65"/>
        <v/>
      </c>
      <c r="E70" s="69"/>
      <c r="F70" s="62" t="str">
        <f t="shared" si="66"/>
        <v/>
      </c>
      <c r="G70" s="70" t="str">
        <f t="shared" si="67"/>
        <v/>
      </c>
      <c r="H70" s="69"/>
      <c r="I70" s="62" t="str">
        <f t="shared" si="68"/>
        <v/>
      </c>
      <c r="J70" s="70" t="str">
        <f t="shared" si="69"/>
        <v/>
      </c>
      <c r="K70" s="74" t="str">
        <f t="shared" si="89"/>
        <v/>
      </c>
      <c r="L70" s="62" t="str">
        <f t="shared" si="70"/>
        <v/>
      </c>
      <c r="M70" s="70" t="str">
        <f t="shared" si="71"/>
        <v/>
      </c>
      <c r="N70" s="69"/>
      <c r="O70" s="62" t="str">
        <f t="shared" si="72"/>
        <v/>
      </c>
      <c r="P70" s="70" t="str">
        <f t="shared" si="73"/>
        <v/>
      </c>
      <c r="Q70" s="69"/>
      <c r="R70" s="62" t="str">
        <f t="shared" si="74"/>
        <v/>
      </c>
      <c r="S70" s="70" t="str">
        <f t="shared" si="75"/>
        <v/>
      </c>
      <c r="T70" s="69"/>
      <c r="U70" s="62" t="str">
        <f t="shared" si="76"/>
        <v/>
      </c>
      <c r="V70" s="70" t="str">
        <f t="shared" si="77"/>
        <v/>
      </c>
      <c r="W70" s="74" t="str">
        <f t="shared" si="90"/>
        <v/>
      </c>
      <c r="X70" s="62" t="str">
        <f t="shared" si="78"/>
        <v/>
      </c>
      <c r="Y70" s="70" t="str">
        <f t="shared" si="79"/>
        <v/>
      </c>
      <c r="Z70" s="69"/>
      <c r="AA70" s="62" t="str">
        <f t="shared" si="80"/>
        <v/>
      </c>
      <c r="AB70" s="70" t="str">
        <f t="shared" si="81"/>
        <v/>
      </c>
      <c r="AC70" s="69"/>
      <c r="AD70" s="62" t="str">
        <f t="shared" si="82"/>
        <v/>
      </c>
      <c r="AE70" s="70" t="str">
        <f t="shared" si="83"/>
        <v/>
      </c>
      <c r="AF70" s="69"/>
      <c r="AG70" s="62" t="str">
        <f t="shared" si="84"/>
        <v/>
      </c>
      <c r="AH70" s="70" t="str">
        <f t="shared" si="85"/>
        <v/>
      </c>
      <c r="AI70" s="74" t="str">
        <f t="shared" si="91"/>
        <v/>
      </c>
      <c r="AJ70" s="62" t="str">
        <f t="shared" si="92"/>
        <v/>
      </c>
      <c r="AK70" s="70" t="str">
        <f t="shared" si="86"/>
        <v/>
      </c>
      <c r="AL70" s="69"/>
      <c r="AM70" s="62" t="str">
        <f t="shared" si="87"/>
        <v/>
      </c>
      <c r="AN70" s="70" t="str">
        <f t="shared" si="88"/>
        <v/>
      </c>
    </row>
    <row r="71" spans="1:40" ht="18" customHeight="1" x14ac:dyDescent="0.2">
      <c r="A71" s="77" t="str">
        <f>IF($C$9="Data Not Entered On Set-Up Worksheet","",IF(OR(VLOOKUP($C$9,County_Lookup,20,FALSE)="",VLOOKUP($C$9,County_Lookup,20,FALSE)=0),"",VLOOKUP($C$9,County_Lookup,20,FALSE)))</f>
        <v/>
      </c>
      <c r="B71" s="69"/>
      <c r="C71" s="62" t="str">
        <f t="shared" si="64"/>
        <v/>
      </c>
      <c r="D71" s="70" t="str">
        <f t="shared" si="65"/>
        <v/>
      </c>
      <c r="E71" s="69"/>
      <c r="F71" s="62" t="str">
        <f t="shared" si="66"/>
        <v/>
      </c>
      <c r="G71" s="70" t="str">
        <f t="shared" si="67"/>
        <v/>
      </c>
      <c r="H71" s="69"/>
      <c r="I71" s="62" t="str">
        <f t="shared" si="68"/>
        <v/>
      </c>
      <c r="J71" s="70" t="str">
        <f t="shared" si="69"/>
        <v/>
      </c>
      <c r="K71" s="74" t="str">
        <f t="shared" si="89"/>
        <v/>
      </c>
      <c r="L71" s="62" t="str">
        <f t="shared" si="70"/>
        <v/>
      </c>
      <c r="M71" s="70" t="str">
        <f t="shared" si="71"/>
        <v/>
      </c>
      <c r="N71" s="69"/>
      <c r="O71" s="62" t="str">
        <f t="shared" si="72"/>
        <v/>
      </c>
      <c r="P71" s="70" t="str">
        <f t="shared" si="73"/>
        <v/>
      </c>
      <c r="Q71" s="69"/>
      <c r="R71" s="62" t="str">
        <f t="shared" si="74"/>
        <v/>
      </c>
      <c r="S71" s="70" t="str">
        <f t="shared" si="75"/>
        <v/>
      </c>
      <c r="T71" s="69"/>
      <c r="U71" s="62" t="str">
        <f t="shared" si="76"/>
        <v/>
      </c>
      <c r="V71" s="70" t="str">
        <f t="shared" si="77"/>
        <v/>
      </c>
      <c r="W71" s="74" t="str">
        <f t="shared" si="90"/>
        <v/>
      </c>
      <c r="X71" s="62" t="str">
        <f t="shared" si="78"/>
        <v/>
      </c>
      <c r="Y71" s="70" t="str">
        <f t="shared" si="79"/>
        <v/>
      </c>
      <c r="Z71" s="69"/>
      <c r="AA71" s="62" t="str">
        <f t="shared" si="80"/>
        <v/>
      </c>
      <c r="AB71" s="70" t="str">
        <f t="shared" si="81"/>
        <v/>
      </c>
      <c r="AC71" s="69"/>
      <c r="AD71" s="62" t="str">
        <f t="shared" si="82"/>
        <v/>
      </c>
      <c r="AE71" s="70" t="str">
        <f t="shared" si="83"/>
        <v/>
      </c>
      <c r="AF71" s="69"/>
      <c r="AG71" s="62" t="str">
        <f t="shared" si="84"/>
        <v/>
      </c>
      <c r="AH71" s="70" t="str">
        <f t="shared" si="85"/>
        <v/>
      </c>
      <c r="AI71" s="74" t="str">
        <f t="shared" si="91"/>
        <v/>
      </c>
      <c r="AJ71" s="62" t="str">
        <f t="shared" si="92"/>
        <v/>
      </c>
      <c r="AK71" s="70" t="str">
        <f t="shared" si="86"/>
        <v/>
      </c>
      <c r="AL71" s="69"/>
      <c r="AM71" s="62" t="str">
        <f t="shared" si="87"/>
        <v/>
      </c>
      <c r="AN71" s="70" t="str">
        <f t="shared" si="88"/>
        <v/>
      </c>
    </row>
    <row r="72" spans="1:40" ht="18" customHeight="1" x14ac:dyDescent="0.2">
      <c r="A72" s="77" t="str">
        <f>IF($C$9="Data Not Entered On Set-Up Worksheet","",IF(OR(VLOOKUP($C$9,County_Lookup,21,FALSE)="",VLOOKUP($C$9,County_Lookup,21,FALSE)=0),"",VLOOKUP($C$9,County_Lookup,21,FALSE)))</f>
        <v/>
      </c>
      <c r="B72" s="69"/>
      <c r="C72" s="62" t="str">
        <f t="shared" si="64"/>
        <v/>
      </c>
      <c r="D72" s="70" t="str">
        <f t="shared" si="65"/>
        <v/>
      </c>
      <c r="E72" s="69"/>
      <c r="F72" s="62" t="str">
        <f t="shared" si="66"/>
        <v/>
      </c>
      <c r="G72" s="70" t="str">
        <f t="shared" si="67"/>
        <v/>
      </c>
      <c r="H72" s="69"/>
      <c r="I72" s="62" t="str">
        <f t="shared" si="68"/>
        <v/>
      </c>
      <c r="J72" s="70" t="str">
        <f t="shared" si="69"/>
        <v/>
      </c>
      <c r="K72" s="74" t="str">
        <f t="shared" si="89"/>
        <v/>
      </c>
      <c r="L72" s="62" t="str">
        <f t="shared" si="70"/>
        <v/>
      </c>
      <c r="M72" s="70" t="str">
        <f t="shared" si="71"/>
        <v/>
      </c>
      <c r="N72" s="69"/>
      <c r="O72" s="62" t="str">
        <f t="shared" si="72"/>
        <v/>
      </c>
      <c r="P72" s="70" t="str">
        <f t="shared" si="73"/>
        <v/>
      </c>
      <c r="Q72" s="69"/>
      <c r="R72" s="62" t="str">
        <f t="shared" si="74"/>
        <v/>
      </c>
      <c r="S72" s="70" t="str">
        <f t="shared" si="75"/>
        <v/>
      </c>
      <c r="T72" s="69"/>
      <c r="U72" s="62" t="str">
        <f t="shared" si="76"/>
        <v/>
      </c>
      <c r="V72" s="70" t="str">
        <f t="shared" si="77"/>
        <v/>
      </c>
      <c r="W72" s="74" t="str">
        <f t="shared" si="90"/>
        <v/>
      </c>
      <c r="X72" s="62" t="str">
        <f t="shared" si="78"/>
        <v/>
      </c>
      <c r="Y72" s="70" t="str">
        <f t="shared" si="79"/>
        <v/>
      </c>
      <c r="Z72" s="69"/>
      <c r="AA72" s="62" t="str">
        <f t="shared" si="80"/>
        <v/>
      </c>
      <c r="AB72" s="70" t="str">
        <f t="shared" si="81"/>
        <v/>
      </c>
      <c r="AC72" s="69"/>
      <c r="AD72" s="62" t="str">
        <f t="shared" si="82"/>
        <v/>
      </c>
      <c r="AE72" s="70" t="str">
        <f t="shared" si="83"/>
        <v/>
      </c>
      <c r="AF72" s="69"/>
      <c r="AG72" s="62" t="str">
        <f t="shared" si="84"/>
        <v/>
      </c>
      <c r="AH72" s="70" t="str">
        <f t="shared" si="85"/>
        <v/>
      </c>
      <c r="AI72" s="74" t="str">
        <f t="shared" si="91"/>
        <v/>
      </c>
      <c r="AJ72" s="62" t="str">
        <f t="shared" si="92"/>
        <v/>
      </c>
      <c r="AK72" s="70" t="str">
        <f t="shared" si="86"/>
        <v/>
      </c>
      <c r="AL72" s="69"/>
      <c r="AM72" s="62" t="str">
        <f t="shared" si="87"/>
        <v/>
      </c>
      <c r="AN72" s="70" t="str">
        <f t="shared" si="88"/>
        <v/>
      </c>
    </row>
    <row r="73" spans="1:40" ht="18" customHeight="1" x14ac:dyDescent="0.2">
      <c r="A73" s="76" t="str">
        <f>IF($C$9="Data Not Entered On Set-Up Worksheet","",IF(OR(VLOOKUP($C$9,County_Lookup,22,FALSE)="",VLOOKUP($C$9,County_Lookup,22,FALSE)=0),"",VLOOKUP($C$9,County_Lookup,22,FALSE)))</f>
        <v/>
      </c>
      <c r="B73" s="69"/>
      <c r="C73" s="62" t="str">
        <f t="shared" si="64"/>
        <v/>
      </c>
      <c r="D73" s="70" t="str">
        <f t="shared" si="65"/>
        <v/>
      </c>
      <c r="E73" s="69"/>
      <c r="F73" s="62" t="str">
        <f t="shared" si="66"/>
        <v/>
      </c>
      <c r="G73" s="70" t="str">
        <f t="shared" si="67"/>
        <v/>
      </c>
      <c r="H73" s="69"/>
      <c r="I73" s="62" t="str">
        <f t="shared" si="68"/>
        <v/>
      </c>
      <c r="J73" s="70" t="str">
        <f t="shared" si="69"/>
        <v/>
      </c>
      <c r="K73" s="74" t="str">
        <f t="shared" si="89"/>
        <v/>
      </c>
      <c r="L73" s="62" t="str">
        <f t="shared" si="70"/>
        <v/>
      </c>
      <c r="M73" s="70" t="str">
        <f t="shared" si="71"/>
        <v/>
      </c>
      <c r="N73" s="69"/>
      <c r="O73" s="62" t="str">
        <f t="shared" si="72"/>
        <v/>
      </c>
      <c r="P73" s="70" t="str">
        <f t="shared" si="73"/>
        <v/>
      </c>
      <c r="Q73" s="69"/>
      <c r="R73" s="62" t="str">
        <f t="shared" si="74"/>
        <v/>
      </c>
      <c r="S73" s="70" t="str">
        <f t="shared" si="75"/>
        <v/>
      </c>
      <c r="T73" s="69"/>
      <c r="U73" s="62" t="str">
        <f t="shared" si="76"/>
        <v/>
      </c>
      <c r="V73" s="70" t="str">
        <f t="shared" si="77"/>
        <v/>
      </c>
      <c r="W73" s="74" t="str">
        <f t="shared" si="90"/>
        <v/>
      </c>
      <c r="X73" s="62" t="str">
        <f t="shared" si="78"/>
        <v/>
      </c>
      <c r="Y73" s="70" t="str">
        <f t="shared" si="79"/>
        <v/>
      </c>
      <c r="Z73" s="69"/>
      <c r="AA73" s="62" t="str">
        <f t="shared" si="80"/>
        <v/>
      </c>
      <c r="AB73" s="70" t="str">
        <f t="shared" si="81"/>
        <v/>
      </c>
      <c r="AC73" s="69"/>
      <c r="AD73" s="62" t="str">
        <f t="shared" si="82"/>
        <v/>
      </c>
      <c r="AE73" s="70" t="str">
        <f t="shared" si="83"/>
        <v/>
      </c>
      <c r="AF73" s="69"/>
      <c r="AG73" s="62" t="str">
        <f t="shared" si="84"/>
        <v/>
      </c>
      <c r="AH73" s="70" t="str">
        <f t="shared" si="85"/>
        <v/>
      </c>
      <c r="AI73" s="74" t="str">
        <f t="shared" si="91"/>
        <v/>
      </c>
      <c r="AJ73" s="62" t="str">
        <f t="shared" si="92"/>
        <v/>
      </c>
      <c r="AK73" s="70" t="str">
        <f t="shared" si="86"/>
        <v/>
      </c>
      <c r="AL73" s="69"/>
      <c r="AM73" s="62" t="str">
        <f t="shared" si="87"/>
        <v/>
      </c>
      <c r="AN73" s="70" t="str">
        <f t="shared" si="88"/>
        <v/>
      </c>
    </row>
    <row r="74" spans="1:40" ht="18" customHeight="1" x14ac:dyDescent="0.2">
      <c r="A74" s="77" t="str">
        <f>IF($C$9="Data Not Entered On Set-Up Worksheet","",IF(OR(VLOOKUP($C$9,County_Lookup,23,FALSE)="",VLOOKUP($C$9,County_Lookup,23,FALSE)=0),"",VLOOKUP($C$9,County_Lookup,23,FALSE)))</f>
        <v/>
      </c>
      <c r="B74" s="69"/>
      <c r="C74" s="62" t="str">
        <f t="shared" si="64"/>
        <v/>
      </c>
      <c r="D74" s="70" t="str">
        <f t="shared" si="65"/>
        <v/>
      </c>
      <c r="E74" s="69"/>
      <c r="F74" s="62" t="str">
        <f t="shared" si="66"/>
        <v/>
      </c>
      <c r="G74" s="70" t="str">
        <f t="shared" si="67"/>
        <v/>
      </c>
      <c r="H74" s="69"/>
      <c r="I74" s="62" t="str">
        <f t="shared" si="68"/>
        <v/>
      </c>
      <c r="J74" s="70" t="str">
        <f t="shared" si="69"/>
        <v/>
      </c>
      <c r="K74" s="74" t="str">
        <f t="shared" si="89"/>
        <v/>
      </c>
      <c r="L74" s="62" t="str">
        <f t="shared" si="70"/>
        <v/>
      </c>
      <c r="M74" s="70" t="str">
        <f t="shared" si="71"/>
        <v/>
      </c>
      <c r="N74" s="69"/>
      <c r="O74" s="62" t="str">
        <f t="shared" si="72"/>
        <v/>
      </c>
      <c r="P74" s="70" t="str">
        <f t="shared" si="73"/>
        <v/>
      </c>
      <c r="Q74" s="69"/>
      <c r="R74" s="62" t="str">
        <f t="shared" si="74"/>
        <v/>
      </c>
      <c r="S74" s="70" t="str">
        <f t="shared" si="75"/>
        <v/>
      </c>
      <c r="T74" s="69"/>
      <c r="U74" s="62" t="str">
        <f t="shared" si="76"/>
        <v/>
      </c>
      <c r="V74" s="70" t="str">
        <f t="shared" si="77"/>
        <v/>
      </c>
      <c r="W74" s="74" t="str">
        <f t="shared" si="90"/>
        <v/>
      </c>
      <c r="X74" s="62" t="str">
        <f t="shared" si="78"/>
        <v/>
      </c>
      <c r="Y74" s="70" t="str">
        <f t="shared" si="79"/>
        <v/>
      </c>
      <c r="Z74" s="69"/>
      <c r="AA74" s="62" t="str">
        <f t="shared" si="80"/>
        <v/>
      </c>
      <c r="AB74" s="70" t="str">
        <f t="shared" si="81"/>
        <v/>
      </c>
      <c r="AC74" s="69"/>
      <c r="AD74" s="62" t="str">
        <f t="shared" si="82"/>
        <v/>
      </c>
      <c r="AE74" s="70" t="str">
        <f t="shared" si="83"/>
        <v/>
      </c>
      <c r="AF74" s="69"/>
      <c r="AG74" s="62" t="str">
        <f t="shared" si="84"/>
        <v/>
      </c>
      <c r="AH74" s="70" t="str">
        <f t="shared" si="85"/>
        <v/>
      </c>
      <c r="AI74" s="74" t="str">
        <f t="shared" si="91"/>
        <v/>
      </c>
      <c r="AJ74" s="62" t="str">
        <f t="shared" si="92"/>
        <v/>
      </c>
      <c r="AK74" s="70" t="str">
        <f t="shared" si="86"/>
        <v/>
      </c>
      <c r="AL74" s="69"/>
      <c r="AM74" s="62" t="str">
        <f t="shared" si="87"/>
        <v/>
      </c>
      <c r="AN74" s="70" t="str">
        <f t="shared" si="88"/>
        <v/>
      </c>
    </row>
    <row r="75" spans="1:40" ht="18" customHeight="1" x14ac:dyDescent="0.2">
      <c r="A75" s="77" t="str">
        <f>IF($C$9="Data Not Entered On Set-Up Worksheet","",IF(OR(VLOOKUP($C$9,County_Lookup,24,FALSE)="",VLOOKUP($C$9,County_Lookup,24,FALSE)=0),"",VLOOKUP($C$9,County_Lookup,24,FALSE)))</f>
        <v/>
      </c>
      <c r="B75" s="69"/>
      <c r="C75" s="62" t="str">
        <f t="shared" si="64"/>
        <v/>
      </c>
      <c r="D75" s="70" t="str">
        <f t="shared" si="65"/>
        <v/>
      </c>
      <c r="E75" s="69"/>
      <c r="F75" s="62" t="str">
        <f t="shared" si="66"/>
        <v/>
      </c>
      <c r="G75" s="70" t="str">
        <f t="shared" si="67"/>
        <v/>
      </c>
      <c r="H75" s="69"/>
      <c r="I75" s="62" t="str">
        <f t="shared" si="68"/>
        <v/>
      </c>
      <c r="J75" s="70" t="str">
        <f t="shared" si="69"/>
        <v/>
      </c>
      <c r="K75" s="74" t="str">
        <f t="shared" ref="K75:K77" si="93">IF($A75="","",SUM(E75,H75))</f>
        <v/>
      </c>
      <c r="L75" s="62" t="str">
        <f t="shared" si="70"/>
        <v/>
      </c>
      <c r="M75" s="70" t="str">
        <f t="shared" si="71"/>
        <v/>
      </c>
      <c r="N75" s="69"/>
      <c r="O75" s="62" t="str">
        <f t="shared" si="72"/>
        <v/>
      </c>
      <c r="P75" s="70" t="str">
        <f t="shared" si="73"/>
        <v/>
      </c>
      <c r="Q75" s="69"/>
      <c r="R75" s="62" t="str">
        <f t="shared" si="74"/>
        <v/>
      </c>
      <c r="S75" s="70" t="str">
        <f t="shared" si="75"/>
        <v/>
      </c>
      <c r="T75" s="69"/>
      <c r="U75" s="62" t="str">
        <f t="shared" si="76"/>
        <v/>
      </c>
      <c r="V75" s="70" t="str">
        <f t="shared" si="77"/>
        <v/>
      </c>
      <c r="W75" s="74" t="str">
        <f t="shared" ref="W75:W77" si="94">IF($A75="","",SUM(Q75,T75))</f>
        <v/>
      </c>
      <c r="X75" s="62" t="str">
        <f t="shared" si="78"/>
        <v/>
      </c>
      <c r="Y75" s="70" t="str">
        <f t="shared" si="79"/>
        <v/>
      </c>
      <c r="Z75" s="69"/>
      <c r="AA75" s="62" t="str">
        <f t="shared" si="80"/>
        <v/>
      </c>
      <c r="AB75" s="70" t="str">
        <f t="shared" si="81"/>
        <v/>
      </c>
      <c r="AC75" s="69"/>
      <c r="AD75" s="62" t="str">
        <f t="shared" si="82"/>
        <v/>
      </c>
      <c r="AE75" s="70" t="str">
        <f t="shared" si="83"/>
        <v/>
      </c>
      <c r="AF75" s="69"/>
      <c r="AG75" s="62" t="str">
        <f t="shared" si="84"/>
        <v/>
      </c>
      <c r="AH75" s="70" t="str">
        <f t="shared" si="85"/>
        <v/>
      </c>
      <c r="AI75" s="74" t="str">
        <f t="shared" ref="AI75:AI77" si="95">IF($A75="","",SUM(AC75,AF75))</f>
        <v/>
      </c>
      <c r="AJ75" s="62" t="str">
        <f t="shared" si="92"/>
        <v/>
      </c>
      <c r="AK75" s="70" t="str">
        <f t="shared" si="86"/>
        <v/>
      </c>
      <c r="AL75" s="69"/>
      <c r="AM75" s="62" t="str">
        <f t="shared" si="87"/>
        <v/>
      </c>
      <c r="AN75" s="70" t="str">
        <f t="shared" si="88"/>
        <v/>
      </c>
    </row>
    <row r="76" spans="1:40" ht="18" customHeight="1" x14ac:dyDescent="0.2">
      <c r="A76" s="77" t="str">
        <f>IF($C$9="Data Not Entered On Set-Up Worksheet","",IF(OR(VLOOKUP($C$9,County_Lookup,25,FALSE)="",VLOOKUP($C$9,County_Lookup,25,FALSE)=0),"",VLOOKUP($C$9,County_Lookup,25,FALSE)))</f>
        <v/>
      </c>
      <c r="B76" s="69"/>
      <c r="C76" s="62" t="str">
        <f t="shared" si="64"/>
        <v/>
      </c>
      <c r="D76" s="70" t="str">
        <f t="shared" ref="D76:D77" si="96">IF(OR($A76="",$A76="Other"),"",IF(C76=0,0,B76/C76))</f>
        <v/>
      </c>
      <c r="E76" s="69"/>
      <c r="F76" s="62" t="str">
        <f t="shared" si="66"/>
        <v/>
      </c>
      <c r="G76" s="70" t="str">
        <f t="shared" ref="G76:G77" si="97">IF(OR($A76="",$A76="Other"),"",IF(F76=0,0,E76/F76))</f>
        <v/>
      </c>
      <c r="H76" s="69"/>
      <c r="I76" s="62" t="str">
        <f t="shared" si="68"/>
        <v/>
      </c>
      <c r="J76" s="70" t="str">
        <f t="shared" ref="J76:J77" si="98">IF(OR($A76="",$A76="Other"),"",IF(I76=0,0,H76/I76))</f>
        <v/>
      </c>
      <c r="K76" s="74" t="str">
        <f t="shared" si="93"/>
        <v/>
      </c>
      <c r="L76" s="62" t="str">
        <f t="shared" ref="L76:L77" si="99">IF(OR($A76="",$A76="Other"),"",SUM(F76,I76))</f>
        <v/>
      </c>
      <c r="M76" s="70" t="str">
        <f t="shared" ref="M76:M77" si="100">IF(OR($A76="",$A76="Other"),"",IF(L76=0,0,K76/L76))</f>
        <v/>
      </c>
      <c r="N76" s="69"/>
      <c r="O76" s="62" t="str">
        <f t="shared" si="72"/>
        <v/>
      </c>
      <c r="P76" s="70" t="str">
        <f t="shared" ref="P76:P77" si="101">IF(OR($A76="",$A76="Other"),"",IF(O76=0,0,N76/O76))</f>
        <v/>
      </c>
      <c r="Q76" s="69"/>
      <c r="R76" s="62" t="str">
        <f t="shared" si="74"/>
        <v/>
      </c>
      <c r="S76" s="70" t="str">
        <f t="shared" ref="S76:S77" si="102">IF(OR($A76="",$A76="Other"),"",IF(R76=0,0,Q76/R76))</f>
        <v/>
      </c>
      <c r="T76" s="69"/>
      <c r="U76" s="62" t="str">
        <f t="shared" si="76"/>
        <v/>
      </c>
      <c r="V76" s="70" t="str">
        <f t="shared" ref="V76:V77" si="103">IF(OR($A76="",$A76="Other"),"",IF(U76=0,0,T76/U76))</f>
        <v/>
      </c>
      <c r="W76" s="74" t="str">
        <f t="shared" si="94"/>
        <v/>
      </c>
      <c r="X76" s="62" t="str">
        <f t="shared" ref="X76:X77" si="104">IF(OR($A76="",$A76="Other"),"",SUM(R76,U76))</f>
        <v/>
      </c>
      <c r="Y76" s="70" t="str">
        <f t="shared" ref="Y76:Y77" si="105">IF(OR($A76="",$A76="Other"),"",IF(X76=0,0,W76/X76))</f>
        <v/>
      </c>
      <c r="Z76" s="69"/>
      <c r="AA76" s="62" t="str">
        <f t="shared" si="80"/>
        <v/>
      </c>
      <c r="AB76" s="70" t="str">
        <f t="shared" ref="AB76:AB77" si="106">IF(OR($A76="",$A76="Other"),"",IF(AA76=0,0,Z76/AA76))</f>
        <v/>
      </c>
      <c r="AC76" s="69"/>
      <c r="AD76" s="62" t="str">
        <f t="shared" si="82"/>
        <v/>
      </c>
      <c r="AE76" s="70" t="str">
        <f t="shared" ref="AE76:AE77" si="107">IF(OR($A76="",$A76="Other"),"",IF(AD76=0,0,AC76/AD76))</f>
        <v/>
      </c>
      <c r="AF76" s="69"/>
      <c r="AG76" s="62" t="str">
        <f t="shared" si="84"/>
        <v/>
      </c>
      <c r="AH76" s="70" t="str">
        <f t="shared" ref="AH76:AH77" si="108">IF(OR($A76="",$A76="Other"),"",IF(AG76=0,0,AF76/AG76))</f>
        <v/>
      </c>
      <c r="AI76" s="74" t="str">
        <f t="shared" si="95"/>
        <v/>
      </c>
      <c r="AJ76" s="62" t="str">
        <f t="shared" ref="AJ76:AJ77" si="109">IF(OR($A76="",$A76="Other"),"",SUM(AD76,AG76))</f>
        <v/>
      </c>
      <c r="AK76" s="70" t="str">
        <f t="shared" ref="AK76:AK77" si="110">IF(OR($A76="",$A76="Other"),"",IF(AJ76=0,0,AI76/AJ76))</f>
        <v/>
      </c>
      <c r="AL76" s="69"/>
      <c r="AM76" s="62" t="str">
        <f t="shared" si="87"/>
        <v/>
      </c>
      <c r="AN76" s="70" t="str">
        <f t="shared" ref="AN76:AN77" si="111">IF(OR($A76="",$A76="Other"),"",IF(AM76=0,0,AL76/AM76))</f>
        <v/>
      </c>
    </row>
    <row r="77" spans="1:40" ht="18" customHeight="1" x14ac:dyDescent="0.2">
      <c r="A77" s="77" t="str">
        <f>IF($C$9="Data Not Entered On Set-Up Worksheet","",IF(OR(VLOOKUP($C$9,County_Lookup,26,FALSE)="",VLOOKUP($C$9,County_Lookup,26,FALSE)=0),"",VLOOKUP($C$9,County_Lookup,26,FALSE)))</f>
        <v/>
      </c>
      <c r="B77" s="69"/>
      <c r="C77" s="62" t="str">
        <f t="shared" si="64"/>
        <v/>
      </c>
      <c r="D77" s="70" t="str">
        <f t="shared" si="96"/>
        <v/>
      </c>
      <c r="E77" s="69"/>
      <c r="F77" s="62" t="str">
        <f t="shared" si="66"/>
        <v/>
      </c>
      <c r="G77" s="70" t="str">
        <f t="shared" si="97"/>
        <v/>
      </c>
      <c r="H77" s="69"/>
      <c r="I77" s="62" t="str">
        <f t="shared" si="68"/>
        <v/>
      </c>
      <c r="J77" s="70" t="str">
        <f t="shared" si="98"/>
        <v/>
      </c>
      <c r="K77" s="74" t="str">
        <f t="shared" si="93"/>
        <v/>
      </c>
      <c r="L77" s="62" t="str">
        <f t="shared" si="99"/>
        <v/>
      </c>
      <c r="M77" s="70" t="str">
        <f t="shared" si="100"/>
        <v/>
      </c>
      <c r="N77" s="69"/>
      <c r="O77" s="62" t="str">
        <f t="shared" si="72"/>
        <v/>
      </c>
      <c r="P77" s="70" t="str">
        <f t="shared" si="101"/>
        <v/>
      </c>
      <c r="Q77" s="69"/>
      <c r="R77" s="62" t="str">
        <f t="shared" si="74"/>
        <v/>
      </c>
      <c r="S77" s="70" t="str">
        <f t="shared" si="102"/>
        <v/>
      </c>
      <c r="T77" s="69"/>
      <c r="U77" s="62" t="str">
        <f t="shared" si="76"/>
        <v/>
      </c>
      <c r="V77" s="70" t="str">
        <f t="shared" si="103"/>
        <v/>
      </c>
      <c r="W77" s="74" t="str">
        <f t="shared" si="94"/>
        <v/>
      </c>
      <c r="X77" s="62" t="str">
        <f t="shared" si="104"/>
        <v/>
      </c>
      <c r="Y77" s="70" t="str">
        <f t="shared" si="105"/>
        <v/>
      </c>
      <c r="Z77" s="69"/>
      <c r="AA77" s="62" t="str">
        <f t="shared" si="80"/>
        <v/>
      </c>
      <c r="AB77" s="70" t="str">
        <f t="shared" si="106"/>
        <v/>
      </c>
      <c r="AC77" s="69"/>
      <c r="AD77" s="62" t="str">
        <f t="shared" si="82"/>
        <v/>
      </c>
      <c r="AE77" s="70" t="str">
        <f t="shared" si="107"/>
        <v/>
      </c>
      <c r="AF77" s="69"/>
      <c r="AG77" s="62" t="str">
        <f t="shared" si="84"/>
        <v/>
      </c>
      <c r="AH77" s="70" t="str">
        <f t="shared" si="108"/>
        <v/>
      </c>
      <c r="AI77" s="74" t="str">
        <f t="shared" si="95"/>
        <v/>
      </c>
      <c r="AJ77" s="62" t="str">
        <f t="shared" si="109"/>
        <v/>
      </c>
      <c r="AK77" s="70" t="str">
        <f t="shared" si="110"/>
        <v/>
      </c>
      <c r="AL77" s="69"/>
      <c r="AM77" s="62" t="str">
        <f t="shared" si="87"/>
        <v/>
      </c>
      <c r="AN77" s="70" t="str">
        <f t="shared" si="111"/>
        <v/>
      </c>
    </row>
    <row r="78" spans="1:40" ht="18" customHeight="1" x14ac:dyDescent="0.2">
      <c r="A78" s="77" t="str">
        <f>IF($C$9="Data Not Entered On Set-Up Worksheet","",IF(OR(VLOOKUP($C$9,County_Lookup,27,FALSE)="",VLOOKUP($C$9,County_Lookup,27,FALSE)=0),"",VLOOKUP($C$9,County_Lookup,27,FALSE)))</f>
        <v/>
      </c>
      <c r="B78" s="69"/>
      <c r="C78" s="62" t="str">
        <f t="shared" si="64"/>
        <v/>
      </c>
      <c r="D78" s="70" t="str">
        <f t="shared" si="65"/>
        <v/>
      </c>
      <c r="E78" s="69"/>
      <c r="F78" s="62" t="str">
        <f t="shared" si="66"/>
        <v/>
      </c>
      <c r="G78" s="70" t="str">
        <f t="shared" si="67"/>
        <v/>
      </c>
      <c r="H78" s="69"/>
      <c r="I78" s="62" t="str">
        <f t="shared" si="68"/>
        <v/>
      </c>
      <c r="J78" s="70" t="str">
        <f t="shared" si="69"/>
        <v/>
      </c>
      <c r="K78" s="74" t="str">
        <f t="shared" si="89"/>
        <v/>
      </c>
      <c r="L78" s="62" t="str">
        <f t="shared" si="70"/>
        <v/>
      </c>
      <c r="M78" s="70" t="str">
        <f t="shared" si="71"/>
        <v/>
      </c>
      <c r="N78" s="69"/>
      <c r="O78" s="62" t="str">
        <f t="shared" si="72"/>
        <v/>
      </c>
      <c r="P78" s="70" t="str">
        <f t="shared" si="73"/>
        <v/>
      </c>
      <c r="Q78" s="69"/>
      <c r="R78" s="62" t="str">
        <f t="shared" si="74"/>
        <v/>
      </c>
      <c r="S78" s="70" t="str">
        <f t="shared" si="75"/>
        <v/>
      </c>
      <c r="T78" s="69"/>
      <c r="U78" s="62" t="str">
        <f t="shared" si="76"/>
        <v/>
      </c>
      <c r="V78" s="70" t="str">
        <f t="shared" si="77"/>
        <v/>
      </c>
      <c r="W78" s="74" t="str">
        <f t="shared" si="90"/>
        <v/>
      </c>
      <c r="X78" s="62" t="str">
        <f t="shared" si="78"/>
        <v/>
      </c>
      <c r="Y78" s="70" t="str">
        <f t="shared" si="79"/>
        <v/>
      </c>
      <c r="Z78" s="69"/>
      <c r="AA78" s="62" t="str">
        <f t="shared" si="80"/>
        <v/>
      </c>
      <c r="AB78" s="70" t="str">
        <f t="shared" si="81"/>
        <v/>
      </c>
      <c r="AC78" s="69"/>
      <c r="AD78" s="62" t="str">
        <f t="shared" si="82"/>
        <v/>
      </c>
      <c r="AE78" s="70" t="str">
        <f t="shared" si="83"/>
        <v/>
      </c>
      <c r="AF78" s="69"/>
      <c r="AG78" s="62" t="str">
        <f t="shared" si="84"/>
        <v/>
      </c>
      <c r="AH78" s="70" t="str">
        <f t="shared" si="85"/>
        <v/>
      </c>
      <c r="AI78" s="74" t="str">
        <f t="shared" si="91"/>
        <v/>
      </c>
      <c r="AJ78" s="62" t="str">
        <f t="shared" si="92"/>
        <v/>
      </c>
      <c r="AK78" s="70" t="str">
        <f t="shared" si="86"/>
        <v/>
      </c>
      <c r="AL78" s="69"/>
      <c r="AM78" s="62" t="str">
        <f t="shared" si="87"/>
        <v/>
      </c>
      <c r="AN78" s="70" t="str">
        <f t="shared" si="88"/>
        <v/>
      </c>
    </row>
    <row r="79" spans="1:40" ht="18" customHeight="1" thickBot="1" x14ac:dyDescent="0.25">
      <c r="A79" s="78" t="s">
        <v>0</v>
      </c>
      <c r="B79" s="71">
        <f>SUM(B53:B78)</f>
        <v>0</v>
      </c>
      <c r="C79" s="72">
        <f>SUM(C53:C78)</f>
        <v>0</v>
      </c>
      <c r="D79" s="73">
        <f t="shared" ref="D79" si="112">IF(C79=0,0,B79/C79)</f>
        <v>0</v>
      </c>
      <c r="E79" s="71">
        <f>SUM(E53:E78)</f>
        <v>0</v>
      </c>
      <c r="F79" s="72">
        <f>SUM(F53:F78)</f>
        <v>0</v>
      </c>
      <c r="G79" s="73">
        <f t="shared" ref="G79" si="113">IF(F79=0,0,E79/F79)</f>
        <v>0</v>
      </c>
      <c r="H79" s="71">
        <f>SUM(H53:H78)</f>
        <v>0</v>
      </c>
      <c r="I79" s="72">
        <f>SUM(I53:I78)</f>
        <v>0</v>
      </c>
      <c r="J79" s="73">
        <f t="shared" ref="J79" si="114">IF(I79=0,0,H79/I79)</f>
        <v>0</v>
      </c>
      <c r="K79" s="71">
        <f>SUM(K53:K78)</f>
        <v>0</v>
      </c>
      <c r="L79" s="72">
        <f>SUM(L53:L78)</f>
        <v>0</v>
      </c>
      <c r="M79" s="73">
        <f t="shared" ref="M79" si="115">IF(L79=0,0,K79/L79)</f>
        <v>0</v>
      </c>
      <c r="N79" s="71">
        <f>SUM(N53:N78)</f>
        <v>0</v>
      </c>
      <c r="O79" s="72">
        <f>SUM(O53:O78)</f>
        <v>0</v>
      </c>
      <c r="P79" s="73">
        <f t="shared" ref="P79" si="116">IF(O79=0,0,N79/O79)</f>
        <v>0</v>
      </c>
      <c r="Q79" s="71">
        <f>SUM(Q53:Q78)</f>
        <v>0</v>
      </c>
      <c r="R79" s="72">
        <f>SUM(R53:R78)</f>
        <v>0</v>
      </c>
      <c r="S79" s="73">
        <f t="shared" ref="S79" si="117">IF(R79=0,0,Q79/R79)</f>
        <v>0</v>
      </c>
      <c r="T79" s="71">
        <f>SUM(T53:T78)</f>
        <v>0</v>
      </c>
      <c r="U79" s="72">
        <f>SUM(U53:U78)</f>
        <v>0</v>
      </c>
      <c r="V79" s="73">
        <f t="shared" ref="V79" si="118">IF(U79=0,0,T79/U79)</f>
        <v>0</v>
      </c>
      <c r="W79" s="71">
        <f>SUM(W53:W78)</f>
        <v>0</v>
      </c>
      <c r="X79" s="72">
        <f>SUM(X53:X78)</f>
        <v>0</v>
      </c>
      <c r="Y79" s="73">
        <f t="shared" ref="Y79" si="119">IF(X79=0,0,W79/X79)</f>
        <v>0</v>
      </c>
      <c r="Z79" s="71">
        <f>SUM(Z53:Z78)</f>
        <v>0</v>
      </c>
      <c r="AA79" s="72">
        <f>SUM(AA53:AA78)</f>
        <v>0</v>
      </c>
      <c r="AB79" s="73">
        <f t="shared" ref="AB79" si="120">IF(AA79=0,0,Z79/AA79)</f>
        <v>0</v>
      </c>
      <c r="AC79" s="71">
        <f>SUM(AC53:AC78)</f>
        <v>0</v>
      </c>
      <c r="AD79" s="72">
        <f>SUM(AD53:AD78)</f>
        <v>0</v>
      </c>
      <c r="AE79" s="73">
        <f t="shared" ref="AE79" si="121">IF(AD79=0,0,AC79/AD79)</f>
        <v>0</v>
      </c>
      <c r="AF79" s="71">
        <f>SUM(AF53:AF78)</f>
        <v>0</v>
      </c>
      <c r="AG79" s="72">
        <f>SUM(AG53:AG78)</f>
        <v>0</v>
      </c>
      <c r="AH79" s="73">
        <f t="shared" ref="AH79" si="122">IF(AG79=0,0,AF79/AG79)</f>
        <v>0</v>
      </c>
      <c r="AI79" s="71">
        <f>SUM(AI53:AI78)</f>
        <v>0</v>
      </c>
      <c r="AJ79" s="72">
        <f>SUM(AJ53:AJ78)</f>
        <v>0</v>
      </c>
      <c r="AK79" s="73">
        <f t="shared" ref="AK79" si="123">IF(AJ79=0,0,AI79/AJ79)</f>
        <v>0</v>
      </c>
      <c r="AL79" s="71">
        <f>SUM(AL53:AL78)</f>
        <v>0</v>
      </c>
      <c r="AM79" s="72">
        <f>SUM(AM53:AM78)</f>
        <v>0</v>
      </c>
      <c r="AN79" s="73">
        <f t="shared" ref="AN79" si="124">IF(AM79=0,0,AL79/AM79)</f>
        <v>0</v>
      </c>
    </row>
  </sheetData>
  <sheetProtection sheet="1" objects="1" scenarios="1"/>
  <conditionalFormatting sqref="C3:C4 F9:F12">
    <cfRule type="expression" dxfId="812" priority="119">
      <formula>C3="Data Not Entered On Set-Up Worksheet"</formula>
    </cfRule>
  </conditionalFormatting>
  <conditionalFormatting sqref="C9">
    <cfRule type="expression" dxfId="811" priority="118">
      <formula>C9="Data Not Entered On Set-Up Worksheet"</formula>
    </cfRule>
  </conditionalFormatting>
  <conditionalFormatting sqref="C12">
    <cfRule type="expression" dxfId="810" priority="117">
      <formula>C12="Data Not Entered On Set-Up Worksheet"</formula>
    </cfRule>
  </conditionalFormatting>
  <conditionalFormatting sqref="B19:B40 B44">
    <cfRule type="expression" dxfId="809" priority="116">
      <formula>AND($A19&lt;&gt;"",B19="")</formula>
    </cfRule>
  </conditionalFormatting>
  <conditionalFormatting sqref="F3">
    <cfRule type="expression" dxfId="808" priority="115">
      <formula>F3="Data Not Entered On Set-Up Worksheet"</formula>
    </cfRule>
  </conditionalFormatting>
  <conditionalFormatting sqref="I3">
    <cfRule type="expression" dxfId="807" priority="113">
      <formula>I3="Data Not Entered On Set-Up Worksheet"</formula>
    </cfRule>
  </conditionalFormatting>
  <conditionalFormatting sqref="I9">
    <cfRule type="expression" dxfId="806" priority="112">
      <formula>I9="Data Not Entered On Set-Up Worksheet"</formula>
    </cfRule>
  </conditionalFormatting>
  <conditionalFormatting sqref="I11:I12">
    <cfRule type="expression" dxfId="805" priority="111">
      <formula>I11="Data Not Entered On Set-Up Worksheet"</formula>
    </cfRule>
  </conditionalFormatting>
  <conditionalFormatting sqref="L3">
    <cfRule type="expression" dxfId="804" priority="110">
      <formula>L3="Data Not Entered On Set-Up Worksheet"</formula>
    </cfRule>
  </conditionalFormatting>
  <conditionalFormatting sqref="L9">
    <cfRule type="expression" dxfId="803" priority="109">
      <formula>L9="Data Not Entered On Set-Up Worksheet"</formula>
    </cfRule>
  </conditionalFormatting>
  <conditionalFormatting sqref="L11:L12">
    <cfRule type="expression" dxfId="802" priority="108">
      <formula>L11="Data Not Entered On Set-Up Worksheet"</formula>
    </cfRule>
  </conditionalFormatting>
  <conditionalFormatting sqref="O3">
    <cfRule type="expression" dxfId="801" priority="107">
      <formula>O3="Data Not Entered On Set-Up Worksheet"</formula>
    </cfRule>
  </conditionalFormatting>
  <conditionalFormatting sqref="O9">
    <cfRule type="expression" dxfId="800" priority="106">
      <formula>O9="Data Not Entered On Set-Up Worksheet"</formula>
    </cfRule>
  </conditionalFormatting>
  <conditionalFormatting sqref="O11:O12">
    <cfRule type="expression" dxfId="799" priority="105">
      <formula>O11="Data Not Entered On Set-Up Worksheet"</formula>
    </cfRule>
  </conditionalFormatting>
  <conditionalFormatting sqref="R3">
    <cfRule type="expression" dxfId="798" priority="104">
      <formula>R3="Data Not Entered On Set-Up Worksheet"</formula>
    </cfRule>
  </conditionalFormatting>
  <conditionalFormatting sqref="R9">
    <cfRule type="expression" dxfId="797" priority="103">
      <formula>R9="Data Not Entered On Set-Up Worksheet"</formula>
    </cfRule>
  </conditionalFormatting>
  <conditionalFormatting sqref="R11:R12">
    <cfRule type="expression" dxfId="796" priority="102">
      <formula>R11="Data Not Entered On Set-Up Worksheet"</formula>
    </cfRule>
  </conditionalFormatting>
  <conditionalFormatting sqref="U3">
    <cfRule type="expression" dxfId="795" priority="101">
      <formula>U3="Data Not Entered On Set-Up Worksheet"</formula>
    </cfRule>
  </conditionalFormatting>
  <conditionalFormatting sqref="U9">
    <cfRule type="expression" dxfId="794" priority="100">
      <formula>U9="Data Not Entered On Set-Up Worksheet"</formula>
    </cfRule>
  </conditionalFormatting>
  <conditionalFormatting sqref="U11:U12">
    <cfRule type="expression" dxfId="793" priority="99">
      <formula>U11="Data Not Entered On Set-Up Worksheet"</formula>
    </cfRule>
  </conditionalFormatting>
  <conditionalFormatting sqref="AM3">
    <cfRule type="expression" dxfId="792" priority="98">
      <formula>AM3="Data Not Entered On Set-Up Worksheet"</formula>
    </cfRule>
  </conditionalFormatting>
  <conditionalFormatting sqref="AM9">
    <cfRule type="expression" dxfId="791" priority="97">
      <formula>AM9="Data Not Entered On Set-Up Worksheet"</formula>
    </cfRule>
  </conditionalFormatting>
  <conditionalFormatting sqref="AM11:AM12">
    <cfRule type="expression" dxfId="790" priority="96">
      <formula>AM11="Data Not Entered On Set-Up Worksheet"</formula>
    </cfRule>
  </conditionalFormatting>
  <conditionalFormatting sqref="E19:E40 E44">
    <cfRule type="expression" dxfId="789" priority="95">
      <formula>AND($A19&lt;&gt;"",E19="")</formula>
    </cfRule>
  </conditionalFormatting>
  <conditionalFormatting sqref="H19:H40 H44">
    <cfRule type="expression" dxfId="788" priority="94">
      <formula>AND($A19&lt;&gt;"",H19="")</formula>
    </cfRule>
  </conditionalFormatting>
  <conditionalFormatting sqref="N19:N40 N44">
    <cfRule type="expression" dxfId="787" priority="93">
      <formula>AND($A19&lt;&gt;"",N19="")</formula>
    </cfRule>
  </conditionalFormatting>
  <conditionalFormatting sqref="Q19:Q40 Q44">
    <cfRule type="expression" dxfId="786" priority="92">
      <formula>AND($A19&lt;&gt;"",Q19="")</formula>
    </cfRule>
  </conditionalFormatting>
  <conditionalFormatting sqref="T19:T40 T44">
    <cfRule type="expression" dxfId="785" priority="91">
      <formula>AND($A19&lt;&gt;"",T19="")</formula>
    </cfRule>
  </conditionalFormatting>
  <conditionalFormatting sqref="C11">
    <cfRule type="expression" dxfId="784" priority="90">
      <formula>C11="Data Not Entered On Set-Up Worksheet"</formula>
    </cfRule>
  </conditionalFormatting>
  <conditionalFormatting sqref="X3">
    <cfRule type="expression" dxfId="783" priority="89">
      <formula>X3="Data Not Entered On Set-Up Worksheet"</formula>
    </cfRule>
  </conditionalFormatting>
  <conditionalFormatting sqref="X9">
    <cfRule type="expression" dxfId="782" priority="88">
      <formula>X9="Data Not Entered On Set-Up Worksheet"</formula>
    </cfRule>
  </conditionalFormatting>
  <conditionalFormatting sqref="X11:X12">
    <cfRule type="expression" dxfId="781" priority="87">
      <formula>X11="Data Not Entered On Set-Up Worksheet"</formula>
    </cfRule>
  </conditionalFormatting>
  <conditionalFormatting sqref="AA3">
    <cfRule type="expression" dxfId="780" priority="86">
      <formula>AA3="Data Not Entered On Set-Up Worksheet"</formula>
    </cfRule>
  </conditionalFormatting>
  <conditionalFormatting sqref="AA9">
    <cfRule type="expression" dxfId="779" priority="85">
      <formula>AA9="Data Not Entered On Set-Up Worksheet"</formula>
    </cfRule>
  </conditionalFormatting>
  <conditionalFormatting sqref="AA11:AA12">
    <cfRule type="expression" dxfId="778" priority="84">
      <formula>AA11="Data Not Entered On Set-Up Worksheet"</formula>
    </cfRule>
  </conditionalFormatting>
  <conditionalFormatting sqref="AD3">
    <cfRule type="expression" dxfId="777" priority="83">
      <formula>AD3="Data Not Entered On Set-Up Worksheet"</formula>
    </cfRule>
  </conditionalFormatting>
  <conditionalFormatting sqref="AD9">
    <cfRule type="expression" dxfId="776" priority="82">
      <formula>AD9="Data Not Entered On Set-Up Worksheet"</formula>
    </cfRule>
  </conditionalFormatting>
  <conditionalFormatting sqref="AD11:AD12">
    <cfRule type="expression" dxfId="775" priority="81">
      <formula>AD11="Data Not Entered On Set-Up Worksheet"</formula>
    </cfRule>
  </conditionalFormatting>
  <conditionalFormatting sqref="AG3">
    <cfRule type="expression" dxfId="774" priority="80">
      <formula>AG3="Data Not Entered On Set-Up Worksheet"</formula>
    </cfRule>
  </conditionalFormatting>
  <conditionalFormatting sqref="AG9">
    <cfRule type="expression" dxfId="773" priority="79">
      <formula>AG9="Data Not Entered On Set-Up Worksheet"</formula>
    </cfRule>
  </conditionalFormatting>
  <conditionalFormatting sqref="AG11:AG12">
    <cfRule type="expression" dxfId="772" priority="78">
      <formula>AG11="Data Not Entered On Set-Up Worksheet"</formula>
    </cfRule>
  </conditionalFormatting>
  <conditionalFormatting sqref="Z19:Z40 Z44">
    <cfRule type="expression" dxfId="771" priority="77">
      <formula>AND($A19&lt;&gt;"",Z19="")</formula>
    </cfRule>
  </conditionalFormatting>
  <conditionalFormatting sqref="AC19:AC40 AC44">
    <cfRule type="expression" dxfId="770" priority="76">
      <formula>AND($A19&lt;&gt;"",AC19="")</formula>
    </cfRule>
  </conditionalFormatting>
  <conditionalFormatting sqref="AF19:AF40 AF44">
    <cfRule type="expression" dxfId="769" priority="75">
      <formula>AND($A19&lt;&gt;"",AF19="")</formula>
    </cfRule>
  </conditionalFormatting>
  <conditionalFormatting sqref="AJ3">
    <cfRule type="expression" dxfId="768" priority="74">
      <formula>AJ3="Data Not Entered On Set-Up Worksheet"</formula>
    </cfRule>
  </conditionalFormatting>
  <conditionalFormatting sqref="AJ9">
    <cfRule type="expression" dxfId="767" priority="73">
      <formula>AJ9="Data Not Entered On Set-Up Worksheet"</formula>
    </cfRule>
  </conditionalFormatting>
  <conditionalFormatting sqref="AJ11:AJ12">
    <cfRule type="expression" dxfId="766" priority="72">
      <formula>AJ11="Data Not Entered On Set-Up Worksheet"</formula>
    </cfRule>
  </conditionalFormatting>
  <conditionalFormatting sqref="B53:B74 B78">
    <cfRule type="expression" dxfId="765" priority="71">
      <formula>AND($A53&lt;&gt;"",B53="")</formula>
    </cfRule>
  </conditionalFormatting>
  <conditionalFormatting sqref="E53:E74 E78">
    <cfRule type="expression" dxfId="764" priority="70">
      <formula>AND($A53&lt;&gt;"",E53="")</formula>
    </cfRule>
  </conditionalFormatting>
  <conditionalFormatting sqref="H53:H74 H78">
    <cfRule type="expression" dxfId="763" priority="69">
      <formula>AND($A53&lt;&gt;"",H53="")</formula>
    </cfRule>
  </conditionalFormatting>
  <conditionalFormatting sqref="N53:N74 N78">
    <cfRule type="expression" dxfId="762" priority="68">
      <formula>AND($A53&lt;&gt;"",N53="")</formula>
    </cfRule>
  </conditionalFormatting>
  <conditionalFormatting sqref="Q53:Q74 Q78">
    <cfRule type="expression" dxfId="761" priority="67">
      <formula>AND($A53&lt;&gt;"",Q53="")</formula>
    </cfRule>
  </conditionalFormatting>
  <conditionalFormatting sqref="T53:T74 T78">
    <cfRule type="expression" dxfId="760" priority="66">
      <formula>AND($A53&lt;&gt;"",T53="")</formula>
    </cfRule>
  </conditionalFormatting>
  <conditionalFormatting sqref="Z53:Z74 Z78">
    <cfRule type="expression" dxfId="759" priority="65">
      <formula>AND($A53&lt;&gt;"",Z53="")</formula>
    </cfRule>
  </conditionalFormatting>
  <conditionalFormatting sqref="AC53:AC74 AC78">
    <cfRule type="expression" dxfId="758" priority="64">
      <formula>AND($A53&lt;&gt;"",AC53="")</formula>
    </cfRule>
  </conditionalFormatting>
  <conditionalFormatting sqref="AF53:AF74 AF78">
    <cfRule type="expression" dxfId="757" priority="63">
      <formula>AND($A53&lt;&gt;"",AF53="")</formula>
    </cfRule>
  </conditionalFormatting>
  <conditionalFormatting sqref="AL19:AL40 AL44">
    <cfRule type="expression" dxfId="756" priority="62">
      <formula>AND($A19&lt;&gt;"",AL19="")</formula>
    </cfRule>
  </conditionalFormatting>
  <conditionalFormatting sqref="AL53:AL74 AL78">
    <cfRule type="expression" dxfId="755" priority="61">
      <formula>AND($A53&lt;&gt;"",AL53="")</formula>
    </cfRule>
  </conditionalFormatting>
  <conditionalFormatting sqref="B41">
    <cfRule type="expression" dxfId="754" priority="60">
      <formula>AND($A41&lt;&gt;"",B41="")</formula>
    </cfRule>
  </conditionalFormatting>
  <conditionalFormatting sqref="E41">
    <cfRule type="expression" dxfId="753" priority="59">
      <formula>AND($A41&lt;&gt;"",E41="")</formula>
    </cfRule>
  </conditionalFormatting>
  <conditionalFormatting sqref="H41">
    <cfRule type="expression" dxfId="752" priority="58">
      <formula>AND($A41&lt;&gt;"",H41="")</formula>
    </cfRule>
  </conditionalFormatting>
  <conditionalFormatting sqref="N41">
    <cfRule type="expression" dxfId="751" priority="57">
      <formula>AND($A41&lt;&gt;"",N41="")</formula>
    </cfRule>
  </conditionalFormatting>
  <conditionalFormatting sqref="Q41">
    <cfRule type="expression" dxfId="750" priority="56">
      <formula>AND($A41&lt;&gt;"",Q41="")</formula>
    </cfRule>
  </conditionalFormatting>
  <conditionalFormatting sqref="T41">
    <cfRule type="expression" dxfId="749" priority="55">
      <formula>AND($A41&lt;&gt;"",T41="")</formula>
    </cfRule>
  </conditionalFormatting>
  <conditionalFormatting sqref="Z41">
    <cfRule type="expression" dxfId="748" priority="54">
      <formula>AND($A41&lt;&gt;"",Z41="")</formula>
    </cfRule>
  </conditionalFormatting>
  <conditionalFormatting sqref="AC41">
    <cfRule type="expression" dxfId="747" priority="53">
      <formula>AND($A41&lt;&gt;"",AC41="")</formula>
    </cfRule>
  </conditionalFormatting>
  <conditionalFormatting sqref="AF41">
    <cfRule type="expression" dxfId="746" priority="52">
      <formula>AND($A41&lt;&gt;"",AF41="")</formula>
    </cfRule>
  </conditionalFormatting>
  <conditionalFormatting sqref="AL41">
    <cfRule type="expression" dxfId="745" priority="51">
      <formula>AND($A41&lt;&gt;"",AL41="")</formula>
    </cfRule>
  </conditionalFormatting>
  <conditionalFormatting sqref="B75">
    <cfRule type="expression" dxfId="744" priority="50">
      <formula>AND($A75&lt;&gt;"",B75="")</formula>
    </cfRule>
  </conditionalFormatting>
  <conditionalFormatting sqref="E75">
    <cfRule type="expression" dxfId="743" priority="49">
      <formula>AND($A75&lt;&gt;"",E75="")</formula>
    </cfRule>
  </conditionalFormatting>
  <conditionalFormatting sqref="H75">
    <cfRule type="expression" dxfId="742" priority="48">
      <formula>AND($A75&lt;&gt;"",H75="")</formula>
    </cfRule>
  </conditionalFormatting>
  <conditionalFormatting sqref="N75">
    <cfRule type="expression" dxfId="741" priority="47">
      <formula>AND($A75&lt;&gt;"",N75="")</formula>
    </cfRule>
  </conditionalFormatting>
  <conditionalFormatting sqref="Q75">
    <cfRule type="expression" dxfId="740" priority="46">
      <formula>AND($A75&lt;&gt;"",Q75="")</formula>
    </cfRule>
  </conditionalFormatting>
  <conditionalFormatting sqref="T75">
    <cfRule type="expression" dxfId="739" priority="45">
      <formula>AND($A75&lt;&gt;"",T75="")</formula>
    </cfRule>
  </conditionalFormatting>
  <conditionalFormatting sqref="Z75">
    <cfRule type="expression" dxfId="738" priority="44">
      <formula>AND($A75&lt;&gt;"",Z75="")</formula>
    </cfRule>
  </conditionalFormatting>
  <conditionalFormatting sqref="AC75">
    <cfRule type="expression" dxfId="737" priority="43">
      <formula>AND($A75&lt;&gt;"",AC75="")</formula>
    </cfRule>
  </conditionalFormatting>
  <conditionalFormatting sqref="AF75">
    <cfRule type="expression" dxfId="736" priority="42">
      <formula>AND($A75&lt;&gt;"",AF75="")</formula>
    </cfRule>
  </conditionalFormatting>
  <conditionalFormatting sqref="AL75">
    <cfRule type="expression" dxfId="735" priority="41">
      <formula>AND($A75&lt;&gt;"",AL75="")</formula>
    </cfRule>
  </conditionalFormatting>
  <conditionalFormatting sqref="B42">
    <cfRule type="expression" dxfId="734" priority="40">
      <formula>AND($A42&lt;&gt;"",B42="")</formula>
    </cfRule>
  </conditionalFormatting>
  <conditionalFormatting sqref="E42">
    <cfRule type="expression" dxfId="733" priority="39">
      <formula>AND($A42&lt;&gt;"",E42="")</formula>
    </cfRule>
  </conditionalFormatting>
  <conditionalFormatting sqref="H42">
    <cfRule type="expression" dxfId="732" priority="38">
      <formula>AND($A42&lt;&gt;"",H42="")</formula>
    </cfRule>
  </conditionalFormatting>
  <conditionalFormatting sqref="N42">
    <cfRule type="expression" dxfId="731" priority="37">
      <formula>AND($A42&lt;&gt;"",N42="")</formula>
    </cfRule>
  </conditionalFormatting>
  <conditionalFormatting sqref="Q42">
    <cfRule type="expression" dxfId="730" priority="36">
      <formula>AND($A42&lt;&gt;"",Q42="")</formula>
    </cfRule>
  </conditionalFormatting>
  <conditionalFormatting sqref="T42">
    <cfRule type="expression" dxfId="729" priority="35">
      <formula>AND($A42&lt;&gt;"",T42="")</formula>
    </cfRule>
  </conditionalFormatting>
  <conditionalFormatting sqref="Z42">
    <cfRule type="expression" dxfId="728" priority="34">
      <formula>AND($A42&lt;&gt;"",Z42="")</formula>
    </cfRule>
  </conditionalFormatting>
  <conditionalFormatting sqref="AC42">
    <cfRule type="expression" dxfId="727" priority="33">
      <formula>AND($A42&lt;&gt;"",AC42="")</formula>
    </cfRule>
  </conditionalFormatting>
  <conditionalFormatting sqref="AF42">
    <cfRule type="expression" dxfId="726" priority="32">
      <formula>AND($A42&lt;&gt;"",AF42="")</formula>
    </cfRule>
  </conditionalFormatting>
  <conditionalFormatting sqref="AL42">
    <cfRule type="expression" dxfId="725" priority="31">
      <formula>AND($A42&lt;&gt;"",AL42="")</formula>
    </cfRule>
  </conditionalFormatting>
  <conditionalFormatting sqref="B76">
    <cfRule type="expression" dxfId="724" priority="30">
      <formula>AND($A76&lt;&gt;"",B76="")</formula>
    </cfRule>
  </conditionalFormatting>
  <conditionalFormatting sqref="E76">
    <cfRule type="expression" dxfId="723" priority="29">
      <formula>AND($A76&lt;&gt;"",E76="")</formula>
    </cfRule>
  </conditionalFormatting>
  <conditionalFormatting sqref="H76">
    <cfRule type="expression" dxfId="722" priority="28">
      <formula>AND($A76&lt;&gt;"",H76="")</formula>
    </cfRule>
  </conditionalFormatting>
  <conditionalFormatting sqref="N76">
    <cfRule type="expression" dxfId="721" priority="27">
      <formula>AND($A76&lt;&gt;"",N76="")</formula>
    </cfRule>
  </conditionalFormatting>
  <conditionalFormatting sqref="Q76">
    <cfRule type="expression" dxfId="720" priority="26">
      <formula>AND($A76&lt;&gt;"",Q76="")</formula>
    </cfRule>
  </conditionalFormatting>
  <conditionalFormatting sqref="T76">
    <cfRule type="expression" dxfId="719" priority="25">
      <formula>AND($A76&lt;&gt;"",T76="")</formula>
    </cfRule>
  </conditionalFormatting>
  <conditionalFormatting sqref="Z76">
    <cfRule type="expression" dxfId="718" priority="24">
      <formula>AND($A76&lt;&gt;"",Z76="")</formula>
    </cfRule>
  </conditionalFormatting>
  <conditionalFormatting sqref="AC76">
    <cfRule type="expression" dxfId="717" priority="23">
      <formula>AND($A76&lt;&gt;"",AC76="")</formula>
    </cfRule>
  </conditionalFormatting>
  <conditionalFormatting sqref="AF76">
    <cfRule type="expression" dxfId="716" priority="22">
      <formula>AND($A76&lt;&gt;"",AF76="")</formula>
    </cfRule>
  </conditionalFormatting>
  <conditionalFormatting sqref="AL76">
    <cfRule type="expression" dxfId="715" priority="21">
      <formula>AND($A76&lt;&gt;"",AL76="")</formula>
    </cfRule>
  </conditionalFormatting>
  <conditionalFormatting sqref="B43">
    <cfRule type="expression" dxfId="714" priority="20">
      <formula>AND($A43&lt;&gt;"",B43="")</formula>
    </cfRule>
  </conditionalFormatting>
  <conditionalFormatting sqref="E43">
    <cfRule type="expression" dxfId="713" priority="19">
      <formula>AND($A43&lt;&gt;"",E43="")</formula>
    </cfRule>
  </conditionalFormatting>
  <conditionalFormatting sqref="H43">
    <cfRule type="expression" dxfId="712" priority="18">
      <formula>AND($A43&lt;&gt;"",H43="")</formula>
    </cfRule>
  </conditionalFormatting>
  <conditionalFormatting sqref="N43">
    <cfRule type="expression" dxfId="711" priority="17">
      <formula>AND($A43&lt;&gt;"",N43="")</formula>
    </cfRule>
  </conditionalFormatting>
  <conditionalFormatting sqref="Q43">
    <cfRule type="expression" dxfId="710" priority="16">
      <formula>AND($A43&lt;&gt;"",Q43="")</formula>
    </cfRule>
  </conditionalFormatting>
  <conditionalFormatting sqref="T43">
    <cfRule type="expression" dxfId="709" priority="15">
      <formula>AND($A43&lt;&gt;"",T43="")</formula>
    </cfRule>
  </conditionalFormatting>
  <conditionalFormatting sqref="Z43">
    <cfRule type="expression" dxfId="708" priority="14">
      <formula>AND($A43&lt;&gt;"",Z43="")</formula>
    </cfRule>
  </conditionalFormatting>
  <conditionalFormatting sqref="AC43">
    <cfRule type="expression" dxfId="707" priority="13">
      <formula>AND($A43&lt;&gt;"",AC43="")</formula>
    </cfRule>
  </conditionalFormatting>
  <conditionalFormatting sqref="AF43">
    <cfRule type="expression" dxfId="706" priority="12">
      <formula>AND($A43&lt;&gt;"",AF43="")</formula>
    </cfRule>
  </conditionalFormatting>
  <conditionalFormatting sqref="AL43">
    <cfRule type="expression" dxfId="705" priority="11">
      <formula>AND($A43&lt;&gt;"",AL43="")</formula>
    </cfRule>
  </conditionalFormatting>
  <conditionalFormatting sqref="B77">
    <cfRule type="expression" dxfId="704" priority="10">
      <formula>AND($A77&lt;&gt;"",B77="")</formula>
    </cfRule>
  </conditionalFormatting>
  <conditionalFormatting sqref="E77">
    <cfRule type="expression" dxfId="703" priority="9">
      <formula>AND($A77&lt;&gt;"",E77="")</formula>
    </cfRule>
  </conditionalFormatting>
  <conditionalFormatting sqref="H77">
    <cfRule type="expression" dxfId="702" priority="8">
      <formula>AND($A77&lt;&gt;"",H77="")</formula>
    </cfRule>
  </conditionalFormatting>
  <conditionalFormatting sqref="N77">
    <cfRule type="expression" dxfId="701" priority="7">
      <formula>AND($A77&lt;&gt;"",N77="")</formula>
    </cfRule>
  </conditionalFormatting>
  <conditionalFormatting sqref="Q77">
    <cfRule type="expression" dxfId="700" priority="6">
      <formula>AND($A77&lt;&gt;"",Q77="")</formula>
    </cfRule>
  </conditionalFormatting>
  <conditionalFormatting sqref="T77">
    <cfRule type="expression" dxfId="699" priority="5">
      <formula>AND($A77&lt;&gt;"",T77="")</formula>
    </cfRule>
  </conditionalFormatting>
  <conditionalFormatting sqref="Z77">
    <cfRule type="expression" dxfId="698" priority="4">
      <formula>AND($A77&lt;&gt;"",Z77="")</formula>
    </cfRule>
  </conditionalFormatting>
  <conditionalFormatting sqref="AC77">
    <cfRule type="expression" dxfId="697" priority="3">
      <formula>AND($A77&lt;&gt;"",AC77="")</formula>
    </cfRule>
  </conditionalFormatting>
  <conditionalFormatting sqref="AF77">
    <cfRule type="expression" dxfId="696" priority="2">
      <formula>AND($A77&lt;&gt;"",AF77="")</formula>
    </cfRule>
  </conditionalFormatting>
  <conditionalFormatting sqref="AL77">
    <cfRule type="expression" dxfId="695" priority="1">
      <formula>AND($A77&lt;&gt;"",AL77="")</formula>
    </cfRule>
  </conditionalFormatting>
  <pageMargins left="0.5" right="0.5" top="0.5" bottom="0.5" header="0.3" footer="0.3"/>
  <pageSetup scale="17" orientation="landscape" r:id="rId1"/>
  <headerFooter>
    <oddFooter>&amp;LNC DHHS LME-MCO Performance Measures Report Part II DMH/DD/SAS Measures&amp;C&amp;P&amp;R&amp;F</oddFooter>
  </headerFooter>
  <rowBreaks count="1" manualBreakCount="1">
    <brk id="46" max="16383" man="1"/>
  </rowBreaks>
  <colBreaks count="1" manualBreakCount="1">
    <brk id="13" max="1048575" man="1"/>
  </col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W24"/>
  <sheetViews>
    <sheetView showGridLines="0" zoomScaleNormal="100" zoomScaleSheetLayoutView="100" workbookViewId="0">
      <pane xSplit="1" ySplit="16" topLeftCell="B17" activePane="bottomRight" state="frozen"/>
      <selection activeCell="E7" sqref="E7:I7"/>
      <selection pane="topRight" activeCell="E7" sqref="E7:I7"/>
      <selection pane="bottomLeft" activeCell="E7" sqref="E7:I7"/>
      <selection pane="bottomRight" activeCell="B17" sqref="B17"/>
    </sheetView>
  </sheetViews>
  <sheetFormatPr defaultRowHeight="12.75" x14ac:dyDescent="0.2"/>
  <cols>
    <col min="1" max="1" width="22.140625" style="22" customWidth="1"/>
    <col min="2" max="4" width="16.7109375" style="22" customWidth="1"/>
    <col min="5" max="5" width="18.7109375" style="22" customWidth="1"/>
    <col min="6" max="6" width="19.7109375" style="22" customWidth="1"/>
    <col min="7" max="7" width="16.7109375" style="22" customWidth="1"/>
    <col min="8" max="8" width="18.7109375" style="22" customWidth="1"/>
    <col min="9" max="11" width="16.7109375" style="22" customWidth="1"/>
    <col min="12" max="12" width="18.7109375" style="22" customWidth="1"/>
    <col min="13" max="13" width="19.7109375" style="22" customWidth="1"/>
    <col min="14" max="14" width="16.7109375" style="22" customWidth="1"/>
    <col min="15" max="15" width="18.7109375" style="22" customWidth="1"/>
    <col min="16" max="18" width="16.7109375" style="22" customWidth="1"/>
    <col min="19" max="19" width="18.7109375" style="22" customWidth="1"/>
    <col min="20" max="20" width="19.7109375" style="22" customWidth="1"/>
    <col min="21" max="21" width="16.7109375" style="22" customWidth="1"/>
    <col min="22" max="22" width="18.7109375" style="22" customWidth="1"/>
    <col min="23" max="23" width="9.42578125" style="22" customWidth="1"/>
    <col min="24" max="16384" width="9.140625" style="22"/>
  </cols>
  <sheetData>
    <row r="1" spans="1:23" ht="15" customHeight="1" x14ac:dyDescent="0.2">
      <c r="A1" s="36" t="s">
        <v>28</v>
      </c>
      <c r="I1" s="36" t="s">
        <v>329</v>
      </c>
      <c r="P1" s="36" t="s">
        <v>329</v>
      </c>
    </row>
    <row r="2" spans="1:23" ht="15" customHeight="1" x14ac:dyDescent="0.2">
      <c r="A2" s="36" t="s">
        <v>196</v>
      </c>
      <c r="I2" s="358" t="s">
        <v>330</v>
      </c>
      <c r="P2" s="358" t="s">
        <v>330</v>
      </c>
    </row>
    <row r="3" spans="1:23" ht="15" customHeight="1" x14ac:dyDescent="0.2">
      <c r="A3" s="30" t="s">
        <v>194</v>
      </c>
      <c r="C3" s="147">
        <f>IF('Set-Up Worksheet'!F3="","Data Not Entered On Set-Up Worksheet",'Set-Up Worksheet'!F3)</f>
        <v>2018</v>
      </c>
      <c r="D3" s="147"/>
      <c r="E3" s="38"/>
      <c r="F3" s="38"/>
      <c r="J3" s="147">
        <f t="shared" ref="J3:J4" si="0">C3</f>
        <v>2018</v>
      </c>
      <c r="K3" s="147"/>
      <c r="L3" s="38"/>
      <c r="M3" s="38"/>
      <c r="Q3" s="147">
        <f t="shared" ref="Q3:Q4" si="1">C3</f>
        <v>2018</v>
      </c>
      <c r="R3" s="147"/>
      <c r="S3" s="38"/>
      <c r="T3" s="38"/>
    </row>
    <row r="4" spans="1:23" ht="15" customHeight="1" x14ac:dyDescent="0.2">
      <c r="A4" s="30" t="s">
        <v>195</v>
      </c>
      <c r="C4" s="147" t="str">
        <f>IF('Set-Up Worksheet'!F4="","Data Not Entered On Set-Up Worksheet",'Set-Up Worksheet'!F4)</f>
        <v>1st Quarter</v>
      </c>
      <c r="D4" s="147"/>
      <c r="E4" s="38"/>
      <c r="F4" s="32"/>
      <c r="J4" s="147" t="str">
        <f t="shared" si="0"/>
        <v>1st Quarter</v>
      </c>
      <c r="K4" s="147"/>
      <c r="L4" s="38"/>
      <c r="M4" s="32"/>
      <c r="Q4" s="147" t="str">
        <f t="shared" si="1"/>
        <v>1st Quarter</v>
      </c>
      <c r="R4" s="147"/>
      <c r="S4" s="38"/>
      <c r="T4" s="32"/>
    </row>
    <row r="5" spans="1:23" ht="15" customHeight="1" x14ac:dyDescent="0.2">
      <c r="A5" s="30"/>
      <c r="C5" s="32"/>
      <c r="D5" s="32"/>
      <c r="E5" s="32"/>
      <c r="F5" s="32"/>
      <c r="J5" s="32"/>
      <c r="K5" s="32"/>
      <c r="L5" s="32"/>
      <c r="M5" s="32"/>
      <c r="Q5" s="32"/>
      <c r="R5" s="32"/>
      <c r="S5" s="32"/>
      <c r="T5" s="32"/>
    </row>
    <row r="6" spans="1:23" ht="15" customHeight="1" x14ac:dyDescent="0.2">
      <c r="A6" s="30" t="s">
        <v>309</v>
      </c>
      <c r="C6" s="32"/>
      <c r="D6" s="32"/>
      <c r="E6" s="32"/>
      <c r="F6" s="32"/>
      <c r="I6" s="30" t="s">
        <v>331</v>
      </c>
      <c r="J6" s="32"/>
      <c r="K6" s="32"/>
      <c r="L6" s="32"/>
      <c r="M6" s="32"/>
      <c r="P6" s="30" t="s">
        <v>331</v>
      </c>
      <c r="Q6" s="32"/>
      <c r="R6" s="32"/>
      <c r="S6" s="32"/>
      <c r="T6" s="32"/>
    </row>
    <row r="7" spans="1:23" ht="15" customHeight="1" x14ac:dyDescent="0.2">
      <c r="A7" s="30" t="s">
        <v>325</v>
      </c>
      <c r="C7" s="32"/>
      <c r="D7" s="32"/>
      <c r="E7" s="32"/>
      <c r="F7" s="32"/>
      <c r="I7" s="30" t="s">
        <v>417</v>
      </c>
      <c r="J7" s="32"/>
      <c r="K7" s="32"/>
      <c r="L7" s="32"/>
      <c r="M7" s="32"/>
      <c r="P7" s="30" t="s">
        <v>417</v>
      </c>
      <c r="Q7" s="32"/>
      <c r="R7" s="32"/>
      <c r="S7" s="32"/>
      <c r="T7" s="32"/>
    </row>
    <row r="8" spans="1:23" ht="15" customHeight="1" x14ac:dyDescent="0.2">
      <c r="A8" s="30"/>
      <c r="C8" s="32"/>
      <c r="D8" s="32"/>
      <c r="E8" s="32"/>
      <c r="F8" s="32"/>
      <c r="J8" s="32"/>
      <c r="K8" s="32"/>
      <c r="L8" s="32"/>
      <c r="M8" s="32"/>
      <c r="Q8" s="32"/>
      <c r="R8" s="32"/>
      <c r="S8" s="32"/>
      <c r="T8" s="32"/>
    </row>
    <row r="9" spans="1:23" ht="15" customHeight="1" x14ac:dyDescent="0.2">
      <c r="A9" s="30" t="s">
        <v>29</v>
      </c>
      <c r="C9" s="39" t="str">
        <f>IF('Set-Up Worksheet'!E7="","Data Not Entered On Set-Up Worksheet",'Set-Up Worksheet'!E7)</f>
        <v>Data Not Entered On Set-Up Worksheet</v>
      </c>
      <c r="D9" s="39"/>
      <c r="E9" s="39"/>
      <c r="F9" s="80"/>
      <c r="J9" s="39" t="str">
        <f t="shared" ref="J9:J11" si="2">C9</f>
        <v>Data Not Entered On Set-Up Worksheet</v>
      </c>
      <c r="K9" s="39"/>
      <c r="L9" s="39"/>
      <c r="M9" s="80"/>
      <c r="Q9" s="39" t="str">
        <f t="shared" ref="Q9:Q11" si="3">C9</f>
        <v>Data Not Entered On Set-Up Worksheet</v>
      </c>
      <c r="R9" s="39"/>
      <c r="S9" s="39"/>
      <c r="T9" s="80"/>
    </row>
    <row r="10" spans="1:23" ht="15" customHeight="1" x14ac:dyDescent="0.2">
      <c r="A10" s="30" t="s">
        <v>9</v>
      </c>
      <c r="C10" s="32" t="s">
        <v>10</v>
      </c>
      <c r="D10" s="32"/>
      <c r="E10" s="32"/>
      <c r="F10" s="32"/>
      <c r="J10" s="39" t="str">
        <f t="shared" si="2"/>
        <v>Behavioral Health</v>
      </c>
      <c r="K10" s="32"/>
      <c r="L10" s="32"/>
      <c r="M10" s="32"/>
      <c r="Q10" s="39" t="str">
        <f t="shared" si="3"/>
        <v>Behavioral Health</v>
      </c>
      <c r="R10" s="32"/>
      <c r="S10" s="32"/>
      <c r="T10" s="32"/>
    </row>
    <row r="11" spans="1:23" ht="15" customHeight="1" x14ac:dyDescent="0.2">
      <c r="A11" s="30" t="s">
        <v>197</v>
      </c>
      <c r="C11" s="40" t="str">
        <f>IF(C4="Data Not Entered On Set-Up Worksheet","Data Not Entered On Set-Up Worksheet",IF(C4="1st Quarter",'Report Schedule'!D22,IF(C4="2nd Quarter",'Report Schedule'!E22,IF(C4="3rd Quarter",'Report Schedule'!F22,IF(C4="4th Quarter",'Report Schedule'!G22,"")))))</f>
        <v>Apr - Jun 2017</v>
      </c>
      <c r="D11" s="40"/>
      <c r="E11" s="313" t="str">
        <f>IF(COUNTA(B17:F19)&lt;&gt;15,"Enter data in yellow shaded cells","")</f>
        <v>Enter data in yellow shaded cells</v>
      </c>
      <c r="F11" s="40"/>
      <c r="J11" s="40" t="str">
        <f t="shared" si="2"/>
        <v>Apr - Jun 2017</v>
      </c>
      <c r="K11" s="40"/>
      <c r="L11" s="313" t="str">
        <f>IF(COUNTA(I17:M19)&lt;&gt;15,"Enter data in yellow shaded cells","")</f>
        <v>Enter data in yellow shaded cells</v>
      </c>
      <c r="M11" s="40"/>
      <c r="Q11" s="40" t="str">
        <f t="shared" si="3"/>
        <v>Apr - Jun 2017</v>
      </c>
      <c r="R11" s="40"/>
      <c r="S11" s="313" t="str">
        <f>IF(COUNTA(P17:T19)&lt;&gt;15,"Enter data in yellow shaded cells","")</f>
        <v>Enter data in yellow shaded cells</v>
      </c>
      <c r="T11" s="40"/>
    </row>
    <row r="12" spans="1:23" ht="15" customHeight="1" x14ac:dyDescent="0.2">
      <c r="A12" s="30"/>
      <c r="C12" s="40"/>
      <c r="D12" s="40"/>
      <c r="E12" s="40"/>
      <c r="F12" s="40"/>
      <c r="J12" s="40"/>
      <c r="K12" s="40"/>
      <c r="L12" s="40"/>
      <c r="M12" s="40"/>
      <c r="Q12" s="40"/>
      <c r="R12" s="40"/>
      <c r="S12" s="40"/>
      <c r="T12" s="40"/>
    </row>
    <row r="13" spans="1:23" ht="15" customHeight="1" thickBot="1" x14ac:dyDescent="0.25">
      <c r="A13" s="30"/>
      <c r="C13" s="40"/>
      <c r="D13" s="40"/>
      <c r="E13" s="40"/>
      <c r="F13" s="40"/>
      <c r="J13" s="40"/>
      <c r="K13" s="40"/>
      <c r="L13" s="40"/>
      <c r="M13" s="40"/>
      <c r="Q13" s="40"/>
      <c r="R13" s="40"/>
      <c r="S13" s="40"/>
      <c r="T13" s="40"/>
    </row>
    <row r="14" spans="1:23" ht="18" customHeight="1" thickBot="1" x14ac:dyDescent="0.25">
      <c r="A14" s="368" t="s">
        <v>327</v>
      </c>
      <c r="B14" s="382" t="s">
        <v>39</v>
      </c>
      <c r="C14" s="366"/>
      <c r="D14" s="366"/>
      <c r="E14" s="366"/>
      <c r="F14" s="366"/>
      <c r="G14" s="366"/>
      <c r="H14" s="367"/>
      <c r="I14" s="383" t="s">
        <v>241</v>
      </c>
      <c r="J14" s="375"/>
      <c r="K14" s="375"/>
      <c r="L14" s="375"/>
      <c r="M14" s="375"/>
      <c r="N14" s="375"/>
      <c r="O14" s="376"/>
      <c r="P14" s="384" t="s">
        <v>243</v>
      </c>
      <c r="Q14" s="366"/>
      <c r="R14" s="366"/>
      <c r="S14" s="366"/>
      <c r="T14" s="366"/>
      <c r="U14" s="366"/>
      <c r="V14" s="367"/>
    </row>
    <row r="15" spans="1:23" ht="13.5" thickBot="1" x14ac:dyDescent="0.25">
      <c r="B15" s="45" t="s">
        <v>320</v>
      </c>
      <c r="C15" s="45"/>
      <c r="D15" s="45"/>
      <c r="E15" s="45" t="s">
        <v>321</v>
      </c>
      <c r="F15" s="45" t="s">
        <v>4</v>
      </c>
      <c r="G15" s="225" t="s">
        <v>322</v>
      </c>
      <c r="H15" s="225" t="s">
        <v>323</v>
      </c>
      <c r="I15" s="45" t="s">
        <v>320</v>
      </c>
      <c r="J15" s="45"/>
      <c r="K15" s="45"/>
      <c r="L15" s="45" t="s">
        <v>321</v>
      </c>
      <c r="M15" s="45" t="s">
        <v>4</v>
      </c>
      <c r="N15" s="225" t="s">
        <v>322</v>
      </c>
      <c r="O15" s="225" t="s">
        <v>323</v>
      </c>
      <c r="P15" s="45" t="s">
        <v>320</v>
      </c>
      <c r="Q15" s="45"/>
      <c r="R15" s="45"/>
      <c r="S15" s="45" t="s">
        <v>321</v>
      </c>
      <c r="T15" s="45" t="s">
        <v>4</v>
      </c>
      <c r="U15" s="225" t="s">
        <v>322</v>
      </c>
      <c r="V15" s="225" t="s">
        <v>323</v>
      </c>
      <c r="W15" s="37"/>
    </row>
    <row r="16" spans="1:23" ht="69.95" customHeight="1" x14ac:dyDescent="0.2">
      <c r="A16" s="371" t="s">
        <v>38</v>
      </c>
      <c r="B16" s="369" t="s">
        <v>316</v>
      </c>
      <c r="C16" s="351" t="s">
        <v>310</v>
      </c>
      <c r="D16" s="351" t="s">
        <v>312</v>
      </c>
      <c r="E16" s="351" t="s">
        <v>317</v>
      </c>
      <c r="F16" s="351" t="s">
        <v>311</v>
      </c>
      <c r="G16" s="362" t="s">
        <v>314</v>
      </c>
      <c r="H16" s="352" t="s">
        <v>313</v>
      </c>
      <c r="I16" s="377" t="s">
        <v>316</v>
      </c>
      <c r="J16" s="345" t="s">
        <v>310</v>
      </c>
      <c r="K16" s="345" t="s">
        <v>312</v>
      </c>
      <c r="L16" s="345" t="s">
        <v>317</v>
      </c>
      <c r="M16" s="345" t="s">
        <v>311</v>
      </c>
      <c r="N16" s="378" t="s">
        <v>314</v>
      </c>
      <c r="O16" s="346" t="s">
        <v>313</v>
      </c>
      <c r="P16" s="381" t="s">
        <v>316</v>
      </c>
      <c r="Q16" s="351" t="s">
        <v>310</v>
      </c>
      <c r="R16" s="351" t="s">
        <v>312</v>
      </c>
      <c r="S16" s="351" t="s">
        <v>317</v>
      </c>
      <c r="T16" s="351" t="s">
        <v>311</v>
      </c>
      <c r="U16" s="362" t="s">
        <v>314</v>
      </c>
      <c r="V16" s="352" t="s">
        <v>313</v>
      </c>
    </row>
    <row r="17" spans="1:23" ht="36" customHeight="1" x14ac:dyDescent="0.2">
      <c r="A17" s="372" t="s">
        <v>6</v>
      </c>
      <c r="B17" s="360"/>
      <c r="C17" s="42"/>
      <c r="D17" s="42"/>
      <c r="E17" s="42"/>
      <c r="F17" s="42"/>
      <c r="G17" s="43">
        <f t="shared" ref="G17:G21" si="4">IF($F17=0,0,B17/$F17)</f>
        <v>0</v>
      </c>
      <c r="H17" s="347">
        <f t="shared" ref="H17:H21" si="5">IF($F17=0,0,E17/$F17)</f>
        <v>0</v>
      </c>
      <c r="I17" s="52"/>
      <c r="J17" s="42"/>
      <c r="K17" s="42"/>
      <c r="L17" s="42"/>
      <c r="M17" s="42"/>
      <c r="N17" s="43">
        <f>IF($M17=0,0,I17/$M17)</f>
        <v>0</v>
      </c>
      <c r="O17" s="347">
        <f>IF($M17=0,0,L17/$M17)</f>
        <v>0</v>
      </c>
      <c r="P17" s="52"/>
      <c r="Q17" s="42"/>
      <c r="R17" s="42"/>
      <c r="S17" s="42"/>
      <c r="T17" s="42"/>
      <c r="U17" s="43">
        <f>IF($T17=0,0,P17/$T17)</f>
        <v>0</v>
      </c>
      <c r="V17" s="347">
        <f>IF($T17=0,0,S17/$T17)</f>
        <v>0</v>
      </c>
    </row>
    <row r="18" spans="1:23" ht="36" customHeight="1" x14ac:dyDescent="0.2">
      <c r="A18" s="372" t="s">
        <v>7</v>
      </c>
      <c r="B18" s="360"/>
      <c r="C18" s="42"/>
      <c r="D18" s="42"/>
      <c r="E18" s="42"/>
      <c r="F18" s="42"/>
      <c r="G18" s="43">
        <f t="shared" si="4"/>
        <v>0</v>
      </c>
      <c r="H18" s="347">
        <f t="shared" si="5"/>
        <v>0</v>
      </c>
      <c r="I18" s="52"/>
      <c r="J18" s="42"/>
      <c r="K18" s="42"/>
      <c r="L18" s="42"/>
      <c r="M18" s="42"/>
      <c r="N18" s="43">
        <f>IF($M18=0,0,I18/$M18)</f>
        <v>0</v>
      </c>
      <c r="O18" s="347">
        <f>IF($M18=0,0,L18/$M18)</f>
        <v>0</v>
      </c>
      <c r="P18" s="52"/>
      <c r="Q18" s="42"/>
      <c r="R18" s="42"/>
      <c r="S18" s="42"/>
      <c r="T18" s="42"/>
      <c r="U18" s="43">
        <f>IF($T18=0,0,P18/$T18)</f>
        <v>0</v>
      </c>
      <c r="V18" s="347">
        <f>IF($T18=0,0,S18/$T18)</f>
        <v>0</v>
      </c>
      <c r="W18" s="41"/>
    </row>
    <row r="19" spans="1:23" ht="36" customHeight="1" x14ac:dyDescent="0.2">
      <c r="A19" s="373" t="s">
        <v>315</v>
      </c>
      <c r="B19" s="360"/>
      <c r="C19" s="42"/>
      <c r="D19" s="42"/>
      <c r="E19" s="42"/>
      <c r="F19" s="42"/>
      <c r="G19" s="43">
        <f t="shared" ref="G19" si="6">IF($F19=0,0,B19/$F19)</f>
        <v>0</v>
      </c>
      <c r="H19" s="347">
        <f t="shared" ref="H19" si="7">IF($F19=0,0,E19/$F19)</f>
        <v>0</v>
      </c>
      <c r="I19" s="52"/>
      <c r="J19" s="42"/>
      <c r="K19" s="42"/>
      <c r="L19" s="42"/>
      <c r="M19" s="42"/>
      <c r="N19" s="43">
        <f>IF($M19=0,0,I19/$M19)</f>
        <v>0</v>
      </c>
      <c r="O19" s="347">
        <f>IF($M19=0,0,L19/$M19)</f>
        <v>0</v>
      </c>
      <c r="P19" s="52"/>
      <c r="Q19" s="42"/>
      <c r="R19" s="42"/>
      <c r="S19" s="42"/>
      <c r="T19" s="42"/>
      <c r="U19" s="43">
        <f>IF($T19=0,0,P19/$T19)</f>
        <v>0</v>
      </c>
      <c r="V19" s="347">
        <f>IF($T19=0,0,S19/$T19)</f>
        <v>0</v>
      </c>
    </row>
    <row r="20" spans="1:23" ht="36" customHeight="1" x14ac:dyDescent="0.2">
      <c r="A20" s="373" t="s">
        <v>318</v>
      </c>
      <c r="B20" s="361">
        <f>SUM(B18:B19)</f>
        <v>0</v>
      </c>
      <c r="C20" s="46">
        <f t="shared" ref="C20:F20" si="8">SUM(C18:C19)</f>
        <v>0</v>
      </c>
      <c r="D20" s="46">
        <f t="shared" si="8"/>
        <v>0</v>
      </c>
      <c r="E20" s="46">
        <f t="shared" si="8"/>
        <v>0</v>
      </c>
      <c r="F20" s="46">
        <f t="shared" si="8"/>
        <v>0</v>
      </c>
      <c r="G20" s="43">
        <f t="shared" si="4"/>
        <v>0</v>
      </c>
      <c r="H20" s="347">
        <f t="shared" si="5"/>
        <v>0</v>
      </c>
      <c r="I20" s="379">
        <f>SUM(I18:I19)</f>
        <v>0</v>
      </c>
      <c r="J20" s="46">
        <f t="shared" ref="J20:M20" si="9">SUM(J18:J19)</f>
        <v>0</v>
      </c>
      <c r="K20" s="46">
        <f t="shared" si="9"/>
        <v>0</v>
      </c>
      <c r="L20" s="46">
        <f t="shared" si="9"/>
        <v>0</v>
      </c>
      <c r="M20" s="46">
        <f t="shared" si="9"/>
        <v>0</v>
      </c>
      <c r="N20" s="43">
        <f>IF($M20=0,0,I20/$M20)</f>
        <v>0</v>
      </c>
      <c r="O20" s="347">
        <f>IF($M20=0,0,L20/$M20)</f>
        <v>0</v>
      </c>
      <c r="P20" s="379">
        <f>SUM(P18:P19)</f>
        <v>0</v>
      </c>
      <c r="Q20" s="46">
        <f t="shared" ref="Q20:T20" si="10">SUM(Q18:Q19)</f>
        <v>0</v>
      </c>
      <c r="R20" s="46">
        <f t="shared" si="10"/>
        <v>0</v>
      </c>
      <c r="S20" s="46">
        <f t="shared" si="10"/>
        <v>0</v>
      </c>
      <c r="T20" s="46">
        <f t="shared" si="10"/>
        <v>0</v>
      </c>
      <c r="U20" s="43">
        <f>IF($T20=0,0,P20/$T20)</f>
        <v>0</v>
      </c>
      <c r="V20" s="347">
        <f>IF($T20=0,0,S20/$T20)</f>
        <v>0</v>
      </c>
    </row>
    <row r="21" spans="1:23" ht="36" customHeight="1" thickBot="1" x14ac:dyDescent="0.25">
      <c r="A21" s="374" t="s">
        <v>37</v>
      </c>
      <c r="B21" s="370">
        <f>SUM(B17:B19)</f>
        <v>0</v>
      </c>
      <c r="C21" s="363">
        <f>SUM(C17:C19)</f>
        <v>0</v>
      </c>
      <c r="D21" s="363">
        <f>SUM(D17:D19)</f>
        <v>0</v>
      </c>
      <c r="E21" s="363">
        <f>SUM(E17:E19)</f>
        <v>0</v>
      </c>
      <c r="F21" s="363">
        <f>SUM(F17:F19)</f>
        <v>0</v>
      </c>
      <c r="G21" s="364">
        <f t="shared" si="4"/>
        <v>0</v>
      </c>
      <c r="H21" s="365">
        <f t="shared" si="5"/>
        <v>0</v>
      </c>
      <c r="I21" s="380">
        <f>SUM(I17:I19)</f>
        <v>0</v>
      </c>
      <c r="J21" s="363">
        <f>SUM(J17:J19)</f>
        <v>0</v>
      </c>
      <c r="K21" s="363">
        <f>SUM(K17:K19)</f>
        <v>0</v>
      </c>
      <c r="L21" s="363">
        <f>SUM(L17:L19)</f>
        <v>0</v>
      </c>
      <c r="M21" s="363">
        <f>SUM(M17:M19)</f>
        <v>0</v>
      </c>
      <c r="N21" s="364">
        <f>IF($M21=0,0,I21/$M21)</f>
        <v>0</v>
      </c>
      <c r="O21" s="365">
        <f>IF($M21=0,0,L21/$M21)</f>
        <v>0</v>
      </c>
      <c r="P21" s="380">
        <f>SUM(P17:P19)</f>
        <v>0</v>
      </c>
      <c r="Q21" s="363">
        <f>SUM(Q17:Q19)</f>
        <v>0</v>
      </c>
      <c r="R21" s="363">
        <f>SUM(R17:R19)</f>
        <v>0</v>
      </c>
      <c r="S21" s="363">
        <f>SUM(S17:S19)</f>
        <v>0</v>
      </c>
      <c r="T21" s="363">
        <f>SUM(T17:T19)</f>
        <v>0</v>
      </c>
      <c r="U21" s="364">
        <f>IF($T21=0,0,P21/$T21)</f>
        <v>0</v>
      </c>
      <c r="V21" s="365">
        <f>IF($T21=0,0,S21/$T21)</f>
        <v>0</v>
      </c>
    </row>
    <row r="22" spans="1:23" x14ac:dyDescent="0.2">
      <c r="C22" s="44"/>
      <c r="D22" s="44"/>
      <c r="E22" s="44"/>
      <c r="F22" s="44"/>
      <c r="J22" s="44"/>
      <c r="K22" s="44"/>
      <c r="L22" s="44"/>
      <c r="M22" s="44"/>
      <c r="Q22" s="44"/>
      <c r="R22" s="44"/>
      <c r="S22" s="44"/>
      <c r="T22" s="44"/>
    </row>
    <row r="24" spans="1:23" s="60" customFormat="1" x14ac:dyDescent="0.2">
      <c r="B24" s="60" t="s">
        <v>465</v>
      </c>
      <c r="I24" s="60" t="s">
        <v>466</v>
      </c>
      <c r="P24" s="60" t="s">
        <v>467</v>
      </c>
    </row>
  </sheetData>
  <sheetProtection sheet="1" objects="1" scenarios="1"/>
  <phoneticPr fontId="12" type="noConversion"/>
  <conditionalFormatting sqref="C3:F3 C9:E9 C12:F13 C4:E4 F11">
    <cfRule type="expression" dxfId="694" priority="21">
      <formula>C3="Data Not Entered On Set-Up Worksheet"</formula>
    </cfRule>
  </conditionalFormatting>
  <conditionalFormatting sqref="B17:F19">
    <cfRule type="cellIs" dxfId="693" priority="18" operator="equal">
      <formula>""</formula>
    </cfRule>
  </conditionalFormatting>
  <conditionalFormatting sqref="C11:D11">
    <cfRule type="expression" dxfId="692" priority="17">
      <formula>C11="Data Not Entered On Set-Up Worksheet"</formula>
    </cfRule>
  </conditionalFormatting>
  <conditionalFormatting sqref="J3:M3 J9:L9 J12:M13 J4:L4 M11">
    <cfRule type="expression" dxfId="691" priority="10">
      <formula>J3="Data Not Entered On Set-Up Worksheet"</formula>
    </cfRule>
  </conditionalFormatting>
  <conditionalFormatting sqref="I17:M19">
    <cfRule type="cellIs" dxfId="690" priority="9" operator="equal">
      <formula>""</formula>
    </cfRule>
  </conditionalFormatting>
  <conditionalFormatting sqref="J11:K11">
    <cfRule type="expression" dxfId="689" priority="8">
      <formula>J11="Data Not Entered On Set-Up Worksheet"</formula>
    </cfRule>
  </conditionalFormatting>
  <conditionalFormatting sqref="Q3:T3 Q9:S9 Q12:T13 Q4:S4 T11">
    <cfRule type="expression" dxfId="688" priority="5">
      <formula>Q3="Data Not Entered On Set-Up Worksheet"</formula>
    </cfRule>
  </conditionalFormatting>
  <conditionalFormatting sqref="P17:T19">
    <cfRule type="cellIs" dxfId="687" priority="4" operator="equal">
      <formula>""</formula>
    </cfRule>
  </conditionalFormatting>
  <conditionalFormatting sqref="Q11:R11">
    <cfRule type="expression" dxfId="686" priority="3">
      <formula>Q11="Data Not Entered On Set-Up Worksheet"</formula>
    </cfRule>
  </conditionalFormatting>
  <pageMargins left="0.5" right="0.5" top="0.5" bottom="0.5" header="0.3" footer="0.3"/>
  <pageSetup scale="31" orientation="landscape" r:id="rId1"/>
  <headerFooter>
    <oddFooter>&amp;LNC DHHS LME-MCO Performance Measures Report Part II DMH/DD/SAS Measures&amp;C&amp;P&amp;R&amp;F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64</vt:i4>
      </vt:variant>
    </vt:vector>
  </HeadingPairs>
  <TitlesOfParts>
    <vt:vector size="109" baseType="lpstr">
      <vt:lpstr>Set-Up Worksheet</vt:lpstr>
      <vt:lpstr>Prevention 1.1</vt:lpstr>
      <vt:lpstr>Access 2.1</vt:lpstr>
      <vt:lpstr>Access 2.2 </vt:lpstr>
      <vt:lpstr>Access 2.3</vt:lpstr>
      <vt:lpstr>Access 2.4</vt:lpstr>
      <vt:lpstr>Penetration 3.1</vt:lpstr>
      <vt:lpstr>Penetration 3.2</vt:lpstr>
      <vt:lpstr>Initiation-Engagement 4.1.a</vt:lpstr>
      <vt:lpstr>Initiation-Engagement 4.1.b</vt:lpstr>
      <vt:lpstr>Initiation-Engagement 4.2.a</vt:lpstr>
      <vt:lpstr>Initiation-Engagement 4.2.b</vt:lpstr>
      <vt:lpstr>Crisis &amp; Inpatient 5.1</vt:lpstr>
      <vt:lpstr>Crisis &amp; Inpatient 5.2</vt:lpstr>
      <vt:lpstr>Crisis &amp; Inpatient 5.3</vt:lpstr>
      <vt:lpstr>Crisis &amp; Inpatient 5.4</vt:lpstr>
      <vt:lpstr>Crisis &amp; Inpatient 5.5</vt:lpstr>
      <vt:lpstr>Crisis &amp; Inpatient 5.6</vt:lpstr>
      <vt:lpstr>Crisis &amp; Inpatient 5.7.a</vt:lpstr>
      <vt:lpstr>Crisis &amp; Inpatient 5.7.b</vt:lpstr>
      <vt:lpstr>Crisis &amp; Inpatient 5.7.c</vt:lpstr>
      <vt:lpstr>Crisis &amp; Inpatient 5.7.d</vt:lpstr>
      <vt:lpstr>Crisis &amp; Inpatient 5.8</vt:lpstr>
      <vt:lpstr>Crisis &amp; Inpatient 5.9.a</vt:lpstr>
      <vt:lpstr>Crisis &amp; Inpatient 5.9.b</vt:lpstr>
      <vt:lpstr>Crisis &amp; Inpatient 5.9.c</vt:lpstr>
      <vt:lpstr>Continuity Of Care 6.1</vt:lpstr>
      <vt:lpstr>Continuity Of Care 6.2</vt:lpstr>
      <vt:lpstr>Continuity Of Care 6.3</vt:lpstr>
      <vt:lpstr>Continuity Of Care 6.4</vt:lpstr>
      <vt:lpstr>Continuity Of Care 6.5</vt:lpstr>
      <vt:lpstr>Continuity of Care 6.6</vt:lpstr>
      <vt:lpstr>Report Schedule</vt:lpstr>
      <vt:lpstr>Report Schedule (2)</vt:lpstr>
      <vt:lpstr>Uninsured By County SFY2014</vt:lpstr>
      <vt:lpstr>Pivot Table-Uninsured SFY2014</vt:lpstr>
      <vt:lpstr>Uninsured By County SFY2015</vt:lpstr>
      <vt:lpstr>Pivot Table-Uninsured SFY2015</vt:lpstr>
      <vt:lpstr>Uninsured By County SFY2016</vt:lpstr>
      <vt:lpstr>Pivot Table-Uninsured SFY2016</vt:lpstr>
      <vt:lpstr>Uninsured By County SFY2017</vt:lpstr>
      <vt:lpstr>Pivot Table-Uninsured SFY2017</vt:lpstr>
      <vt:lpstr>Uninsured By County SFY2018</vt:lpstr>
      <vt:lpstr>Pivot Table-Uninsured SFY2018</vt:lpstr>
      <vt:lpstr>Data Validation</vt:lpstr>
      <vt:lpstr>County_Lookup</vt:lpstr>
      <vt:lpstr>County_Lookup_MC</vt:lpstr>
      <vt:lpstr>'Uninsured By County SFY2014'!LME</vt:lpstr>
      <vt:lpstr>'Uninsured By County SFY2015'!LME</vt:lpstr>
      <vt:lpstr>'Uninsured By County SFY2016'!LME</vt:lpstr>
      <vt:lpstr>'Uninsured By County SFY2017'!LME</vt:lpstr>
      <vt:lpstr>'Uninsured By County SFY2018'!LME</vt:lpstr>
      <vt:lpstr>LME_MCO</vt:lpstr>
      <vt:lpstr>'Initiation-Engagement 4.1.a'!Print_Area</vt:lpstr>
      <vt:lpstr>'Initiation-Engagement 4.2.a'!Print_Area</vt:lpstr>
      <vt:lpstr>'Pivot Table-Uninsured SFY2016'!Print_Area</vt:lpstr>
      <vt:lpstr>'Pivot Table-Uninsured SFY2017'!Print_Area</vt:lpstr>
      <vt:lpstr>'Pivot Table-Uninsured SFY2018'!Print_Area</vt:lpstr>
      <vt:lpstr>'Report Schedule'!Print_Area</vt:lpstr>
      <vt:lpstr>'Report Schedule (2)'!Print_Area</vt:lpstr>
      <vt:lpstr>'Set-Up Worksheet'!Print_Area</vt:lpstr>
      <vt:lpstr>'Uninsured By County SFY2014'!Print_Area</vt:lpstr>
      <vt:lpstr>'Uninsured By County SFY2015'!Print_Area</vt:lpstr>
      <vt:lpstr>'Uninsured By County SFY2016'!Print_Area</vt:lpstr>
      <vt:lpstr>'Uninsured By County SFY2017'!Print_Area</vt:lpstr>
      <vt:lpstr>'Uninsured By County SFY2018'!Print_Area</vt:lpstr>
      <vt:lpstr>'Access 2.4'!Print_Titles</vt:lpstr>
      <vt:lpstr>'Continuity Of Care 6.2'!Print_Titles</vt:lpstr>
      <vt:lpstr>'Continuity Of Care 6.4'!Print_Titles</vt:lpstr>
      <vt:lpstr>'Continuity Of Care 6.5'!Print_Titles</vt:lpstr>
      <vt:lpstr>'Continuity of Care 6.6'!Print_Titles</vt:lpstr>
      <vt:lpstr>'Crisis &amp; Inpatient 5.3'!Print_Titles</vt:lpstr>
      <vt:lpstr>'Crisis &amp; Inpatient 5.4'!Print_Titles</vt:lpstr>
      <vt:lpstr>'Crisis &amp; Inpatient 5.5'!Print_Titles</vt:lpstr>
      <vt:lpstr>'Crisis &amp; Inpatient 5.7.a'!Print_Titles</vt:lpstr>
      <vt:lpstr>'Crisis &amp; Inpatient 5.7.b'!Print_Titles</vt:lpstr>
      <vt:lpstr>'Crisis &amp; Inpatient 5.7.c'!Print_Titles</vt:lpstr>
      <vt:lpstr>'Crisis &amp; Inpatient 5.7.d'!Print_Titles</vt:lpstr>
      <vt:lpstr>'Crisis &amp; Inpatient 5.9.a'!Print_Titles</vt:lpstr>
      <vt:lpstr>'Crisis &amp; Inpatient 5.9.b'!Print_Titles</vt:lpstr>
      <vt:lpstr>'Crisis &amp; Inpatient 5.9.c'!Print_Titles</vt:lpstr>
      <vt:lpstr>'Initiation-Engagement 4.1.a'!Print_Titles</vt:lpstr>
      <vt:lpstr>'Initiation-Engagement 4.1.b'!Print_Titles</vt:lpstr>
      <vt:lpstr>'Initiation-Engagement 4.2.a'!Print_Titles</vt:lpstr>
      <vt:lpstr>'Initiation-Engagement 4.2.b'!Print_Titles</vt:lpstr>
      <vt:lpstr>'Penetration 3.1'!Print_Titles</vt:lpstr>
      <vt:lpstr>'Penetration 3.2'!Print_Titles</vt:lpstr>
      <vt:lpstr>'Pivot Table-Uninsured SFY2014'!Print_Titles</vt:lpstr>
      <vt:lpstr>'Pivot Table-Uninsured SFY2015'!Print_Titles</vt:lpstr>
      <vt:lpstr>'Pivot Table-Uninsured SFY2016'!Print_Titles</vt:lpstr>
      <vt:lpstr>'Pivot Table-Uninsured SFY2017'!Print_Titles</vt:lpstr>
      <vt:lpstr>'Pivot Table-Uninsured SFY2018'!Print_Titles</vt:lpstr>
      <vt:lpstr>'Uninsured By County SFY2014'!Print_Titles</vt:lpstr>
      <vt:lpstr>'Uninsured By County SFY2015'!Print_Titles</vt:lpstr>
      <vt:lpstr>'Uninsured By County SFY2016'!Print_Titles</vt:lpstr>
      <vt:lpstr>'Uninsured By County SFY2017'!Print_Titles</vt:lpstr>
      <vt:lpstr>'Uninsured By County SFY2018'!Print_Titles</vt:lpstr>
      <vt:lpstr>SA_EBP</vt:lpstr>
      <vt:lpstr>SA_EBP_Lookup</vt:lpstr>
      <vt:lpstr>SA_Prevention_Pop_2014</vt:lpstr>
      <vt:lpstr>SA_Prevention_Pop_2015</vt:lpstr>
      <vt:lpstr>SA_Prevention_Pop_2016</vt:lpstr>
      <vt:lpstr>SA_Prevention_Pop_2017</vt:lpstr>
      <vt:lpstr>SA_Prevention_Pop_2018</vt:lpstr>
      <vt:lpstr>Uninsured_SFY2014</vt:lpstr>
      <vt:lpstr>Uninsured_SFY2015</vt:lpstr>
      <vt:lpstr>Uninsured_SFY2016</vt:lpstr>
      <vt:lpstr>Uninsured_SFY2017</vt:lpstr>
      <vt:lpstr>Uninsured_SFY2018</vt:lpstr>
    </vt:vector>
  </TitlesOfParts>
  <Company>NC DHHS DMH/DD/SAS-CPM-QMT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michael.schwartz@dhhs.nc.gov</dc:creator>
  <cp:lastModifiedBy>Jackson, Lisa</cp:lastModifiedBy>
  <cp:lastPrinted>2017-09-28T19:55:42Z</cp:lastPrinted>
  <dcterms:created xsi:type="dcterms:W3CDTF">2006-10-06T20:30:56Z</dcterms:created>
  <dcterms:modified xsi:type="dcterms:W3CDTF">2017-09-29T19:16:46Z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PEERREVIEW">
    <vt:lpwstr>Peer Review Identifier</vt:lpwstr>
  </property>
  <property fmtid="{D5CDD505-2E9C-101B-9397-08002B2CF9AE}" pid="3" name="MPR_DocID">
    <vt:lpwstr>1AB0AC900643425682D6E0F5363957E1</vt:lpwstr>
  </property>
  <property fmtid="{D5CDD505-2E9C-101B-9397-08002B2CF9AE}" pid="4" name="_ReviewCycleID">
    <vt:i4>-1314058683</vt:i4>
  </property>
  <property fmtid="{D5CDD505-2E9C-101B-9397-08002B2CF9AE}" pid="5" name="_NewReviewCycle">
    <vt:lpwstr/>
  </property>
  <property fmtid="{D5CDD505-2E9C-101B-9397-08002B2CF9AE}" pid="6" name="_EmailEntryID">
    <vt:lpwstr>00000000B593B43F7892AA4F9B872E9B6BF41BCF07000262C8369C559C4D817986EF2E81E26700007BA0A77E0000BEA824DBB042384392F225CE6B04BB210002EADBBB2C0000</vt:lpwstr>
  </property>
  <property fmtid="{D5CDD505-2E9C-101B-9397-08002B2CF9AE}" pid="7" name="_EmailStoreID">
    <vt:lpwstr>0000000038A1BB1005E5101AA1BB08002B2A56C200006D737073742E646C6C00000000004E495441F9BFB80100AA0037D96E0000000046003A005C006D00610069006C0066006F006C006400650072005C0061007200630068006900760065002E007000730074000000</vt:lpwstr>
  </property>
  <property fmtid="{D5CDD505-2E9C-101B-9397-08002B2CF9AE}" pid="8" name="_EmailStoreID0">
    <vt:lpwstr>0000000038A1BB1005E5101AA1BB08002B2A56C20000454D534D44422E444C4C00000000000000001B55FA20AA6611CD9BC800AA002FC45A0C0000004150535730343432455653002F6F3D5548472D45786368616E67654D61696C2F6F753D46697273742041646D696E6973747261746976652047726F75702F636E3D52656</vt:lpwstr>
  </property>
  <property fmtid="{D5CDD505-2E9C-101B-9397-08002B2CF9AE}" pid="9" name="_EmailStoreID1">
    <vt:lpwstr>3697069656E74732F636E3D61706F7474732D4647514D5048454554483131323632303038313731313600</vt:lpwstr>
  </property>
</Properties>
</file>