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FINANCE &amp; BUDGET\Budget\DSS County Estimates\SFY2019\"/>
    </mc:Choice>
  </mc:AlternateContent>
  <bookViews>
    <workbookView xWindow="0" yWindow="0" windowWidth="19200" windowHeight="11370" tabRatio="905" firstSheet="1" activeTab="4"/>
  </bookViews>
  <sheets>
    <sheet name="READ ME FIRST" sheetId="122" state="hidden" r:id="rId1"/>
    <sheet name="SFY 2019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2019 PROJECTED'!$A$1:$G$71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2019 PROJECTED'!$1:$4</definedName>
    <definedName name="_xlnm.Print_Titles" localSheetId="2">'TRANSADMIN YTD DEC 2014'!$1:$4</definedName>
    <definedName name="TOT">#N/A</definedName>
  </definedNames>
  <calcPr calcId="171027"/>
</workbook>
</file>

<file path=xl/calcChain.xml><?xml version="1.0" encoding="utf-8"?>
<calcChain xmlns="http://schemas.openxmlformats.org/spreadsheetml/2006/main">
  <c r="D67" i="4" l="1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43" i="4"/>
  <c r="D44" i="4"/>
  <c r="D53" i="4"/>
  <c r="D52" i="4"/>
  <c r="D51" i="4"/>
  <c r="D50" i="4"/>
  <c r="D49" i="4"/>
  <c r="D48" i="4"/>
  <c r="D47" i="4"/>
  <c r="D46" i="4"/>
  <c r="D45" i="4"/>
  <c r="D42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74" i="4"/>
  <c r="D74" i="4"/>
  <c r="D73" i="4"/>
  <c r="E73" i="4"/>
  <c r="E5" i="4" l="1"/>
  <c r="F5" i="4" s="1"/>
  <c r="F73" i="4"/>
  <c r="F74" i="4"/>
  <c r="D69" i="4"/>
  <c r="E69" i="4"/>
  <c r="H67" i="4" l="1"/>
  <c r="F69" i="4"/>
  <c r="H66" i="4"/>
  <c r="H61" i="4"/>
  <c r="H60" i="4"/>
  <c r="H59" i="4"/>
  <c r="H51" i="4"/>
  <c r="H48" i="4"/>
  <c r="H47" i="4"/>
  <c r="H45" i="4"/>
  <c r="H42" i="4"/>
  <c r="H40" i="4"/>
  <c r="H39" i="4"/>
  <c r="H38" i="4"/>
  <c r="H33" i="4"/>
  <c r="H32" i="4"/>
  <c r="H31" i="4"/>
  <c r="H30" i="4"/>
  <c r="H26" i="4"/>
  <c r="H21" i="4"/>
  <c r="H16" i="4"/>
  <c r="H15" i="4"/>
  <c r="H14" i="4"/>
  <c r="H11" i="4"/>
  <c r="H10" i="4"/>
  <c r="H9" i="4"/>
  <c r="H5" i="4"/>
  <c r="H53" i="4"/>
  <c r="H64" i="4"/>
  <c r="H63" i="4"/>
  <c r="H56" i="4"/>
  <c r="H55" i="4"/>
  <c r="H54" i="4"/>
  <c r="H52" i="4"/>
  <c r="H50" i="4"/>
  <c r="H49" i="4"/>
  <c r="H46" i="4"/>
  <c r="H41" i="4"/>
  <c r="H36" i="4"/>
  <c r="H29" i="4"/>
  <c r="H28" i="4"/>
  <c r="H25" i="4"/>
  <c r="H23" i="4"/>
  <c r="H20" i="4"/>
  <c r="H18" i="4"/>
  <c r="H8" i="4"/>
  <c r="H6" i="4"/>
  <c r="H65" i="4"/>
  <c r="H62" i="4"/>
  <c r="H44" i="4"/>
  <c r="H37" i="4"/>
  <c r="H35" i="4"/>
  <c r="H27" i="4"/>
  <c r="H24" i="4"/>
  <c r="H17" i="4"/>
  <c r="H13" i="4"/>
  <c r="H57" i="4" l="1"/>
  <c r="H34" i="4"/>
  <c r="H43" i="4"/>
  <c r="H19" i="4"/>
  <c r="H22" i="4"/>
  <c r="H7" i="4"/>
  <c r="H12" i="4"/>
  <c r="G69" i="4"/>
  <c r="H69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E75" i="4"/>
  <c r="D75" i="4"/>
  <c r="G47" i="124"/>
  <c r="F75" i="4" l="1"/>
  <c r="E76" i="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<sst xmlns="http://schemas.openxmlformats.org/spreadsheetml/2006/main" count="602" uniqueCount="481">
  <si>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</si>
  <si>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</si>
  <si>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</si>
  <si>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</si>
  <si>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</si>
  <si>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</si>
  <si>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</si>
  <si>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</si>
  <si>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</si>
  <si>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</si>
  <si>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</si>
  <si>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</si>
  <si>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</si>
  <si>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</si>
  <si>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</si>
  <si>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</si>
  <si>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</si>
  <si>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</si>
  <si>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</si>
  <si>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</si>
  <si>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</si>
  <si>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</si>
  <si>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</si>
  <si>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</si>
  <si>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</si>
  <si>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</si>
  <si>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</si>
  <si>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</si>
  <si>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</si>
  <si>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</si>
  <si>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</si>
  <si>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</si>
  <si>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</si>
  <si>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</si>
  <si>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</si>
  <si>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</si>
  <si>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</si>
  <si>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</si>
  <si>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</si>
  <si>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</si>
  <si>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</si>
  <si>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</si>
  <si>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</si>
  <si>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</si>
  <si>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</si>
  <si>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</si>
  <si>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</si>
  <si>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</si>
  <si>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</si>
  <si>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</si>
  <si>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</si>
  <si>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</si>
  <si>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</si>
  <si>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</si>
  <si>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</si>
  <si>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</si>
  <si>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</si>
  <si>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</si>
  <si>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</si>
  <si>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</si>
  <si>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</si>
  <si>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</si>
  <si>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</si>
  <si>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</si>
  <si>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</si>
  <si>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</si>
  <si>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</si>
  <si>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</si>
  <si>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</si>
  <si>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</si>
  <si>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</si>
  <si>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</si>
  <si>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</si>
  <si>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</si>
  <si>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</si>
  <si>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</si>
  <si>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</si>
  <si>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</si>
  <si>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</si>
  <si>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</si>
  <si>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</si>
  <si>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</si>
  <si>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</si>
  <si>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</si>
  <si>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</si>
  <si>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</si>
  <si>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</si>
  <si>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</si>
  <si>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</si>
  <si>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</si>
  <si>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</si>
  <si>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</si>
  <si>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</si>
  <si>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</si>
  <si>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</si>
  <si>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</si>
  <si>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</si>
  <si>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</si>
  <si>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</si>
  <si>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</si>
  <si>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</si>
  <si>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</si>
  <si>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</si>
  <si>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</si>
  <si>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</si>
  <si>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</si>
  <si>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</si>
  <si>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</si>
  <si>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</si>
  <si>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</si>
  <si>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</si>
  <si>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</si>
  <si>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</si>
  <si>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</si>
  <si>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</si>
  <si>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</si>
  <si>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</si>
  <si>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</si>
  <si>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</si>
  <si>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</si>
  <si>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</si>
  <si>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</si>
  <si>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</si>
  <si>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</si>
  <si>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</si>
  <si>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</si>
  <si>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</si>
  <si>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</si>
  <si>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</si>
  <si>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</si>
  <si>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</si>
  <si>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</si>
  <si>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</si>
  <si>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</si>
  <si>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</si>
  <si>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</si>
  <si>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</si>
  <si>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</si>
  <si>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</si>
  <si>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</si>
  <si>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</si>
  <si>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</si>
  <si>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</si>
  <si>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</si>
  <si>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</si>
  <si>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</si>
  <si>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</si>
  <si>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</si>
  <si>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</si>
  <si>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</si>
  <si>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</si>
  <si>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</si>
  <si>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</si>
  <si>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</si>
  <si>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</si>
  <si>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</si>
  <si>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</si>
  <si>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</si>
  <si>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</si>
  <si>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</si>
  <si>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</si>
  <si>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</si>
  <si>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</si>
  <si>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</si>
  <si>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</si>
  <si>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</si>
  <si>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</si>
  <si>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</si>
  <si>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</si>
  <si>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</si>
  <si>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</si>
  <si>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</si>
  <si>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</si>
  <si>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</si>
  <si>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</si>
  <si>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</si>
  <si>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</si>
  <si>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</si>
  <si>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</si>
  <si>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</si>
  <si>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</si>
  <si>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</si>
  <si>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</si>
  <si>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</si>
  <si>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</si>
  <si>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</si>
  <si>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</si>
  <si>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</si>
  <si>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</si>
  <si>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</si>
  <si>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</si>
  <si>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</si>
  <si>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</si>
  <si>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</si>
  <si>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</si>
  <si>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</si>
  <si>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</si>
  <si>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</si>
  <si>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</si>
  <si>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</si>
  <si>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</si>
  <si>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</si>
  <si>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</si>
  <si>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</si>
  <si>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</si>
  <si>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</si>
  <si>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</si>
  <si>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</si>
  <si>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</si>
  <si>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</si>
  <si>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</si>
  <si>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</si>
  <si>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</si>
  <si>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</si>
  <si>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</si>
  <si>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</si>
  <si>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</si>
  <si>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</si>
  <si>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</si>
  <si>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</si>
  <si>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</si>
  <si>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</si>
  <si>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</si>
  <si>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</si>
  <si>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</si>
  <si>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</si>
  <si>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</si>
  <si>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</si>
  <si>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</si>
  <si>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</si>
  <si>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</si>
  <si>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</si>
  <si>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</si>
  <si>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</si>
  <si>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</si>
  <si>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</si>
  <si>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</si>
  <si>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</si>
  <si>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</si>
  <si>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</si>
  <si>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</si>
  <si>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</si>
  <si>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</si>
  <si>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</si>
  <si>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</si>
  <si>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</si>
  <si>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</si>
  <si>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</si>
  <si>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</si>
  <si>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</si>
  <si>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</si>
  <si>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</si>
  <si>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</si>
  <si>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</si>
  <si>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</si>
  <si>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</si>
  <si>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</si>
  <si>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</si>
  <si>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</si>
  <si>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</si>
  <si>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</si>
  <si>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</si>
  <si>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</si>
  <si>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</si>
  <si>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</si>
  <si>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</si>
  <si>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</si>
  <si>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</si>
  <si>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</si>
  <si>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</si>
  <si>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</si>
  <si>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</si>
  <si>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</si>
  <si>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</si>
  <si>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</si>
  <si>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</si>
  <si>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</si>
  <si>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</si>
  <si>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</si>
  <si>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</si>
  <si>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</si>
  <si>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</si>
  <si>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</si>
  <si>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</si>
  <si>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</si>
  <si>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DEPARTMENT OF HEALTH AND HUMAN SERVICES DIVISION OF MEDICAL ASSISTANCE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</si>
  <si>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</si>
  <si>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</si>
  <si>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</si>
  <si>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</si>
  <si>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</si>
  <si>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</si>
  <si>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</si>
  <si>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</si>
  <si>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LTC ICF MRC  NSO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</si>
  <si>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</si>
  <si>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</si>
  <si>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</si>
  <si>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</si>
  <si>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</si>
  <si>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</si>
  <si>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</si>
  <si>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</si>
  <si>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</si>
  <si>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</si>
  <si>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</si>
  <si>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</si>
  <si>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</si>
  <si>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</si>
  <si>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</si>
  <si>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</si>
  <si>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</si>
  <si>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</si>
  <si>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</si>
  <si>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</si>
  <si>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</si>
  <si>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</si>
  <si>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</si>
  <si>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</si>
  <si>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</si>
  <si>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</si>
  <si>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</si>
  <si>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</si>
  <si>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</si>
  <si>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</si>
  <si>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</si>
  <si>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</si>
  <si>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</si>
  <si>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</si>
  <si>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</si>
  <si>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</si>
  <si>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</si>
  <si>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</si>
  <si>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</si>
  <si>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</si>
  <si>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</si>
  <si>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</si>
  <si>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</si>
  <si>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</si>
  <si>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</si>
  <si>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</si>
  <si>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</si>
  <si>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</si>
  <si>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</si>
  <si>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</si>
  <si>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</si>
  <si>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</si>
  <si>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</si>
  <si>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</si>
  <si>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</si>
  <si>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</si>
  <si>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</si>
  <si>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</si>
  <si>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</si>
  <si>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</si>
  <si>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</si>
  <si>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</si>
  <si>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</si>
  <si>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</si>
  <si>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</si>
  <si>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</si>
  <si>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</si>
  <si>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</si>
  <si>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</si>
  <si>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</si>
  <si>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</si>
  <si>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</si>
  <si>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</si>
  <si>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</si>
  <si>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</si>
  <si>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</si>
  <si>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</si>
  <si>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</si>
  <si>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</si>
  <si>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</si>
  <si>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</si>
  <si>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</si>
  <si>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</si>
  <si>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</si>
  <si>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</si>
  <si>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</si>
  <si>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</si>
  <si>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</si>
  <si>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</si>
  <si>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</si>
  <si>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</si>
  <si>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</si>
  <si>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</si>
  <si>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</si>
  <si>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</si>
  <si>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</si>
  <si>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</si>
  <si>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</si>
  <si>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</si>
  <si>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</si>
  <si>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</si>
  <si>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</si>
  <si>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</si>
  <si>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</si>
  <si>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</si>
  <si>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</si>
  <si>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</si>
  <si>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</si>
  <si>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</si>
  <si>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</si>
  <si>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</si>
  <si>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</si>
  <si>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</si>
  <si>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</si>
  <si>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</si>
  <si>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</si>
  <si>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</si>
  <si>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</si>
  <si>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</si>
  <si>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</si>
  <si>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</si>
  <si>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</si>
  <si>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</si>
  <si>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</si>
  <si>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</si>
  <si>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</si>
  <si>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</si>
  <si>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</si>
  <si>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</si>
  <si>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</si>
  <si>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</si>
  <si>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</si>
  <si>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</si>
  <si>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</si>
  <si>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</si>
  <si>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</si>
  <si>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</si>
  <si>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</si>
  <si>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</si>
  <si>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</si>
  <si>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</si>
  <si>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</si>
  <si>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</si>
  <si>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</si>
  <si>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</si>
  <si>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</si>
  <si>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</si>
  <si>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</si>
  <si>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</si>
  <si>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Fund 1310</t>
  </si>
  <si>
    <t>Fund 1311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</si>
  <si>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</si>
  <si>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</si>
  <si>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</si>
  <si>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</si>
  <si>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</si>
  <si>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</si>
  <si>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</si>
  <si>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</si>
  <si>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</si>
  <si>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</si>
  <si>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</si>
  <si>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</si>
  <si>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</si>
  <si>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</si>
  <si>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</si>
  <si>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</si>
  <si>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</si>
  <si>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</si>
  <si>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</si>
  <si>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Total Funds 1310/1311</t>
  </si>
  <si>
    <t xml:space="preserve">COUNTIES SFY 2019 PROJECTED PORTION OF MEDICAID PROGRAM SERVICES EXPENDITURES </t>
  </si>
  <si>
    <t>COUNTY PERCENTAGE OF TOTAL SFY 2017 CLAIMS EXPENDITURES</t>
  </si>
  <si>
    <t>COUNTY PROJECTED EXPENDITURES ON MEDICAID'S RK325 SFY 2019 PROJECTED BUDGET</t>
  </si>
  <si>
    <t>SFY 2019 PROJECTED MEDICAID PROGRAM SERVICES EXPENDITURES (BC 14445, FUND 1310 &amp; 1311)</t>
  </si>
  <si>
    <t>SFY 2019 REQUIREMENTS</t>
  </si>
  <si>
    <t>SFY 2019 FEDERAL SHARE</t>
  </si>
  <si>
    <t>SFY 2019 STATE SHARE</t>
  </si>
  <si>
    <t>SFY 2019 COUNTY SHARE</t>
  </si>
  <si>
    <t>Funds 1310/1311 -- SFY 2019 RK325 (CERT) Budget Tie-Out (as of 01/23/2018):</t>
  </si>
  <si>
    <t>5361CM089</t>
  </si>
  <si>
    <t>CARE MGMT PHYS HLTH CK COORD</t>
  </si>
  <si>
    <t>5361PP078</t>
  </si>
  <si>
    <t>PP-FQHC HLTH CK COORD</t>
  </si>
  <si>
    <t>Percentages by county calculated by DMA Budget from info received from DMA BIO on SFY2017 claim dollars.</t>
  </si>
  <si>
    <t>Medicaid RK325 Projected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</si>
</sst>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"/>
    <numFmt numFmtId="175" formatCode="0.00000000000"/>
    <numFmt numFmtId="176" formatCode=";;;"/>
  </numFmts>
  <fonts count="20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10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42" fontId="9" fillId="0" borderId="18" xfId="1" applyNumberFormat="1" applyFont="1" applyFill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42" fontId="9" fillId="0" borderId="0" xfId="0" applyNumberFormat="1" applyFont="1"/>
    <xf numFmtId="175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2" fontId="18" fillId="0" borderId="0" xfId="0" applyNumberFormat="1" applyFont="1" applyBorder="1"/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176" fontId="9" fillId="0" borderId="0" xfId="18" applyNumberFormat="1" applyFont="1" applyBorder="1"/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42" fontId="9" fillId="0" borderId="28" xfId="1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9" fillId="0" borderId="0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</cellXfs>
  <cellStyles count="24">
    <cellStyle name="Comma" xfId="1" builtinId="3"/>
    <cellStyle name="Currency" xfId="2" builtinId="4"/>
    <cellStyle name="Custom - Style8" xfId="3"/>
    <cellStyle name="Data   - Style2" xfId="4"/>
    <cellStyle name="Labels - Style3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_New PERDATA Format" xfId="14"/>
    <cellStyle name="Normal_SFY 2009 BLENDED SHARES" xfId="15"/>
    <cellStyle name="Normal_SFY+2010+GOVERNOR+BUDGET+COUNTY+ESTIMATES(1)" xfId="16"/>
    <cellStyle name="Normal_Sheet1" xfId="17"/>
    <cellStyle name="Percent" xfId="18" builtinId="5"/>
    <cellStyle name="Reset  - Style7" xfId="19"/>
    <cellStyle name="Table  - Style6" xfId="20"/>
    <cellStyle name="Title  - Style1" xfId="21"/>
    <cellStyle name="TotCol - Style5" xfId="22"/>
    <cellStyle name="TotRow - Style4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123825</xdr:rowOff>
        </xdr:from>
        <xdr:to>
          <xdr:col>7</xdr:col>
          <xdr:colOff>123825</xdr:colOff>
          <xdr:row>15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8"/>
  <sheetViews>
    <sheetView topLeftCell="C1" workbookViewId="0">
      <selection activeCell="F21" sqref="F21"/>
    </sheetView>
  </sheetViews>
  <sheetFormatPr defaultRowHeight="12.75" x14ac:dyDescent="0.2"/>
  <sheetData>
    <row r="18" spans="4:4" x14ac:dyDescent="0.2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485775</xdr:colOff>
                <xdr:row>3</xdr:row>
                <xdr:rowOff>123825</xdr:rowOff>
              </from>
              <to>
                <xdr:col>7</xdr:col>
                <xdr:colOff>123825</xdr:colOff>
                <xdr:row>15</xdr:row>
                <xdr:rowOff>28575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O78"/>
  <sheetViews>
    <sheetView showGridLines="0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A5" sqref="A5"/>
    </sheetView>
  </sheetViews>
  <sheetFormatPr defaultColWidth="9" defaultRowHeight="12.75" x14ac:dyDescent="0.2"/>
  <cols>
    <col min="1" max="1" width="9" style="6" customWidth="1"/>
    <col min="2" max="2" width="12.25" style="11" customWidth="1"/>
    <col min="3" max="3" width="36.625" style="11" customWidth="1"/>
    <col min="4" max="4" width="16.625" style="11" customWidth="1"/>
    <col min="5" max="5" width="16.125" style="11" customWidth="1"/>
    <col min="6" max="6" width="14.75" style="12" customWidth="1"/>
    <col min="7" max="7" width="14" style="29" customWidth="1"/>
    <col min="8" max="8" width="15.75" style="29" hidden="1" customWidth="1"/>
    <col min="9" max="16384" width="9" style="6"/>
  </cols>
  <sheetData>
    <row r="1" spans="1:67" ht="14.1" customHeight="1" x14ac:dyDescent="0.2">
      <c r="A1" s="202" t="s">
        <v>285</v>
      </c>
      <c r="B1" s="203"/>
      <c r="C1" s="203"/>
      <c r="D1" s="203"/>
      <c r="E1" s="203"/>
      <c r="F1" s="203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</row>
    <row r="2" spans="1:67" ht="14.1" customHeight="1" thickBot="1" x14ac:dyDescent="0.25">
      <c r="A2" s="204" t="s">
        <v>469</v>
      </c>
      <c r="B2" s="205"/>
      <c r="C2" s="205"/>
      <c r="D2" s="205"/>
      <c r="E2" s="205"/>
      <c r="F2" s="205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67" ht="49.9" customHeight="1" thickBot="1" x14ac:dyDescent="0.25">
      <c r="A3" s="165" t="s">
        <v>256</v>
      </c>
      <c r="B3" s="166" t="s">
        <v>255</v>
      </c>
      <c r="C3" s="7" t="s">
        <v>244</v>
      </c>
      <c r="D3" s="37" t="s">
        <v>470</v>
      </c>
      <c r="E3" s="40" t="s">
        <v>471</v>
      </c>
      <c r="F3" s="41" t="s">
        <v>472</v>
      </c>
      <c r="G3" s="41" t="s">
        <v>473</v>
      </c>
      <c r="H3" s="42" t="s">
        <v>259</v>
      </c>
    </row>
    <row r="4" spans="1:67" ht="14.1" customHeight="1" x14ac:dyDescent="0.2">
      <c r="A4" s="161"/>
      <c r="B4" s="162"/>
      <c r="C4" s="8"/>
      <c r="D4" s="163"/>
      <c r="E4" s="164"/>
      <c r="F4" s="160"/>
      <c r="G4" s="159"/>
      <c r="H4" s="193"/>
    </row>
    <row r="5" spans="1:67" ht="14.1" customHeight="1" x14ac:dyDescent="0.2">
      <c r="A5" s="9" t="s">
        <v>1</v>
      </c>
      <c r="B5" s="86">
        <v>536101</v>
      </c>
      <c r="C5" s="87" t="s">
        <v>289</v>
      </c>
      <c r="D5" s="91">
        <f>686997361+7631471+299019534-46310590</f>
        <v>947337776</v>
      </c>
      <c r="E5" s="43">
        <f>D5*0.6851131</f>
        <v>649033520.46246564</v>
      </c>
      <c r="F5" s="44">
        <f>D5-E5</f>
        <v>298304255.53753436</v>
      </c>
      <c r="G5" s="44">
        <v>0</v>
      </c>
      <c r="H5" s="45">
        <f>D5-E5-F5-G5</f>
        <v>0</v>
      </c>
      <c r="I5" s="171"/>
    </row>
    <row r="6" spans="1:67" ht="14.1" customHeight="1" x14ac:dyDescent="0.2">
      <c r="A6" s="9" t="s">
        <v>3</v>
      </c>
      <c r="B6" s="86">
        <v>536102</v>
      </c>
      <c r="C6" s="87" t="s">
        <v>290</v>
      </c>
      <c r="D6" s="91">
        <f>13356409+6435644</f>
        <v>19792053</v>
      </c>
      <c r="E6" s="43">
        <v>13559794.7861943</v>
      </c>
      <c r="F6" s="44">
        <v>6232258.2138056997</v>
      </c>
      <c r="G6" s="44">
        <v>0</v>
      </c>
      <c r="H6" s="45">
        <f t="shared" ref="H6:H42" si="0">D6-E6-F6-G6</f>
        <v>0</v>
      </c>
      <c r="I6" s="171"/>
    </row>
    <row r="7" spans="1:67" ht="14.1" customHeight="1" x14ac:dyDescent="0.2">
      <c r="A7" s="9" t="s">
        <v>9</v>
      </c>
      <c r="B7" s="86">
        <v>536105001</v>
      </c>
      <c r="C7" s="87" t="s">
        <v>291</v>
      </c>
      <c r="D7" s="91">
        <f>89494+143075</f>
        <v>232569</v>
      </c>
      <c r="E7" s="43">
        <v>159336.0685539</v>
      </c>
      <c r="F7" s="44">
        <v>73232.931446100003</v>
      </c>
      <c r="G7" s="44">
        <v>0</v>
      </c>
      <c r="H7" s="45">
        <f t="shared" si="0"/>
        <v>0</v>
      </c>
      <c r="I7" s="171"/>
    </row>
    <row r="8" spans="1:67" ht="14.1" customHeight="1" x14ac:dyDescent="0.2">
      <c r="A8" s="9" t="s">
        <v>19</v>
      </c>
      <c r="B8" s="86">
        <v>536109</v>
      </c>
      <c r="C8" s="87" t="s">
        <v>292</v>
      </c>
      <c r="D8" s="91">
        <f>1290509532</f>
        <v>1290509532</v>
      </c>
      <c r="E8" s="43">
        <v>884144986.04806924</v>
      </c>
      <c r="F8" s="44">
        <v>406364545.95193076</v>
      </c>
      <c r="G8" s="44">
        <v>0</v>
      </c>
      <c r="H8" s="45">
        <f t="shared" si="0"/>
        <v>0</v>
      </c>
      <c r="I8" s="171"/>
    </row>
    <row r="9" spans="1:67" ht="14.1" customHeight="1" x14ac:dyDescent="0.2">
      <c r="A9" s="9" t="s">
        <v>21</v>
      </c>
      <c r="B9" s="86">
        <v>536110</v>
      </c>
      <c r="C9" s="87" t="s">
        <v>293</v>
      </c>
      <c r="D9" s="91">
        <f>229279</f>
        <v>229279</v>
      </c>
      <c r="E9" s="43">
        <v>157082.0464549</v>
      </c>
      <c r="F9" s="44">
        <v>72196.953545099997</v>
      </c>
      <c r="G9" s="44">
        <v>0</v>
      </c>
      <c r="H9" s="45">
        <f t="shared" si="0"/>
        <v>0</v>
      </c>
      <c r="I9" s="171"/>
    </row>
    <row r="10" spans="1:67" ht="14.1" customHeight="1" x14ac:dyDescent="0.2">
      <c r="A10" s="9" t="s">
        <v>27</v>
      </c>
      <c r="B10" s="86">
        <v>536113</v>
      </c>
      <c r="C10" s="87" t="s">
        <v>294</v>
      </c>
      <c r="D10" s="91">
        <f>1946077</f>
        <v>1946077</v>
      </c>
      <c r="E10" s="43">
        <v>1333282.8463087</v>
      </c>
      <c r="F10" s="44">
        <v>612794.15369129996</v>
      </c>
      <c r="G10" s="44">
        <v>0</v>
      </c>
      <c r="H10" s="45">
        <f t="shared" si="0"/>
        <v>0</v>
      </c>
      <c r="I10" s="171"/>
    </row>
    <row r="11" spans="1:67" ht="14.1" customHeight="1" x14ac:dyDescent="0.2">
      <c r="A11" s="9" t="s">
        <v>31</v>
      </c>
      <c r="B11" s="86">
        <v>536115</v>
      </c>
      <c r="C11" s="87" t="s">
        <v>32</v>
      </c>
      <c r="D11" s="91">
        <f>1002088937+5310594+55485634+48077339</f>
        <v>1110962504</v>
      </c>
      <c r="E11" s="43">
        <v>761134965.09920239</v>
      </c>
      <c r="F11" s="44">
        <v>349827538.90079761</v>
      </c>
      <c r="G11" s="44">
        <v>0</v>
      </c>
      <c r="H11" s="45">
        <f t="shared" si="0"/>
        <v>0</v>
      </c>
      <c r="I11" s="171"/>
    </row>
    <row r="12" spans="1:67" ht="14.1" customHeight="1" x14ac:dyDescent="0.2">
      <c r="A12" s="9" t="s">
        <v>33</v>
      </c>
      <c r="B12" s="88">
        <v>536116</v>
      </c>
      <c r="C12" s="89" t="s">
        <v>34</v>
      </c>
      <c r="D12" s="38">
        <f>387567607</f>
        <v>387567607</v>
      </c>
      <c r="E12" s="43">
        <v>265527644.69135171</v>
      </c>
      <c r="F12" s="44">
        <v>122039962.30864829</v>
      </c>
      <c r="G12" s="44">
        <v>0</v>
      </c>
      <c r="H12" s="45">
        <f t="shared" si="0"/>
        <v>0</v>
      </c>
      <c r="I12" s="171"/>
    </row>
    <row r="13" spans="1:67" ht="14.1" customHeight="1" x14ac:dyDescent="0.2">
      <c r="A13" s="9" t="s">
        <v>35</v>
      </c>
      <c r="B13" s="86">
        <v>536117</v>
      </c>
      <c r="C13" s="87" t="s">
        <v>36</v>
      </c>
      <c r="D13" s="91">
        <f>7664372</f>
        <v>7664372</v>
      </c>
      <c r="E13" s="43">
        <v>5250961.6604732005</v>
      </c>
      <c r="F13" s="44">
        <v>2413410.3395267995</v>
      </c>
      <c r="G13" s="44">
        <v>0</v>
      </c>
      <c r="H13" s="45">
        <f t="shared" si="0"/>
        <v>0</v>
      </c>
      <c r="I13" s="171"/>
    </row>
    <row r="14" spans="1:67" ht="14.1" customHeight="1" x14ac:dyDescent="0.2">
      <c r="A14" s="9" t="s">
        <v>37</v>
      </c>
      <c r="B14" s="86">
        <v>536118</v>
      </c>
      <c r="C14" s="87" t="s">
        <v>38</v>
      </c>
      <c r="D14" s="91">
        <f>1067973</f>
        <v>1067973</v>
      </c>
      <c r="E14" s="43">
        <v>731682.29274629999</v>
      </c>
      <c r="F14" s="44">
        <v>336290.70725370001</v>
      </c>
      <c r="G14" s="44">
        <v>0</v>
      </c>
      <c r="H14" s="45">
        <f t="shared" si="0"/>
        <v>0</v>
      </c>
      <c r="I14" s="171"/>
    </row>
    <row r="15" spans="1:67" ht="14.1" customHeight="1" x14ac:dyDescent="0.2">
      <c r="A15" s="9" t="s">
        <v>39</v>
      </c>
      <c r="B15" s="86">
        <v>536119</v>
      </c>
      <c r="C15" s="87" t="s">
        <v>40</v>
      </c>
      <c r="D15" s="91">
        <f>18971444</f>
        <v>18971444</v>
      </c>
      <c r="E15" s="43">
        <v>12997584.810316401</v>
      </c>
      <c r="F15" s="44">
        <v>5973859.1896835994</v>
      </c>
      <c r="G15" s="44">
        <v>0</v>
      </c>
      <c r="H15" s="45">
        <f t="shared" si="0"/>
        <v>0</v>
      </c>
      <c r="I15" s="171"/>
    </row>
    <row r="16" spans="1:67" ht="14.1" customHeight="1" x14ac:dyDescent="0.2">
      <c r="A16" s="9" t="s">
        <v>41</v>
      </c>
      <c r="B16" s="86">
        <v>536120</v>
      </c>
      <c r="C16" s="87" t="s">
        <v>42</v>
      </c>
      <c r="D16" s="91">
        <f>4338838</f>
        <v>4338838</v>
      </c>
      <c r="E16" s="43">
        <v>2972594.7525778003</v>
      </c>
      <c r="F16" s="44">
        <v>1366243.2474221997</v>
      </c>
      <c r="G16" s="44">
        <v>0</v>
      </c>
      <c r="H16" s="45">
        <f t="shared" si="0"/>
        <v>0</v>
      </c>
      <c r="I16" s="171"/>
    </row>
    <row r="17" spans="1:9" ht="14.1" customHeight="1" x14ac:dyDescent="0.2">
      <c r="A17" s="9" t="s">
        <v>43</v>
      </c>
      <c r="B17" s="86">
        <v>536121</v>
      </c>
      <c r="C17" s="87" t="s">
        <v>295</v>
      </c>
      <c r="D17" s="91">
        <f>318284601+24855270+224384642</f>
        <v>567524513</v>
      </c>
      <c r="E17" s="43">
        <v>388818478.42742032</v>
      </c>
      <c r="F17" s="44">
        <v>178706034.57257968</v>
      </c>
      <c r="G17" s="44">
        <v>0</v>
      </c>
      <c r="H17" s="45">
        <f t="shared" si="0"/>
        <v>0</v>
      </c>
      <c r="I17" s="171"/>
    </row>
    <row r="18" spans="1:9" ht="14.1" customHeight="1" x14ac:dyDescent="0.2">
      <c r="A18" s="9" t="s">
        <v>45</v>
      </c>
      <c r="B18" s="86">
        <v>536122</v>
      </c>
      <c r="C18" s="87" t="s">
        <v>296</v>
      </c>
      <c r="D18" s="91">
        <f>2235927+2487284</f>
        <v>4723211</v>
      </c>
      <c r="E18" s="43">
        <v>3235933.7301641</v>
      </c>
      <c r="F18" s="44">
        <v>1487277.2698359</v>
      </c>
      <c r="G18" s="44">
        <v>0</v>
      </c>
      <c r="H18" s="45">
        <f t="shared" si="0"/>
        <v>0</v>
      </c>
      <c r="I18" s="171"/>
    </row>
    <row r="19" spans="1:9" ht="14.1" customHeight="1" x14ac:dyDescent="0.2">
      <c r="A19" s="9" t="s">
        <v>48</v>
      </c>
      <c r="B19" s="86">
        <v>536124</v>
      </c>
      <c r="C19" s="87" t="s">
        <v>297</v>
      </c>
      <c r="D19" s="91">
        <f>36604770+2405615</f>
        <v>39010385</v>
      </c>
      <c r="E19" s="43">
        <v>26726525.7995435</v>
      </c>
      <c r="F19" s="44">
        <v>12283859.2004565</v>
      </c>
      <c r="G19" s="44">
        <v>0</v>
      </c>
      <c r="H19" s="45">
        <f t="shared" si="0"/>
        <v>0</v>
      </c>
      <c r="I19" s="171"/>
    </row>
    <row r="20" spans="1:9" ht="14.1" customHeight="1" x14ac:dyDescent="0.2">
      <c r="A20" s="9" t="s">
        <v>50</v>
      </c>
      <c r="B20" s="86">
        <v>536125</v>
      </c>
      <c r="C20" s="87" t="s">
        <v>298</v>
      </c>
      <c r="D20" s="91">
        <f>41330838+15702955</f>
        <v>57033793</v>
      </c>
      <c r="E20" s="43">
        <v>39074598.726988301</v>
      </c>
      <c r="F20" s="44">
        <v>17959194.273011699</v>
      </c>
      <c r="G20" s="44">
        <v>0</v>
      </c>
      <c r="H20" s="45">
        <f t="shared" si="0"/>
        <v>0</v>
      </c>
      <c r="I20" s="171"/>
    </row>
    <row r="21" spans="1:9" ht="14.1" customHeight="1" x14ac:dyDescent="0.2">
      <c r="A21" s="9" t="s">
        <v>52</v>
      </c>
      <c r="B21" s="86">
        <v>536126</v>
      </c>
      <c r="C21" s="87" t="s">
        <v>299</v>
      </c>
      <c r="D21" s="91">
        <f>16020268+24264</f>
        <v>16044532</v>
      </c>
      <c r="E21" s="43">
        <v>10992319.0565692</v>
      </c>
      <c r="F21" s="44">
        <v>5052212.9434308</v>
      </c>
      <c r="G21" s="44">
        <v>0</v>
      </c>
      <c r="H21" s="45">
        <f t="shared" si="0"/>
        <v>0</v>
      </c>
      <c r="I21" s="171"/>
    </row>
    <row r="22" spans="1:9" ht="14.1" customHeight="1" x14ac:dyDescent="0.2">
      <c r="A22" s="9" t="s">
        <v>55</v>
      </c>
      <c r="B22" s="86">
        <v>536128</v>
      </c>
      <c r="C22" s="87" t="s">
        <v>300</v>
      </c>
      <c r="D22" s="91">
        <f>144767079</f>
        <v>144767079</v>
      </c>
      <c r="E22" s="43">
        <v>99181822.271634907</v>
      </c>
      <c r="F22" s="44">
        <v>45585256.728365093</v>
      </c>
      <c r="G22" s="44">
        <v>0</v>
      </c>
      <c r="H22" s="45">
        <f t="shared" si="0"/>
        <v>0</v>
      </c>
      <c r="I22" s="171"/>
    </row>
    <row r="23" spans="1:9" ht="14.1" customHeight="1" x14ac:dyDescent="0.2">
      <c r="A23" s="9" t="s">
        <v>57</v>
      </c>
      <c r="B23" s="86">
        <v>536129</v>
      </c>
      <c r="C23" s="87" t="s">
        <v>58</v>
      </c>
      <c r="D23" s="91">
        <f>36110288+77564846</f>
        <v>113675134</v>
      </c>
      <c r="E23" s="43">
        <v>77880323.44765541</v>
      </c>
      <c r="F23" s="44">
        <v>35794810.55234459</v>
      </c>
      <c r="G23" s="44">
        <v>0</v>
      </c>
      <c r="H23" s="45">
        <f t="shared" si="0"/>
        <v>0</v>
      </c>
      <c r="I23" s="171"/>
    </row>
    <row r="24" spans="1:9" ht="14.1" customHeight="1" x14ac:dyDescent="0.2">
      <c r="A24" s="9" t="s">
        <v>59</v>
      </c>
      <c r="B24" s="86">
        <v>536130</v>
      </c>
      <c r="C24" s="87" t="s">
        <v>60</v>
      </c>
      <c r="D24" s="91">
        <f>476636333+1694073312+11958100</f>
        <v>2182667745</v>
      </c>
      <c r="E24" s="43">
        <v>1495374265.0469596</v>
      </c>
      <c r="F24" s="44">
        <v>687293479.95304036</v>
      </c>
      <c r="G24" s="44">
        <v>0</v>
      </c>
      <c r="H24" s="45">
        <f t="shared" si="0"/>
        <v>0</v>
      </c>
      <c r="I24" s="171"/>
    </row>
    <row r="25" spans="1:9" ht="14.1" customHeight="1" x14ac:dyDescent="0.2">
      <c r="A25" s="9" t="s">
        <v>61</v>
      </c>
      <c r="B25" s="86">
        <v>536132</v>
      </c>
      <c r="C25" s="87" t="s">
        <v>301</v>
      </c>
      <c r="D25" s="91">
        <f>1335634+5718483</f>
        <v>7054117</v>
      </c>
      <c r="E25" s="201">
        <v>6348705.2999999998</v>
      </c>
      <c r="F25" s="44">
        <v>705411.70000000019</v>
      </c>
      <c r="G25" s="44">
        <v>0</v>
      </c>
      <c r="H25" s="45">
        <f t="shared" si="0"/>
        <v>0</v>
      </c>
      <c r="I25" s="171"/>
    </row>
    <row r="26" spans="1:9" ht="14.1" customHeight="1" x14ac:dyDescent="0.2">
      <c r="A26" s="9" t="s">
        <v>73</v>
      </c>
      <c r="B26" s="86">
        <v>536138</v>
      </c>
      <c r="C26" s="87" t="s">
        <v>262</v>
      </c>
      <c r="D26" s="91">
        <f>2005726</f>
        <v>2005726</v>
      </c>
      <c r="E26" s="43">
        <v>1374149.1576106001</v>
      </c>
      <c r="F26" s="44">
        <v>631576.84238939988</v>
      </c>
      <c r="G26" s="44">
        <v>0</v>
      </c>
      <c r="H26" s="45">
        <f t="shared" si="0"/>
        <v>0</v>
      </c>
      <c r="I26" s="171"/>
    </row>
    <row r="27" spans="1:9" ht="14.1" customHeight="1" x14ac:dyDescent="0.2">
      <c r="A27" s="9" t="s">
        <v>74</v>
      </c>
      <c r="B27" s="86">
        <v>536139</v>
      </c>
      <c r="C27" s="87" t="s">
        <v>302</v>
      </c>
      <c r="D27" s="91">
        <f>99831059</f>
        <v>99831059</v>
      </c>
      <c r="E27" s="43">
        <v>68395566.307772905</v>
      </c>
      <c r="F27" s="44">
        <v>31435492.692227095</v>
      </c>
      <c r="G27" s="44">
        <v>0</v>
      </c>
      <c r="H27" s="45">
        <f t="shared" si="0"/>
        <v>0</v>
      </c>
      <c r="I27" s="171"/>
    </row>
    <row r="28" spans="1:9" ht="14.1" customHeight="1" x14ac:dyDescent="0.2">
      <c r="A28" s="9" t="s">
        <v>248</v>
      </c>
      <c r="B28" s="86">
        <v>536140</v>
      </c>
      <c r="C28" s="87" t="s">
        <v>76</v>
      </c>
      <c r="D28" s="91">
        <f>132474078</f>
        <v>132474078</v>
      </c>
      <c r="E28" s="201">
        <v>0</v>
      </c>
      <c r="F28" s="44">
        <v>132474078</v>
      </c>
      <c r="G28" s="44">
        <v>0</v>
      </c>
      <c r="H28" s="45">
        <f t="shared" si="0"/>
        <v>0</v>
      </c>
      <c r="I28" s="171"/>
    </row>
    <row r="29" spans="1:9" ht="14.1" customHeight="1" x14ac:dyDescent="0.2">
      <c r="A29" s="9" t="s">
        <v>0</v>
      </c>
      <c r="B29" s="86">
        <v>536142</v>
      </c>
      <c r="C29" s="87" t="s">
        <v>78</v>
      </c>
      <c r="D29" s="91">
        <f>28652398</f>
        <v>28652398</v>
      </c>
      <c r="E29" s="43">
        <v>19630133.2162138</v>
      </c>
      <c r="F29" s="44">
        <v>9022264.7837862</v>
      </c>
      <c r="G29" s="44">
        <v>0</v>
      </c>
      <c r="H29" s="45">
        <f t="shared" si="0"/>
        <v>0</v>
      </c>
      <c r="I29" s="171"/>
    </row>
    <row r="30" spans="1:9" ht="14.1" customHeight="1" x14ac:dyDescent="0.2">
      <c r="A30" s="9" t="s">
        <v>79</v>
      </c>
      <c r="B30" s="86">
        <v>536143</v>
      </c>
      <c r="C30" s="87" t="s">
        <v>80</v>
      </c>
      <c r="D30" s="91">
        <f>928176</f>
        <v>928176</v>
      </c>
      <c r="E30" s="43">
        <v>635905.53670559998</v>
      </c>
      <c r="F30" s="44">
        <v>292270.46329440002</v>
      </c>
      <c r="G30" s="44">
        <v>0</v>
      </c>
      <c r="H30" s="45">
        <f t="shared" si="0"/>
        <v>0</v>
      </c>
      <c r="I30" s="171"/>
    </row>
    <row r="31" spans="1:9" ht="14.1" customHeight="1" x14ac:dyDescent="0.2">
      <c r="A31" s="9" t="s">
        <v>81</v>
      </c>
      <c r="B31" s="86">
        <v>536144</v>
      </c>
      <c r="C31" s="87" t="s">
        <v>303</v>
      </c>
      <c r="D31" s="91">
        <f>524917938</f>
        <v>524917938</v>
      </c>
      <c r="E31" s="43">
        <v>359628155.74878782</v>
      </c>
      <c r="F31" s="44">
        <v>165289782.25121218</v>
      </c>
      <c r="G31" s="44">
        <v>0</v>
      </c>
      <c r="H31" s="45">
        <f t="shared" si="0"/>
        <v>0</v>
      </c>
      <c r="I31" s="171"/>
    </row>
    <row r="32" spans="1:9" ht="14.1" customHeight="1" x14ac:dyDescent="0.2">
      <c r="A32" s="9" t="s">
        <v>90</v>
      </c>
      <c r="B32" s="86">
        <v>536152</v>
      </c>
      <c r="C32" s="87" t="s">
        <v>304</v>
      </c>
      <c r="D32" s="91">
        <f>7411305</f>
        <v>7411305</v>
      </c>
      <c r="E32" s="43">
        <v>5077582.1435954999</v>
      </c>
      <c r="F32" s="44">
        <v>2333722.8564045001</v>
      </c>
      <c r="G32" s="44">
        <v>0</v>
      </c>
      <c r="H32" s="45">
        <f t="shared" si="0"/>
        <v>0</v>
      </c>
      <c r="I32" s="171"/>
    </row>
    <row r="33" spans="1:9" ht="14.1" customHeight="1" x14ac:dyDescent="0.2">
      <c r="A33" s="9" t="s">
        <v>91</v>
      </c>
      <c r="B33" s="86">
        <v>536153</v>
      </c>
      <c r="C33" s="87" t="s">
        <v>92</v>
      </c>
      <c r="D33" s="91">
        <f>24625</f>
        <v>24625</v>
      </c>
      <c r="E33" s="43">
        <v>16870.9100875</v>
      </c>
      <c r="F33" s="44">
        <v>7754.0899124999996</v>
      </c>
      <c r="G33" s="44">
        <v>0</v>
      </c>
      <c r="H33" s="45">
        <f t="shared" si="0"/>
        <v>0</v>
      </c>
      <c r="I33" s="171"/>
    </row>
    <row r="34" spans="1:9" ht="14.1" customHeight="1" x14ac:dyDescent="0.2">
      <c r="A34" s="9" t="s">
        <v>93</v>
      </c>
      <c r="B34" s="86">
        <v>536154</v>
      </c>
      <c r="C34" s="87" t="s">
        <v>305</v>
      </c>
      <c r="D34" s="91">
        <f>204167520+196063926</f>
        <v>400231446</v>
      </c>
      <c r="E34" s="43">
        <v>274203806.68654263</v>
      </c>
      <c r="F34" s="44">
        <v>126027639.31345737</v>
      </c>
      <c r="G34" s="44">
        <v>0</v>
      </c>
      <c r="H34" s="45">
        <f t="shared" si="0"/>
        <v>0</v>
      </c>
      <c r="I34" s="171"/>
    </row>
    <row r="35" spans="1:9" ht="14.1" customHeight="1" x14ac:dyDescent="0.2">
      <c r="A35" s="9" t="s">
        <v>95</v>
      </c>
      <c r="B35" s="86">
        <v>536155</v>
      </c>
      <c r="C35" s="87" t="s">
        <v>306</v>
      </c>
      <c r="D35" s="91">
        <f>1005956</f>
        <v>1005956</v>
      </c>
      <c r="E35" s="43">
        <v>689193.63362360001</v>
      </c>
      <c r="F35" s="44">
        <v>316762.36637639999</v>
      </c>
      <c r="G35" s="44">
        <v>0</v>
      </c>
      <c r="H35" s="45">
        <f t="shared" si="0"/>
        <v>0</v>
      </c>
      <c r="I35" s="171"/>
    </row>
    <row r="36" spans="1:9" ht="14.1" customHeight="1" x14ac:dyDescent="0.2">
      <c r="A36" s="9" t="s">
        <v>98</v>
      </c>
      <c r="B36" s="86">
        <v>536157</v>
      </c>
      <c r="C36" s="87" t="s">
        <v>307</v>
      </c>
      <c r="D36" s="91">
        <f>6611093</f>
        <v>6611093</v>
      </c>
      <c r="E36" s="43">
        <v>4529346.4196183002</v>
      </c>
      <c r="F36" s="44">
        <v>2081746.5803816998</v>
      </c>
      <c r="G36" s="44">
        <v>0</v>
      </c>
      <c r="H36" s="45">
        <f t="shared" si="0"/>
        <v>0</v>
      </c>
      <c r="I36" s="171"/>
    </row>
    <row r="37" spans="1:9" ht="14.1" customHeight="1" x14ac:dyDescent="0.2">
      <c r="A37" s="9" t="s">
        <v>101</v>
      </c>
      <c r="B37" s="86">
        <v>536159001</v>
      </c>
      <c r="C37" s="87" t="s">
        <v>308</v>
      </c>
      <c r="D37" s="91">
        <f>253758366</f>
        <v>253758366</v>
      </c>
      <c r="E37" s="43">
        <v>173853180.7811946</v>
      </c>
      <c r="F37" s="44">
        <v>79905185.218805403</v>
      </c>
      <c r="G37" s="44">
        <v>0</v>
      </c>
      <c r="H37" s="45">
        <f t="shared" si="0"/>
        <v>0</v>
      </c>
      <c r="I37" s="171"/>
    </row>
    <row r="38" spans="1:9" ht="14.1" customHeight="1" x14ac:dyDescent="0.2">
      <c r="A38" s="9" t="s">
        <v>103</v>
      </c>
      <c r="B38" s="86">
        <v>536160</v>
      </c>
      <c r="C38" s="87" t="s">
        <v>309</v>
      </c>
      <c r="D38" s="91">
        <f>123127</f>
        <v>123127</v>
      </c>
      <c r="E38" s="43">
        <v>84355.920663700002</v>
      </c>
      <c r="F38" s="44">
        <v>38771.079336299998</v>
      </c>
      <c r="G38" s="44">
        <v>0</v>
      </c>
      <c r="H38" s="45">
        <f t="shared" si="0"/>
        <v>0</v>
      </c>
      <c r="I38" s="171"/>
    </row>
    <row r="39" spans="1:9" ht="14.1" customHeight="1" x14ac:dyDescent="0.2">
      <c r="A39" s="9" t="s">
        <v>105</v>
      </c>
      <c r="B39" s="86">
        <v>536161</v>
      </c>
      <c r="C39" s="87" t="s">
        <v>310</v>
      </c>
      <c r="D39" s="91">
        <f>147522483</f>
        <v>147522483</v>
      </c>
      <c r="E39" s="43">
        <v>101069585.6478273</v>
      </c>
      <c r="F39" s="44">
        <v>46452897.352172703</v>
      </c>
      <c r="G39" s="44">
        <v>0</v>
      </c>
      <c r="H39" s="45">
        <f t="shared" si="0"/>
        <v>0</v>
      </c>
      <c r="I39" s="171"/>
    </row>
    <row r="40" spans="1:9" ht="14.1" customHeight="1" x14ac:dyDescent="0.2">
      <c r="A40" s="9" t="s">
        <v>109</v>
      </c>
      <c r="B40" s="86">
        <v>536163</v>
      </c>
      <c r="C40" s="87" t="s">
        <v>311</v>
      </c>
      <c r="D40" s="91">
        <f>20320137</f>
        <v>20320137</v>
      </c>
      <c r="E40" s="43">
        <v>13921592.052494701</v>
      </c>
      <c r="F40" s="44">
        <v>6398544.947505299</v>
      </c>
      <c r="G40" s="44">
        <v>0</v>
      </c>
      <c r="H40" s="45">
        <f t="shared" si="0"/>
        <v>0</v>
      </c>
      <c r="I40" s="171"/>
    </row>
    <row r="41" spans="1:9" ht="14.1" customHeight="1" x14ac:dyDescent="0.2">
      <c r="A41" s="9"/>
      <c r="B41" s="86">
        <v>536164</v>
      </c>
      <c r="C41" s="87" t="s">
        <v>312</v>
      </c>
      <c r="D41" s="91"/>
      <c r="E41" s="43">
        <v>0</v>
      </c>
      <c r="F41" s="44">
        <v>0</v>
      </c>
      <c r="G41" s="44">
        <v>0</v>
      </c>
      <c r="H41" s="45">
        <f t="shared" si="0"/>
        <v>0</v>
      </c>
      <c r="I41" s="171"/>
    </row>
    <row r="42" spans="1:9" ht="14.1" customHeight="1" x14ac:dyDescent="0.2">
      <c r="A42" s="9" t="s">
        <v>110</v>
      </c>
      <c r="B42" s="86">
        <v>536165</v>
      </c>
      <c r="C42" s="87" t="s">
        <v>313</v>
      </c>
      <c r="D42" s="91">
        <f>213355149</f>
        <v>213355149</v>
      </c>
      <c r="E42" s="43">
        <v>146172407.53235191</v>
      </c>
      <c r="F42" s="44">
        <v>67182741.467648089</v>
      </c>
      <c r="G42" s="44">
        <v>0</v>
      </c>
      <c r="H42" s="45">
        <f t="shared" si="0"/>
        <v>0</v>
      </c>
      <c r="I42" s="171"/>
    </row>
    <row r="43" spans="1:9" ht="14.1" customHeight="1" x14ac:dyDescent="0.2">
      <c r="A43" s="9" t="s">
        <v>115</v>
      </c>
      <c r="B43" s="88">
        <v>536169</v>
      </c>
      <c r="C43" s="89" t="s">
        <v>314</v>
      </c>
      <c r="D43" s="38">
        <f>12655122+10870157+105866683+3130410</f>
        <v>132522372</v>
      </c>
      <c r="E43" s="43">
        <v>90792813.100273207</v>
      </c>
      <c r="F43" s="44">
        <v>41729558.899726793</v>
      </c>
      <c r="G43" s="44">
        <v>0</v>
      </c>
      <c r="H43" s="45">
        <f t="shared" ref="H43:H66" si="1">D43-E43-F43-G43</f>
        <v>0</v>
      </c>
      <c r="I43" s="171"/>
    </row>
    <row r="44" spans="1:9" ht="14.1" customHeight="1" x14ac:dyDescent="0.2">
      <c r="A44" s="9" t="s">
        <v>116</v>
      </c>
      <c r="B44" s="86">
        <v>536170</v>
      </c>
      <c r="C44" s="87" t="s">
        <v>117</v>
      </c>
      <c r="D44" s="91">
        <f>78538575+2899612690+129643635+7469104</f>
        <v>3115264004</v>
      </c>
      <c r="E44" s="43">
        <v>2134308128.0988524</v>
      </c>
      <c r="F44" s="44">
        <v>980955875.9011476</v>
      </c>
      <c r="G44" s="44">
        <v>0</v>
      </c>
      <c r="H44" s="45">
        <f t="shared" si="1"/>
        <v>0</v>
      </c>
      <c r="I44" s="171"/>
    </row>
    <row r="45" spans="1:9" ht="14.1" customHeight="1" x14ac:dyDescent="0.2">
      <c r="A45" s="9" t="s">
        <v>118</v>
      </c>
      <c r="B45" s="86">
        <v>536171</v>
      </c>
      <c r="C45" s="87" t="s">
        <v>119</v>
      </c>
      <c r="D45" s="91">
        <f>8114888</f>
        <v>8114888</v>
      </c>
      <c r="E45" s="43">
        <v>5559616.0738328006</v>
      </c>
      <c r="F45" s="44">
        <v>2555271.9261671994</v>
      </c>
      <c r="G45" s="44">
        <v>0</v>
      </c>
      <c r="H45" s="45">
        <f t="shared" si="1"/>
        <v>0</v>
      </c>
      <c r="I45" s="171"/>
    </row>
    <row r="46" spans="1:9" ht="14.1" customHeight="1" x14ac:dyDescent="0.2">
      <c r="A46" s="9" t="s">
        <v>120</v>
      </c>
      <c r="B46" s="86">
        <v>536172</v>
      </c>
      <c r="C46" s="87" t="s">
        <v>121</v>
      </c>
      <c r="D46" s="91">
        <f>73013046</f>
        <v>73013046</v>
      </c>
      <c r="E46" s="43">
        <v>50022194.285502605</v>
      </c>
      <c r="F46" s="44">
        <v>22990851.714497395</v>
      </c>
      <c r="G46" s="44">
        <v>0</v>
      </c>
      <c r="H46" s="45">
        <f t="shared" si="1"/>
        <v>0</v>
      </c>
      <c r="I46" s="171"/>
    </row>
    <row r="47" spans="1:9" ht="14.1" customHeight="1" x14ac:dyDescent="0.2">
      <c r="A47" s="9" t="s">
        <v>250</v>
      </c>
      <c r="B47" s="86">
        <v>536173</v>
      </c>
      <c r="C47" s="87" t="s">
        <v>122</v>
      </c>
      <c r="D47" s="91">
        <f>47344227</f>
        <v>47344227</v>
      </c>
      <c r="E47" s="43">
        <v>32436150.127073701</v>
      </c>
      <c r="F47" s="44">
        <v>14908076.872926299</v>
      </c>
      <c r="G47" s="44">
        <v>0</v>
      </c>
      <c r="H47" s="45">
        <f t="shared" si="1"/>
        <v>0</v>
      </c>
      <c r="I47" s="171"/>
    </row>
    <row r="48" spans="1:9" ht="14.1" customHeight="1" x14ac:dyDescent="0.2">
      <c r="A48" s="9" t="s">
        <v>252</v>
      </c>
      <c r="B48" s="86">
        <v>536175</v>
      </c>
      <c r="C48" s="87" t="s">
        <v>124</v>
      </c>
      <c r="D48" s="91">
        <f>406875408</f>
        <v>406875408</v>
      </c>
      <c r="E48" s="43">
        <v>278755672.0886448</v>
      </c>
      <c r="F48" s="44">
        <v>128119735.9113552</v>
      </c>
      <c r="G48" s="44">
        <v>0</v>
      </c>
      <c r="H48" s="45">
        <f t="shared" si="1"/>
        <v>0</v>
      </c>
      <c r="I48" s="171"/>
    </row>
    <row r="49" spans="1:9" ht="14.1" customHeight="1" x14ac:dyDescent="0.2">
      <c r="A49" s="190" t="s">
        <v>127</v>
      </c>
      <c r="B49" s="86">
        <v>536177</v>
      </c>
      <c r="C49" s="87" t="s">
        <v>315</v>
      </c>
      <c r="D49" s="91">
        <f>42753393+151567</f>
        <v>42904960</v>
      </c>
      <c r="E49" s="43">
        <v>29394750.150976002</v>
      </c>
      <c r="F49" s="44">
        <v>13510209.849023998</v>
      </c>
      <c r="G49" s="44">
        <v>0</v>
      </c>
      <c r="H49" s="45">
        <f t="shared" si="1"/>
        <v>0</v>
      </c>
      <c r="I49" s="171"/>
    </row>
    <row r="50" spans="1:9" ht="14.1" customHeight="1" x14ac:dyDescent="0.2">
      <c r="A50" s="9" t="s">
        <v>139</v>
      </c>
      <c r="B50" s="86">
        <v>536187</v>
      </c>
      <c r="C50" s="87" t="s">
        <v>316</v>
      </c>
      <c r="D50" s="91">
        <f>16311155</f>
        <v>16311155</v>
      </c>
      <c r="E50" s="43">
        <v>11174985.9666305</v>
      </c>
      <c r="F50" s="44">
        <v>5136169.0333695002</v>
      </c>
      <c r="G50" s="44">
        <v>0</v>
      </c>
      <c r="H50" s="45">
        <f t="shared" si="1"/>
        <v>0</v>
      </c>
      <c r="I50" s="171"/>
    </row>
    <row r="51" spans="1:9" ht="14.1" customHeight="1" x14ac:dyDescent="0.2">
      <c r="A51" s="9"/>
      <c r="B51" s="86">
        <v>536188</v>
      </c>
      <c r="C51" s="87" t="s">
        <v>317</v>
      </c>
      <c r="D51" s="91">
        <f>75320378</f>
        <v>75320378</v>
      </c>
      <c r="E51" s="43">
        <v>51602977.664751805</v>
      </c>
      <c r="F51" s="44">
        <v>23717400.335248195</v>
      </c>
      <c r="G51" s="44">
        <v>0</v>
      </c>
      <c r="H51" s="45">
        <f t="shared" si="1"/>
        <v>0</v>
      </c>
      <c r="I51" s="171"/>
    </row>
    <row r="52" spans="1:9" ht="14.1" customHeight="1" x14ac:dyDescent="0.2">
      <c r="A52" s="51" t="s">
        <v>142</v>
      </c>
      <c r="B52" s="86">
        <v>536190</v>
      </c>
      <c r="C52" s="87" t="s">
        <v>286</v>
      </c>
      <c r="D52" s="91">
        <f>327276605</f>
        <v>327276605</v>
      </c>
      <c r="E52" s="201">
        <v>0</v>
      </c>
      <c r="F52" s="44">
        <v>327276605</v>
      </c>
      <c r="G52" s="52">
        <v>0</v>
      </c>
      <c r="H52" s="53">
        <f t="shared" si="1"/>
        <v>0</v>
      </c>
      <c r="I52" s="171"/>
    </row>
    <row r="53" spans="1:9" ht="14.1" customHeight="1" x14ac:dyDescent="0.2">
      <c r="A53" s="51"/>
      <c r="B53" s="86">
        <v>536195</v>
      </c>
      <c r="C53" s="87" t="s">
        <v>318</v>
      </c>
      <c r="D53" s="91">
        <f>40729802</f>
        <v>40729802</v>
      </c>
      <c r="E53" s="201">
        <v>40729802</v>
      </c>
      <c r="F53" s="44">
        <v>0</v>
      </c>
      <c r="G53" s="52">
        <v>0</v>
      </c>
      <c r="H53" s="53">
        <f t="shared" si="1"/>
        <v>0</v>
      </c>
      <c r="I53" s="171"/>
    </row>
    <row r="54" spans="1:9" ht="14.1" customHeight="1" x14ac:dyDescent="0.2">
      <c r="A54" s="51" t="s">
        <v>31</v>
      </c>
      <c r="B54" s="86" t="s">
        <v>431</v>
      </c>
      <c r="C54" s="87" t="s">
        <v>432</v>
      </c>
      <c r="D54" s="91">
        <f>108801132</f>
        <v>108801132</v>
      </c>
      <c r="E54" s="43">
        <v>74541080.8280292</v>
      </c>
      <c r="F54" s="44">
        <v>34260051.1719708</v>
      </c>
      <c r="G54" s="52">
        <v>0</v>
      </c>
      <c r="H54" s="53">
        <f t="shared" si="1"/>
        <v>0</v>
      </c>
      <c r="I54" s="171"/>
    </row>
    <row r="55" spans="1:9" ht="14.1" customHeight="1" x14ac:dyDescent="0.2">
      <c r="A55" s="51" t="s">
        <v>31</v>
      </c>
      <c r="B55" s="86" t="s">
        <v>433</v>
      </c>
      <c r="C55" s="87" t="s">
        <v>447</v>
      </c>
      <c r="D55" s="91">
        <f>1918121</f>
        <v>1918121</v>
      </c>
      <c r="E55" s="43">
        <v>1314129.8244851001</v>
      </c>
      <c r="F55" s="44">
        <v>603991.17551489989</v>
      </c>
      <c r="G55" s="52">
        <v>0</v>
      </c>
      <c r="H55" s="53">
        <f t="shared" si="1"/>
        <v>0</v>
      </c>
      <c r="I55" s="171"/>
    </row>
    <row r="56" spans="1:9" ht="14.1" customHeight="1" x14ac:dyDescent="0.2">
      <c r="A56" s="51" t="s">
        <v>31</v>
      </c>
      <c r="B56" s="86" t="s">
        <v>434</v>
      </c>
      <c r="C56" s="87" t="s">
        <v>448</v>
      </c>
      <c r="D56" s="91">
        <f>23879528</f>
        <v>23879528</v>
      </c>
      <c r="E56" s="43">
        <v>16360177.4546168</v>
      </c>
      <c r="F56" s="44">
        <v>7519350.5453832</v>
      </c>
      <c r="G56" s="52">
        <v>0</v>
      </c>
      <c r="H56" s="53">
        <f t="shared" si="1"/>
        <v>0</v>
      </c>
      <c r="I56" s="171"/>
    </row>
    <row r="57" spans="1:9" ht="14.1" customHeight="1" x14ac:dyDescent="0.2">
      <c r="A57" s="51" t="s">
        <v>31</v>
      </c>
      <c r="B57" s="86" t="s">
        <v>435</v>
      </c>
      <c r="C57" s="87" t="s">
        <v>449</v>
      </c>
      <c r="D57" s="91">
        <f>19967861</f>
        <v>19967861</v>
      </c>
      <c r="E57" s="43">
        <v>13680243.150079101</v>
      </c>
      <c r="F57" s="44">
        <v>6287617.8499208987</v>
      </c>
      <c r="G57" s="52">
        <v>0</v>
      </c>
      <c r="H57" s="53">
        <f t="shared" si="1"/>
        <v>0</v>
      </c>
      <c r="I57" s="171"/>
    </row>
    <row r="58" spans="1:9" ht="14.1" customHeight="1" x14ac:dyDescent="0.2">
      <c r="A58" s="51">
        <v>27</v>
      </c>
      <c r="B58" s="86" t="s">
        <v>475</v>
      </c>
      <c r="C58" s="87" t="s">
        <v>476</v>
      </c>
      <c r="D58" s="91">
        <f>2984256</f>
        <v>2984256</v>
      </c>
      <c r="E58" s="43">
        <v>2044552.8793536001</v>
      </c>
      <c r="F58" s="44">
        <v>939703.12064639991</v>
      </c>
      <c r="G58" s="52">
        <v>0</v>
      </c>
      <c r="H58" s="53"/>
      <c r="I58" s="171"/>
    </row>
    <row r="59" spans="1:9" ht="14.1" customHeight="1" x14ac:dyDescent="0.2">
      <c r="A59" s="51" t="s">
        <v>31</v>
      </c>
      <c r="B59" s="86" t="s">
        <v>436</v>
      </c>
      <c r="C59" s="87" t="s">
        <v>450</v>
      </c>
      <c r="D59" s="91">
        <f>34992236</f>
        <v>34992236</v>
      </c>
      <c r="E59" s="43">
        <v>23973639.281891599</v>
      </c>
      <c r="F59" s="44">
        <v>11018596.718108401</v>
      </c>
      <c r="G59" s="52">
        <v>0</v>
      </c>
      <c r="H59" s="53">
        <f t="shared" si="1"/>
        <v>0</v>
      </c>
      <c r="I59" s="171"/>
    </row>
    <row r="60" spans="1:9" ht="14.1" customHeight="1" x14ac:dyDescent="0.2">
      <c r="A60" s="51" t="s">
        <v>31</v>
      </c>
      <c r="B60" s="86" t="s">
        <v>437</v>
      </c>
      <c r="C60" s="87" t="s">
        <v>451</v>
      </c>
      <c r="D60" s="91">
        <f>20513305</f>
        <v>20513305</v>
      </c>
      <c r="E60" s="43">
        <v>14053933.979795501</v>
      </c>
      <c r="F60" s="44">
        <v>6459371.0202044994</v>
      </c>
      <c r="G60" s="52">
        <v>0</v>
      </c>
      <c r="H60" s="53">
        <f t="shared" si="1"/>
        <v>0</v>
      </c>
      <c r="I60" s="171"/>
    </row>
    <row r="61" spans="1:9" ht="14.1" customHeight="1" x14ac:dyDescent="0.2">
      <c r="A61" s="51" t="s">
        <v>48</v>
      </c>
      <c r="B61" s="86" t="s">
        <v>438</v>
      </c>
      <c r="C61" s="87" t="s">
        <v>452</v>
      </c>
      <c r="D61" s="91">
        <f>8399</f>
        <v>8399</v>
      </c>
      <c r="E61" s="43">
        <v>5754.2649269000003</v>
      </c>
      <c r="F61" s="44">
        <v>2644.7350730999997</v>
      </c>
      <c r="G61" s="52">
        <v>0</v>
      </c>
      <c r="H61" s="53">
        <f t="shared" si="1"/>
        <v>0</v>
      </c>
      <c r="I61" s="171"/>
    </row>
    <row r="62" spans="1:9" ht="14.1" customHeight="1" x14ac:dyDescent="0.2">
      <c r="A62" s="51" t="s">
        <v>48</v>
      </c>
      <c r="B62" s="86" t="s">
        <v>439</v>
      </c>
      <c r="C62" s="87" t="s">
        <v>453</v>
      </c>
      <c r="D62" s="91">
        <f>7258</f>
        <v>7258</v>
      </c>
      <c r="E62" s="43">
        <v>4972.5508798000001</v>
      </c>
      <c r="F62" s="44">
        <v>2285.4491201999999</v>
      </c>
      <c r="G62" s="52">
        <v>0</v>
      </c>
      <c r="H62" s="53">
        <f t="shared" si="1"/>
        <v>0</v>
      </c>
      <c r="I62" s="171"/>
    </row>
    <row r="63" spans="1:9" ht="14.1" customHeight="1" x14ac:dyDescent="0.2">
      <c r="A63" s="51" t="s">
        <v>52</v>
      </c>
      <c r="B63" s="86" t="s">
        <v>440</v>
      </c>
      <c r="C63" s="87" t="s">
        <v>454</v>
      </c>
      <c r="D63" s="91">
        <f>144294</f>
        <v>144294</v>
      </c>
      <c r="E63" s="43">
        <v>98857.7096514</v>
      </c>
      <c r="F63" s="44">
        <v>45436.2903486</v>
      </c>
      <c r="G63" s="52">
        <v>0</v>
      </c>
      <c r="H63" s="53">
        <f t="shared" si="1"/>
        <v>0</v>
      </c>
      <c r="I63" s="171"/>
    </row>
    <row r="64" spans="1:9" ht="14.1" customHeight="1" x14ac:dyDescent="0.2">
      <c r="A64" s="51" t="s">
        <v>52</v>
      </c>
      <c r="B64" s="86" t="s">
        <v>441</v>
      </c>
      <c r="C64" s="87" t="s">
        <v>455</v>
      </c>
      <c r="D64" s="91">
        <f>160757</f>
        <v>160757</v>
      </c>
      <c r="E64" s="43">
        <v>110136.72661670001</v>
      </c>
      <c r="F64" s="44">
        <v>50620.273383299995</v>
      </c>
      <c r="G64" s="52">
        <v>0</v>
      </c>
      <c r="H64" s="53">
        <f t="shared" si="1"/>
        <v>0</v>
      </c>
      <c r="I64" s="171"/>
    </row>
    <row r="65" spans="1:9" ht="14.1" customHeight="1" x14ac:dyDescent="0.2">
      <c r="A65" s="51" t="s">
        <v>127</v>
      </c>
      <c r="B65" s="86" t="s">
        <v>442</v>
      </c>
      <c r="C65" s="87" t="s">
        <v>456</v>
      </c>
      <c r="D65" s="91">
        <f>461740</f>
        <v>461740</v>
      </c>
      <c r="E65" s="43">
        <v>316344.12279400002</v>
      </c>
      <c r="F65" s="44">
        <v>145395.87720599998</v>
      </c>
      <c r="G65" s="52">
        <v>0</v>
      </c>
      <c r="H65" s="53">
        <f t="shared" si="1"/>
        <v>0</v>
      </c>
      <c r="I65" s="171"/>
    </row>
    <row r="66" spans="1:9" ht="14.1" customHeight="1" x14ac:dyDescent="0.2">
      <c r="A66" s="195" t="s">
        <v>127</v>
      </c>
      <c r="B66" s="86" t="s">
        <v>443</v>
      </c>
      <c r="C66" s="87" t="s">
        <v>457</v>
      </c>
      <c r="D66" s="91">
        <f>354431</f>
        <v>354431</v>
      </c>
      <c r="E66" s="43">
        <v>242825.3211461</v>
      </c>
      <c r="F66" s="44">
        <v>111605.6788539</v>
      </c>
      <c r="G66" s="44">
        <v>0</v>
      </c>
      <c r="H66" s="45">
        <f t="shared" si="1"/>
        <v>0</v>
      </c>
      <c r="I66" s="171"/>
    </row>
    <row r="67" spans="1:9" ht="14.1" customHeight="1" x14ac:dyDescent="0.2">
      <c r="A67" s="195" t="s">
        <v>127</v>
      </c>
      <c r="B67" s="86" t="s">
        <v>477</v>
      </c>
      <c r="C67" s="87" t="s">
        <v>478</v>
      </c>
      <c r="D67" s="91">
        <f>2832</f>
        <v>2832</v>
      </c>
      <c r="E67" s="43">
        <v>1940.2402992</v>
      </c>
      <c r="F67" s="44">
        <v>891.75970080000002</v>
      </c>
      <c r="G67" s="44">
        <v>0</v>
      </c>
      <c r="H67" s="45">
        <f t="shared" ref="H67" si="2">D67-E67-F67-G67</f>
        <v>0</v>
      </c>
      <c r="I67" s="171"/>
    </row>
    <row r="68" spans="1:9" s="11" customFormat="1" ht="14.1" customHeight="1" thickBot="1" x14ac:dyDescent="0.25">
      <c r="A68" s="173"/>
      <c r="B68" s="174"/>
      <c r="C68" s="175"/>
      <c r="D68" s="176"/>
      <c r="E68" s="197"/>
      <c r="F68" s="177"/>
      <c r="G68" s="192"/>
      <c r="H68" s="178"/>
      <c r="I68" s="171"/>
    </row>
    <row r="69" spans="1:9" ht="14.1" customHeight="1" thickBot="1" x14ac:dyDescent="0.25">
      <c r="A69" s="10"/>
      <c r="B69" s="90" t="s">
        <v>319</v>
      </c>
      <c r="C69" s="145"/>
      <c r="D69" s="198">
        <f>SUM(D5:D67)</f>
        <v>13262166590</v>
      </c>
      <c r="E69" s="196">
        <f>SUM(E5:E67)</f>
        <v>8785443916.9578457</v>
      </c>
      <c r="F69" s="199">
        <f>SUM(F5:F67)</f>
        <v>4476722673.0421581</v>
      </c>
      <c r="G69" s="158">
        <f>SUM(G5:G66)</f>
        <v>0</v>
      </c>
      <c r="H69" s="194">
        <f>SUM(H5:H66)</f>
        <v>0</v>
      </c>
      <c r="I69" s="171"/>
    </row>
    <row r="70" spans="1:9" s="11" customFormat="1" ht="14.1" customHeight="1" x14ac:dyDescent="0.2">
      <c r="B70" s="60"/>
      <c r="C70" s="59"/>
      <c r="D70" s="144"/>
      <c r="E70" s="27"/>
      <c r="F70" s="27"/>
      <c r="G70" s="27"/>
    </row>
    <row r="71" spans="1:9" s="11" customFormat="1" ht="14.1" customHeight="1" x14ac:dyDescent="0.2">
      <c r="A71" s="61"/>
      <c r="B71" s="60"/>
      <c r="C71" s="59"/>
      <c r="D71" s="28"/>
      <c r="E71" s="28"/>
      <c r="F71" s="28"/>
      <c r="G71" s="28"/>
    </row>
    <row r="72" spans="1:9" x14ac:dyDescent="0.2">
      <c r="A72" s="2" t="s">
        <v>474</v>
      </c>
      <c r="D72" s="180" t="s">
        <v>446</v>
      </c>
      <c r="E72" s="180" t="s">
        <v>459</v>
      </c>
      <c r="F72" s="180" t="s">
        <v>458</v>
      </c>
    </row>
    <row r="73" spans="1:9" x14ac:dyDescent="0.2">
      <c r="C73" s="61" t="s">
        <v>444</v>
      </c>
      <c r="D73" s="179">
        <f>13040501336+7469104</f>
        <v>13047970440</v>
      </c>
      <c r="E73" s="179">
        <f>8636410086</f>
        <v>8636410086</v>
      </c>
      <c r="F73" s="179">
        <f>D73-E73</f>
        <v>4411560354</v>
      </c>
    </row>
    <row r="74" spans="1:9" ht="15" x14ac:dyDescent="0.35">
      <c r="C74" s="61" t="s">
        <v>445</v>
      </c>
      <c r="D74" s="181">
        <f>214196150</f>
        <v>214196150</v>
      </c>
      <c r="E74" s="181">
        <f>149033831</f>
        <v>149033831</v>
      </c>
      <c r="F74" s="181">
        <f>D74-E74</f>
        <v>65162319</v>
      </c>
    </row>
    <row r="75" spans="1:9" x14ac:dyDescent="0.2">
      <c r="A75" s="61" t="s">
        <v>465</v>
      </c>
      <c r="C75" s="61"/>
      <c r="D75" s="179">
        <f>SUM(D73:D74)</f>
        <v>13262166590</v>
      </c>
      <c r="E75" s="179">
        <f t="shared" ref="E75:F75" si="3">SUM(E73:E74)</f>
        <v>8785443917</v>
      </c>
      <c r="F75" s="179">
        <f t="shared" si="3"/>
        <v>4476722673</v>
      </c>
    </row>
    <row r="76" spans="1:9" x14ac:dyDescent="0.2">
      <c r="E76" s="191">
        <f>E75/D75</f>
        <v>0.66244409293006778</v>
      </c>
    </row>
    <row r="78" spans="1:9" x14ac:dyDescent="0.2">
      <c r="D78" s="200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75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x14ac:dyDescent="0.2">
      <c r="A1" s="1"/>
      <c r="B1" s="56"/>
      <c r="C1" s="56"/>
      <c r="D1" s="57" t="s">
        <v>429</v>
      </c>
      <c r="E1" s="56"/>
      <c r="F1" s="56"/>
      <c r="G1" s="56"/>
      <c r="H1" s="58"/>
      <c r="I1" s="98"/>
      <c r="J1" s="58"/>
      <c r="K1" s="58"/>
      <c r="L1" s="106"/>
    </row>
    <row r="2" spans="1:12" x14ac:dyDescent="0.2">
      <c r="A2" s="3"/>
      <c r="B2" s="59"/>
      <c r="C2" s="59"/>
      <c r="D2" s="60" t="s">
        <v>320</v>
      </c>
      <c r="E2" s="59"/>
      <c r="F2" s="59"/>
      <c r="G2" s="59"/>
      <c r="H2" s="61"/>
      <c r="I2" s="60"/>
      <c r="J2" s="61"/>
      <c r="K2" s="61"/>
      <c r="L2" s="107"/>
    </row>
    <row r="3" spans="1:12" ht="13.5" thickBot="1" x14ac:dyDescent="0.25">
      <c r="A3" s="3"/>
      <c r="B3" s="59"/>
      <c r="C3" s="59"/>
      <c r="D3" s="60" t="s">
        <v>461</v>
      </c>
      <c r="E3" s="59"/>
      <c r="F3" s="59"/>
      <c r="G3" s="59"/>
      <c r="H3" s="108"/>
      <c r="I3" s="99"/>
      <c r="J3" s="108"/>
      <c r="K3" s="108"/>
      <c r="L3" s="109"/>
    </row>
    <row r="4" spans="1:12" ht="44.45" customHeight="1" thickBot="1" x14ac:dyDescent="0.25">
      <c r="A4" s="63" t="s">
        <v>247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287</v>
      </c>
      <c r="I4" s="62" t="s">
        <v>288</v>
      </c>
      <c r="J4" s="100" t="s">
        <v>460</v>
      </c>
      <c r="K4" s="105" t="s">
        <v>321</v>
      </c>
      <c r="L4" s="105" t="s">
        <v>322</v>
      </c>
    </row>
    <row r="5" spans="1:12" ht="14.1" customHeight="1" x14ac:dyDescent="0.2">
      <c r="A5" s="4" t="s">
        <v>144</v>
      </c>
      <c r="B5" s="167"/>
      <c r="C5" s="167"/>
      <c r="D5" s="167"/>
      <c r="E5" s="167"/>
      <c r="F5" s="167"/>
      <c r="G5" s="167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" customHeight="1" x14ac:dyDescent="0.2">
      <c r="A6" s="4" t="s">
        <v>145</v>
      </c>
      <c r="B6" s="168"/>
      <c r="C6" s="168"/>
      <c r="D6" s="168"/>
      <c r="E6" s="168"/>
      <c r="F6" s="168"/>
      <c r="G6" s="168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" customHeight="1" x14ac:dyDescent="0.2">
      <c r="A7" s="4" t="s">
        <v>146</v>
      </c>
      <c r="B7" s="168"/>
      <c r="C7" s="168"/>
      <c r="D7" s="168"/>
      <c r="E7" s="168"/>
      <c r="F7" s="168"/>
      <c r="G7" s="168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" customHeight="1" x14ac:dyDescent="0.2">
      <c r="A8" s="4" t="s">
        <v>147</v>
      </c>
      <c r="B8" s="168"/>
      <c r="C8" s="168"/>
      <c r="D8" s="168"/>
      <c r="E8" s="168"/>
      <c r="F8" s="168"/>
      <c r="G8" s="168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" customHeight="1" x14ac:dyDescent="0.2">
      <c r="A9" s="4" t="s">
        <v>148</v>
      </c>
      <c r="B9" s="168"/>
      <c r="C9" s="168"/>
      <c r="D9" s="168"/>
      <c r="E9" s="168"/>
      <c r="F9" s="168"/>
      <c r="G9" s="168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" customHeight="1" x14ac:dyDescent="0.2">
      <c r="A10" s="4" t="s">
        <v>149</v>
      </c>
      <c r="B10" s="168"/>
      <c r="C10" s="168"/>
      <c r="D10" s="168"/>
      <c r="E10" s="168"/>
      <c r="F10" s="168"/>
      <c r="G10" s="168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" customHeight="1" x14ac:dyDescent="0.2">
      <c r="A11" s="4" t="s">
        <v>150</v>
      </c>
      <c r="B11" s="168"/>
      <c r="C11" s="168"/>
      <c r="D11" s="168"/>
      <c r="E11" s="168"/>
      <c r="F11" s="168"/>
      <c r="G11" s="168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" customHeight="1" x14ac:dyDescent="0.2">
      <c r="A12" s="4" t="s">
        <v>151</v>
      </c>
      <c r="B12" s="168"/>
      <c r="C12" s="168"/>
      <c r="D12" s="168"/>
      <c r="E12" s="168"/>
      <c r="F12" s="168"/>
      <c r="G12" s="168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" customHeight="1" x14ac:dyDescent="0.2">
      <c r="A13" s="4" t="s">
        <v>152</v>
      </c>
      <c r="B13" s="168"/>
      <c r="C13" s="168"/>
      <c r="D13" s="168"/>
      <c r="E13" s="168"/>
      <c r="F13" s="168"/>
      <c r="G13" s="168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" customHeight="1" x14ac:dyDescent="0.2">
      <c r="A14" s="4" t="s">
        <v>153</v>
      </c>
      <c r="B14" s="168"/>
      <c r="C14" s="168"/>
      <c r="D14" s="168"/>
      <c r="E14" s="168"/>
      <c r="F14" s="168"/>
      <c r="G14" s="168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" customHeight="1" x14ac:dyDescent="0.2">
      <c r="A15" s="4" t="s">
        <v>154</v>
      </c>
      <c r="B15" s="168"/>
      <c r="C15" s="168"/>
      <c r="D15" s="168"/>
      <c r="E15" s="168"/>
      <c r="F15" s="168"/>
      <c r="G15" s="168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" customHeight="1" x14ac:dyDescent="0.2">
      <c r="A16" s="4" t="s">
        <v>155</v>
      </c>
      <c r="B16" s="168"/>
      <c r="C16" s="168"/>
      <c r="D16" s="168"/>
      <c r="E16" s="168"/>
      <c r="F16" s="168"/>
      <c r="G16" s="168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" customHeight="1" x14ac:dyDescent="0.2">
      <c r="A17" s="4" t="s">
        <v>156</v>
      </c>
      <c r="B17" s="168"/>
      <c r="C17" s="168"/>
      <c r="D17" s="168"/>
      <c r="E17" s="168"/>
      <c r="F17" s="168"/>
      <c r="G17" s="168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" customHeight="1" x14ac:dyDescent="0.2">
      <c r="A18" s="4" t="s">
        <v>157</v>
      </c>
      <c r="B18" s="168"/>
      <c r="C18" s="168"/>
      <c r="D18" s="168"/>
      <c r="E18" s="168"/>
      <c r="F18" s="168"/>
      <c r="G18" s="168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" customHeight="1" x14ac:dyDescent="0.2">
      <c r="A19" s="4" t="s">
        <v>158</v>
      </c>
      <c r="B19" s="168"/>
      <c r="C19" s="168"/>
      <c r="D19" s="168"/>
      <c r="E19" s="168"/>
      <c r="F19" s="168"/>
      <c r="G19" s="168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" customHeight="1" x14ac:dyDescent="0.2">
      <c r="A20" s="4" t="s">
        <v>159</v>
      </c>
      <c r="B20" s="168"/>
      <c r="C20" s="168"/>
      <c r="D20" s="168"/>
      <c r="E20" s="168"/>
      <c r="F20" s="168"/>
      <c r="G20" s="168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" customHeight="1" x14ac:dyDescent="0.2">
      <c r="A21" s="4" t="s">
        <v>160</v>
      </c>
      <c r="B21" s="168"/>
      <c r="C21" s="168"/>
      <c r="D21" s="168"/>
      <c r="E21" s="168"/>
      <c r="F21" s="168"/>
      <c r="G21" s="168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" customHeight="1" x14ac:dyDescent="0.2">
      <c r="A22" s="4" t="s">
        <v>161</v>
      </c>
      <c r="B22" s="168"/>
      <c r="C22" s="168"/>
      <c r="D22" s="168"/>
      <c r="E22" s="168"/>
      <c r="F22" s="168"/>
      <c r="G22" s="168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" customHeight="1" x14ac:dyDescent="0.2">
      <c r="A23" s="4" t="s">
        <v>162</v>
      </c>
      <c r="B23" s="168"/>
      <c r="C23" s="168"/>
      <c r="D23" s="168"/>
      <c r="E23" s="168"/>
      <c r="F23" s="168"/>
      <c r="G23" s="168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" customHeight="1" x14ac:dyDescent="0.2">
      <c r="A24" s="4" t="s">
        <v>163</v>
      </c>
      <c r="B24" s="168"/>
      <c r="C24" s="168"/>
      <c r="D24" s="168"/>
      <c r="E24" s="168"/>
      <c r="F24" s="168"/>
      <c r="G24" s="168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" customHeight="1" x14ac:dyDescent="0.2">
      <c r="A25" s="4" t="s">
        <v>164</v>
      </c>
      <c r="B25" s="168"/>
      <c r="C25" s="168"/>
      <c r="D25" s="168"/>
      <c r="E25" s="168"/>
      <c r="F25" s="168"/>
      <c r="G25" s="168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" customHeight="1" x14ac:dyDescent="0.2">
      <c r="A26" s="4" t="s">
        <v>165</v>
      </c>
      <c r="B26" s="168"/>
      <c r="C26" s="168"/>
      <c r="D26" s="168"/>
      <c r="E26" s="168"/>
      <c r="F26" s="168"/>
      <c r="G26" s="168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" customHeight="1" x14ac:dyDescent="0.2">
      <c r="A27" s="4" t="s">
        <v>166</v>
      </c>
      <c r="B27" s="168"/>
      <c r="C27" s="168"/>
      <c r="D27" s="168"/>
      <c r="E27" s="168"/>
      <c r="F27" s="168"/>
      <c r="G27" s="168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" customHeight="1" x14ac:dyDescent="0.2">
      <c r="A28" s="4" t="s">
        <v>167</v>
      </c>
      <c r="B28" s="168"/>
      <c r="C28" s="168"/>
      <c r="D28" s="168"/>
      <c r="E28" s="168"/>
      <c r="F28" s="168"/>
      <c r="G28" s="168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" customHeight="1" x14ac:dyDescent="0.2">
      <c r="A29" s="4" t="s">
        <v>168</v>
      </c>
      <c r="B29" s="168"/>
      <c r="C29" s="168"/>
      <c r="D29" s="168"/>
      <c r="E29" s="168"/>
      <c r="F29" s="168"/>
      <c r="G29" s="168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" customHeight="1" x14ac:dyDescent="0.2">
      <c r="A30" s="4" t="s">
        <v>169</v>
      </c>
      <c r="B30" s="168"/>
      <c r="C30" s="168"/>
      <c r="D30" s="168"/>
      <c r="E30" s="168"/>
      <c r="F30" s="168"/>
      <c r="G30" s="168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" customHeight="1" x14ac:dyDescent="0.2">
      <c r="A31" s="4" t="s">
        <v>170</v>
      </c>
      <c r="B31" s="168"/>
      <c r="C31" s="168"/>
      <c r="D31" s="168"/>
      <c r="E31" s="168"/>
      <c r="F31" s="168"/>
      <c r="G31" s="168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" customHeight="1" x14ac:dyDescent="0.2">
      <c r="A32" s="4" t="s">
        <v>171</v>
      </c>
      <c r="B32" s="168"/>
      <c r="C32" s="168"/>
      <c r="D32" s="168"/>
      <c r="E32" s="168"/>
      <c r="F32" s="168"/>
      <c r="G32" s="168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" customHeight="1" x14ac:dyDescent="0.2">
      <c r="A33" s="4" t="s">
        <v>172</v>
      </c>
      <c r="B33" s="168"/>
      <c r="C33" s="168"/>
      <c r="D33" s="168"/>
      <c r="E33" s="168"/>
      <c r="F33" s="168"/>
      <c r="G33" s="168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" customHeight="1" x14ac:dyDescent="0.2">
      <c r="A34" s="4" t="s">
        <v>173</v>
      </c>
      <c r="B34" s="168"/>
      <c r="C34" s="168"/>
      <c r="D34" s="168"/>
      <c r="E34" s="168"/>
      <c r="F34" s="168"/>
      <c r="G34" s="168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" customHeight="1" x14ac:dyDescent="0.2">
      <c r="A35" s="4" t="s">
        <v>174</v>
      </c>
      <c r="B35" s="168"/>
      <c r="C35" s="168"/>
      <c r="D35" s="168"/>
      <c r="E35" s="168"/>
      <c r="F35" s="168"/>
      <c r="G35" s="168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" customHeight="1" x14ac:dyDescent="0.2">
      <c r="A36" s="4" t="s">
        <v>175</v>
      </c>
      <c r="B36" s="168"/>
      <c r="C36" s="168"/>
      <c r="D36" s="168"/>
      <c r="E36" s="168"/>
      <c r="F36" s="168"/>
      <c r="G36" s="168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" customHeight="1" x14ac:dyDescent="0.2">
      <c r="A37" s="4" t="s">
        <v>176</v>
      </c>
      <c r="B37" s="168"/>
      <c r="C37" s="168"/>
      <c r="D37" s="168"/>
      <c r="E37" s="168"/>
      <c r="F37" s="168"/>
      <c r="G37" s="168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" customHeight="1" x14ac:dyDescent="0.2">
      <c r="A38" s="4" t="s">
        <v>177</v>
      </c>
      <c r="B38" s="168"/>
      <c r="C38" s="168"/>
      <c r="D38" s="168"/>
      <c r="E38" s="168"/>
      <c r="F38" s="168"/>
      <c r="G38" s="168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" customHeight="1" x14ac:dyDescent="0.2">
      <c r="A39" s="4" t="s">
        <v>178</v>
      </c>
      <c r="B39" s="168"/>
      <c r="C39" s="168"/>
      <c r="D39" s="168"/>
      <c r="E39" s="168"/>
      <c r="F39" s="168"/>
      <c r="G39" s="168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" customHeight="1" x14ac:dyDescent="0.2">
      <c r="A40" s="4" t="s">
        <v>179</v>
      </c>
      <c r="B40" s="168"/>
      <c r="C40" s="168"/>
      <c r="D40" s="168"/>
      <c r="E40" s="168"/>
      <c r="F40" s="168"/>
      <c r="G40" s="168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" customHeight="1" x14ac:dyDescent="0.2">
      <c r="A41" s="4" t="s">
        <v>180</v>
      </c>
      <c r="B41" s="168"/>
      <c r="C41" s="168"/>
      <c r="D41" s="168"/>
      <c r="E41" s="168"/>
      <c r="F41" s="168"/>
      <c r="G41" s="168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" customHeight="1" x14ac:dyDescent="0.2">
      <c r="A42" s="4" t="s">
        <v>181</v>
      </c>
      <c r="B42" s="168"/>
      <c r="C42" s="168"/>
      <c r="D42" s="168"/>
      <c r="E42" s="168"/>
      <c r="F42" s="168"/>
      <c r="G42" s="168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" customHeight="1" x14ac:dyDescent="0.2">
      <c r="A43" s="4" t="s">
        <v>182</v>
      </c>
      <c r="B43" s="168"/>
      <c r="C43" s="168"/>
      <c r="D43" s="168"/>
      <c r="E43" s="168"/>
      <c r="F43" s="168"/>
      <c r="G43" s="168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" customHeight="1" x14ac:dyDescent="0.2">
      <c r="A44" s="4" t="s">
        <v>183</v>
      </c>
      <c r="B44" s="168"/>
      <c r="C44" s="168"/>
      <c r="D44" s="168"/>
      <c r="E44" s="168"/>
      <c r="F44" s="168"/>
      <c r="G44" s="168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" customHeight="1" x14ac:dyDescent="0.2">
      <c r="A45" s="4" t="s">
        <v>184</v>
      </c>
      <c r="B45" s="168"/>
      <c r="C45" s="168"/>
      <c r="D45" s="168"/>
      <c r="E45" s="168"/>
      <c r="F45" s="168"/>
      <c r="G45" s="168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" customHeight="1" x14ac:dyDescent="0.2">
      <c r="A46" s="4" t="s">
        <v>185</v>
      </c>
      <c r="B46" s="168"/>
      <c r="C46" s="168"/>
      <c r="D46" s="168"/>
      <c r="E46" s="168"/>
      <c r="F46" s="168"/>
      <c r="G46" s="168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" customHeight="1" x14ac:dyDescent="0.2">
      <c r="A47" s="4" t="s">
        <v>186</v>
      </c>
      <c r="B47" s="168"/>
      <c r="C47" s="168"/>
      <c r="D47" s="168"/>
      <c r="E47" s="168"/>
      <c r="F47" s="168"/>
      <c r="G47" s="168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" customHeight="1" x14ac:dyDescent="0.2">
      <c r="A48" s="4" t="s">
        <v>187</v>
      </c>
      <c r="B48" s="168"/>
      <c r="C48" s="168"/>
      <c r="D48" s="168"/>
      <c r="E48" s="168"/>
      <c r="F48" s="168"/>
      <c r="G48" s="168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" customHeight="1" x14ac:dyDescent="0.2">
      <c r="A49" s="4" t="s">
        <v>188</v>
      </c>
      <c r="B49" s="168"/>
      <c r="C49" s="168"/>
      <c r="D49" s="168"/>
      <c r="E49" s="168"/>
      <c r="F49" s="168"/>
      <c r="G49" s="168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" customHeight="1" x14ac:dyDescent="0.2">
      <c r="A50" s="4" t="s">
        <v>189</v>
      </c>
      <c r="B50" s="168"/>
      <c r="C50" s="168"/>
      <c r="D50" s="168"/>
      <c r="E50" s="168"/>
      <c r="F50" s="168"/>
      <c r="G50" s="168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" customHeight="1" x14ac:dyDescent="0.2">
      <c r="A51" s="4" t="s">
        <v>190</v>
      </c>
      <c r="B51" s="168"/>
      <c r="C51" s="168"/>
      <c r="D51" s="168"/>
      <c r="E51" s="168"/>
      <c r="F51" s="168"/>
      <c r="G51" s="168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" customHeight="1" x14ac:dyDescent="0.2">
      <c r="A52" s="4" t="s">
        <v>191</v>
      </c>
      <c r="B52" s="168"/>
      <c r="C52" s="168"/>
      <c r="D52" s="168"/>
      <c r="E52" s="168"/>
      <c r="F52" s="168"/>
      <c r="G52" s="168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" customHeight="1" x14ac:dyDescent="0.2">
      <c r="A53" s="4" t="s">
        <v>192</v>
      </c>
      <c r="B53" s="168"/>
      <c r="C53" s="168"/>
      <c r="D53" s="168"/>
      <c r="E53" s="168"/>
      <c r="F53" s="168"/>
      <c r="G53" s="168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" customHeight="1" x14ac:dyDescent="0.2">
      <c r="A54" s="4" t="s">
        <v>193</v>
      </c>
      <c r="B54" s="168"/>
      <c r="C54" s="168"/>
      <c r="D54" s="168"/>
      <c r="E54" s="168"/>
      <c r="F54" s="168"/>
      <c r="G54" s="168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" customHeight="1" x14ac:dyDescent="0.2">
      <c r="A55" s="4" t="s">
        <v>194</v>
      </c>
      <c r="B55" s="168"/>
      <c r="C55" s="168"/>
      <c r="D55" s="168"/>
      <c r="E55" s="168"/>
      <c r="F55" s="168"/>
      <c r="G55" s="168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" customHeight="1" x14ac:dyDescent="0.2">
      <c r="A56" s="4" t="s">
        <v>195</v>
      </c>
      <c r="B56" s="168"/>
      <c r="C56" s="168"/>
      <c r="D56" s="168"/>
      <c r="E56" s="168"/>
      <c r="F56" s="168"/>
      <c r="G56" s="168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" customHeight="1" x14ac:dyDescent="0.2">
      <c r="A57" s="4" t="s">
        <v>196</v>
      </c>
      <c r="B57" s="168"/>
      <c r="C57" s="168"/>
      <c r="D57" s="168"/>
      <c r="E57" s="168"/>
      <c r="F57" s="168"/>
      <c r="G57" s="168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" customHeight="1" x14ac:dyDescent="0.2">
      <c r="A58" s="4" t="s">
        <v>197</v>
      </c>
      <c r="B58" s="168"/>
      <c r="C58" s="168"/>
      <c r="D58" s="168"/>
      <c r="E58" s="168"/>
      <c r="F58" s="168"/>
      <c r="G58" s="168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" customHeight="1" x14ac:dyDescent="0.2">
      <c r="A59" s="4" t="s">
        <v>198</v>
      </c>
      <c r="B59" s="168"/>
      <c r="C59" s="168"/>
      <c r="D59" s="168"/>
      <c r="E59" s="168"/>
      <c r="F59" s="168"/>
      <c r="G59" s="168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" customHeight="1" x14ac:dyDescent="0.2">
      <c r="A60" s="4" t="s">
        <v>199</v>
      </c>
      <c r="B60" s="168"/>
      <c r="C60" s="168"/>
      <c r="D60" s="168"/>
      <c r="E60" s="168"/>
      <c r="F60" s="168"/>
      <c r="G60" s="168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" customHeight="1" x14ac:dyDescent="0.2">
      <c r="A61" s="4" t="s">
        <v>200</v>
      </c>
      <c r="B61" s="168"/>
      <c r="C61" s="168"/>
      <c r="D61" s="168"/>
      <c r="E61" s="168"/>
      <c r="F61" s="168"/>
      <c r="G61" s="168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" customHeight="1" x14ac:dyDescent="0.2">
      <c r="A62" s="4" t="s">
        <v>201</v>
      </c>
      <c r="B62" s="168"/>
      <c r="C62" s="168"/>
      <c r="D62" s="168"/>
      <c r="E62" s="168"/>
      <c r="F62" s="168"/>
      <c r="G62" s="168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" customHeight="1" x14ac:dyDescent="0.2">
      <c r="A63" s="4" t="s">
        <v>202</v>
      </c>
      <c r="B63" s="168"/>
      <c r="C63" s="168"/>
      <c r="D63" s="168"/>
      <c r="E63" s="168"/>
      <c r="F63" s="168"/>
      <c r="G63" s="168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" customHeight="1" x14ac:dyDescent="0.2">
      <c r="A64" s="4" t="s">
        <v>203</v>
      </c>
      <c r="B64" s="168"/>
      <c r="C64" s="168"/>
      <c r="D64" s="168"/>
      <c r="E64" s="168"/>
      <c r="F64" s="168"/>
      <c r="G64" s="168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" customHeight="1" x14ac:dyDescent="0.2">
      <c r="A65" s="4" t="s">
        <v>204</v>
      </c>
      <c r="B65" s="168"/>
      <c r="C65" s="168"/>
      <c r="D65" s="168"/>
      <c r="E65" s="168"/>
      <c r="F65" s="168"/>
      <c r="G65" s="168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" customHeight="1" x14ac:dyDescent="0.2">
      <c r="A66" s="4" t="s">
        <v>205</v>
      </c>
      <c r="B66" s="168"/>
      <c r="C66" s="168"/>
      <c r="D66" s="168"/>
      <c r="E66" s="168"/>
      <c r="F66" s="168"/>
      <c r="G66" s="168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" customHeight="1" x14ac:dyDescent="0.2">
      <c r="A67" s="4" t="s">
        <v>206</v>
      </c>
      <c r="B67" s="168"/>
      <c r="C67" s="168"/>
      <c r="D67" s="168"/>
      <c r="E67" s="168"/>
      <c r="F67" s="168"/>
      <c r="G67" s="168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" customHeight="1" x14ac:dyDescent="0.2">
      <c r="A68" s="4" t="s">
        <v>207</v>
      </c>
      <c r="B68" s="168"/>
      <c r="C68" s="168"/>
      <c r="D68" s="168"/>
      <c r="E68" s="168"/>
      <c r="F68" s="168"/>
      <c r="G68" s="168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" customHeight="1" x14ac:dyDescent="0.2">
      <c r="A69" s="4" t="s">
        <v>208</v>
      </c>
      <c r="B69" s="168"/>
      <c r="C69" s="168"/>
      <c r="D69" s="168"/>
      <c r="E69" s="168"/>
      <c r="F69" s="168"/>
      <c r="G69" s="168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" customHeight="1" x14ac:dyDescent="0.2">
      <c r="A70" s="4" t="s">
        <v>209</v>
      </c>
      <c r="B70" s="168"/>
      <c r="C70" s="168"/>
      <c r="D70" s="168"/>
      <c r="E70" s="168"/>
      <c r="F70" s="168"/>
      <c r="G70" s="168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" customHeight="1" x14ac:dyDescent="0.2">
      <c r="A71" s="4" t="s">
        <v>210</v>
      </c>
      <c r="B71" s="168"/>
      <c r="C71" s="168"/>
      <c r="D71" s="168"/>
      <c r="E71" s="168"/>
      <c r="F71" s="168"/>
      <c r="G71" s="168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" customHeight="1" x14ac:dyDescent="0.2">
      <c r="A72" s="4" t="s">
        <v>211</v>
      </c>
      <c r="B72" s="168"/>
      <c r="C72" s="168"/>
      <c r="D72" s="168"/>
      <c r="E72" s="168"/>
      <c r="F72" s="168"/>
      <c r="G72" s="168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" customHeight="1" x14ac:dyDescent="0.2">
      <c r="A73" s="4" t="s">
        <v>212</v>
      </c>
      <c r="B73" s="168"/>
      <c r="C73" s="168"/>
      <c r="D73" s="168"/>
      <c r="E73" s="168"/>
      <c r="F73" s="168"/>
      <c r="G73" s="168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" customHeight="1" x14ac:dyDescent="0.2">
      <c r="A74" s="4" t="s">
        <v>213</v>
      </c>
      <c r="B74" s="168"/>
      <c r="C74" s="168"/>
      <c r="D74" s="168"/>
      <c r="E74" s="168"/>
      <c r="F74" s="168"/>
      <c r="G74" s="168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" customHeight="1" x14ac:dyDescent="0.2">
      <c r="A75" s="4" t="s">
        <v>214</v>
      </c>
      <c r="B75" s="168"/>
      <c r="C75" s="168"/>
      <c r="D75" s="168"/>
      <c r="E75" s="168"/>
      <c r="F75" s="168"/>
      <c r="G75" s="168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" customHeight="1" x14ac:dyDescent="0.2">
      <c r="A76" s="4" t="s">
        <v>215</v>
      </c>
      <c r="B76" s="168"/>
      <c r="C76" s="168"/>
      <c r="D76" s="168"/>
      <c r="E76" s="168"/>
      <c r="F76" s="168"/>
      <c r="G76" s="168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" customHeight="1" x14ac:dyDescent="0.2">
      <c r="A77" s="4" t="s">
        <v>216</v>
      </c>
      <c r="B77" s="168"/>
      <c r="C77" s="168"/>
      <c r="D77" s="168"/>
      <c r="E77" s="168"/>
      <c r="F77" s="168"/>
      <c r="G77" s="168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" customHeight="1" x14ac:dyDescent="0.2">
      <c r="A78" s="4" t="s">
        <v>217</v>
      </c>
      <c r="B78" s="168"/>
      <c r="C78" s="168"/>
      <c r="D78" s="168"/>
      <c r="E78" s="168"/>
      <c r="F78" s="168"/>
      <c r="G78" s="168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" customHeight="1" x14ac:dyDescent="0.2">
      <c r="A79" s="4" t="s">
        <v>218</v>
      </c>
      <c r="B79" s="168"/>
      <c r="C79" s="168"/>
      <c r="D79" s="168"/>
      <c r="E79" s="168"/>
      <c r="F79" s="168"/>
      <c r="G79" s="168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" customHeight="1" x14ac:dyDescent="0.2">
      <c r="A80" s="4" t="s">
        <v>219</v>
      </c>
      <c r="B80" s="168"/>
      <c r="C80" s="168"/>
      <c r="D80" s="168"/>
      <c r="E80" s="168"/>
      <c r="F80" s="168"/>
      <c r="G80" s="168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" customHeight="1" x14ac:dyDescent="0.2">
      <c r="A81" s="4" t="s">
        <v>220</v>
      </c>
      <c r="B81" s="168"/>
      <c r="C81" s="168"/>
      <c r="D81" s="168"/>
      <c r="E81" s="168"/>
      <c r="F81" s="168"/>
      <c r="G81" s="168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" customHeight="1" x14ac:dyDescent="0.2">
      <c r="A82" s="4" t="s">
        <v>221</v>
      </c>
      <c r="B82" s="168"/>
      <c r="C82" s="168"/>
      <c r="D82" s="168"/>
      <c r="E82" s="168"/>
      <c r="F82" s="168"/>
      <c r="G82" s="168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" customHeight="1" x14ac:dyDescent="0.2">
      <c r="A83" s="4" t="s">
        <v>222</v>
      </c>
      <c r="B83" s="168"/>
      <c r="C83" s="168"/>
      <c r="D83" s="168"/>
      <c r="E83" s="168"/>
      <c r="F83" s="168"/>
      <c r="G83" s="168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" customHeight="1" x14ac:dyDescent="0.2">
      <c r="A84" s="4" t="s">
        <v>223</v>
      </c>
      <c r="B84" s="168"/>
      <c r="C84" s="168"/>
      <c r="D84" s="168"/>
      <c r="E84" s="168"/>
      <c r="F84" s="168"/>
      <c r="G84" s="168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" customHeight="1" x14ac:dyDescent="0.2">
      <c r="A85" s="4" t="s">
        <v>224</v>
      </c>
      <c r="B85" s="168"/>
      <c r="C85" s="168"/>
      <c r="D85" s="168"/>
      <c r="E85" s="168"/>
      <c r="F85" s="168"/>
      <c r="G85" s="168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" customHeight="1" x14ac:dyDescent="0.2">
      <c r="A86" s="4" t="s">
        <v>225</v>
      </c>
      <c r="B86" s="168"/>
      <c r="C86" s="168"/>
      <c r="D86" s="168"/>
      <c r="E86" s="168"/>
      <c r="F86" s="168"/>
      <c r="G86" s="168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" customHeight="1" x14ac:dyDescent="0.2">
      <c r="A87" s="4" t="s">
        <v>226</v>
      </c>
      <c r="B87" s="168"/>
      <c r="C87" s="168"/>
      <c r="D87" s="168"/>
      <c r="E87" s="168"/>
      <c r="F87" s="168"/>
      <c r="G87" s="168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" customHeight="1" x14ac:dyDescent="0.2">
      <c r="A88" s="4" t="s">
        <v>227</v>
      </c>
      <c r="B88" s="168"/>
      <c r="C88" s="168"/>
      <c r="D88" s="168"/>
      <c r="E88" s="168"/>
      <c r="F88" s="168"/>
      <c r="G88" s="168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" customHeight="1" x14ac:dyDescent="0.2">
      <c r="A89" s="4" t="s">
        <v>228</v>
      </c>
      <c r="B89" s="168"/>
      <c r="C89" s="168"/>
      <c r="D89" s="168"/>
      <c r="E89" s="168"/>
      <c r="F89" s="168"/>
      <c r="G89" s="168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" customHeight="1" x14ac:dyDescent="0.2">
      <c r="A90" s="4" t="s">
        <v>229</v>
      </c>
      <c r="B90" s="168"/>
      <c r="C90" s="168"/>
      <c r="D90" s="168"/>
      <c r="E90" s="168"/>
      <c r="F90" s="168"/>
      <c r="G90" s="168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" customHeight="1" x14ac:dyDescent="0.2">
      <c r="A91" s="4" t="s">
        <v>230</v>
      </c>
      <c r="B91" s="168"/>
      <c r="C91" s="168"/>
      <c r="D91" s="168"/>
      <c r="E91" s="168"/>
      <c r="F91" s="168"/>
      <c r="G91" s="168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" customHeight="1" x14ac:dyDescent="0.2">
      <c r="A92" s="4" t="s">
        <v>231</v>
      </c>
      <c r="B92" s="168"/>
      <c r="C92" s="168"/>
      <c r="D92" s="168"/>
      <c r="E92" s="168"/>
      <c r="F92" s="168"/>
      <c r="G92" s="168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" customHeight="1" x14ac:dyDescent="0.2">
      <c r="A93" s="4" t="s">
        <v>232</v>
      </c>
      <c r="B93" s="168"/>
      <c r="C93" s="168"/>
      <c r="D93" s="168"/>
      <c r="E93" s="168"/>
      <c r="F93" s="168"/>
      <c r="G93" s="168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" customHeight="1" x14ac:dyDescent="0.2">
      <c r="A94" s="4" t="s">
        <v>233</v>
      </c>
      <c r="B94" s="168"/>
      <c r="C94" s="168"/>
      <c r="D94" s="168"/>
      <c r="E94" s="168"/>
      <c r="F94" s="168"/>
      <c r="G94" s="168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" customHeight="1" x14ac:dyDescent="0.2">
      <c r="A95" s="4" t="s">
        <v>234</v>
      </c>
      <c r="B95" s="168"/>
      <c r="C95" s="168"/>
      <c r="D95" s="168"/>
      <c r="E95" s="168"/>
      <c r="F95" s="168"/>
      <c r="G95" s="168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" customHeight="1" x14ac:dyDescent="0.2">
      <c r="A96" s="4" t="s">
        <v>235</v>
      </c>
      <c r="B96" s="168"/>
      <c r="C96" s="168"/>
      <c r="D96" s="168"/>
      <c r="E96" s="168"/>
      <c r="F96" s="168"/>
      <c r="G96" s="168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" customHeight="1" x14ac:dyDescent="0.2">
      <c r="A97" s="4" t="s">
        <v>236</v>
      </c>
      <c r="B97" s="168"/>
      <c r="C97" s="168"/>
      <c r="D97" s="168"/>
      <c r="E97" s="168"/>
      <c r="F97" s="168"/>
      <c r="G97" s="168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" customHeight="1" x14ac:dyDescent="0.2">
      <c r="A98" s="4" t="s">
        <v>237</v>
      </c>
      <c r="B98" s="168"/>
      <c r="C98" s="168"/>
      <c r="D98" s="168"/>
      <c r="E98" s="168"/>
      <c r="F98" s="168"/>
      <c r="G98" s="168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" customHeight="1" x14ac:dyDescent="0.2">
      <c r="A99" s="4" t="s">
        <v>238</v>
      </c>
      <c r="B99" s="168"/>
      <c r="C99" s="168"/>
      <c r="D99" s="168"/>
      <c r="E99" s="168"/>
      <c r="F99" s="168"/>
      <c r="G99" s="168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" customHeight="1" x14ac:dyDescent="0.2">
      <c r="A100" s="4" t="s">
        <v>239</v>
      </c>
      <c r="B100" s="168"/>
      <c r="C100" s="168"/>
      <c r="D100" s="168"/>
      <c r="E100" s="168"/>
      <c r="F100" s="168"/>
      <c r="G100" s="168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" customHeight="1" x14ac:dyDescent="0.2">
      <c r="A101" s="4" t="s">
        <v>240</v>
      </c>
      <c r="B101" s="168"/>
      <c r="C101" s="168"/>
      <c r="D101" s="168"/>
      <c r="E101" s="168"/>
      <c r="F101" s="168"/>
      <c r="G101" s="168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" customHeight="1" x14ac:dyDescent="0.2">
      <c r="A102" s="4" t="s">
        <v>241</v>
      </c>
      <c r="B102" s="168"/>
      <c r="C102" s="168"/>
      <c r="D102" s="168"/>
      <c r="E102" s="168"/>
      <c r="F102" s="168"/>
      <c r="G102" s="168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" customHeight="1" x14ac:dyDescent="0.2">
      <c r="A103" s="4" t="s">
        <v>242</v>
      </c>
      <c r="B103" s="168"/>
      <c r="C103" s="168"/>
      <c r="D103" s="168"/>
      <c r="E103" s="168"/>
      <c r="F103" s="168"/>
      <c r="G103" s="168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" customHeight="1" thickBot="1" x14ac:dyDescent="0.25">
      <c r="A104" s="64" t="s">
        <v>243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00000000000001" customHeight="1" thickTop="1" thickBot="1" x14ac:dyDescent="0.25">
      <c r="A105" s="65" t="s">
        <v>287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">
      <c r="H106" s="5"/>
      <c r="J106" s="5"/>
    </row>
    <row r="107" spans="1:12" x14ac:dyDescent="0.2">
      <c r="A107" s="169" t="s">
        <v>430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2.75" x14ac:dyDescent="0.2"/>
  <cols>
    <col min="1" max="2" width="10.75" style="13" customWidth="1"/>
    <col min="3" max="3" width="32.75" style="13" customWidth="1"/>
    <col min="4" max="4" width="18.625" style="14" customWidth="1"/>
    <col min="5" max="5" width="18.375" style="14" hidden="1" customWidth="1"/>
    <col min="6" max="6" width="16.75" style="92" hidden="1" customWidth="1"/>
    <col min="7" max="7" width="16.75" style="15" customWidth="1"/>
    <col min="8" max="8" width="18.375" style="14" hidden="1" customWidth="1"/>
    <col min="9" max="10" width="9" style="14" customWidth="1"/>
    <col min="11" max="12" width="14.75" style="14" customWidth="1"/>
    <col min="13" max="16384" width="9" style="14"/>
  </cols>
  <sheetData>
    <row r="1" spans="1:11" x14ac:dyDescent="0.2">
      <c r="D1" s="23" t="s">
        <v>462</v>
      </c>
    </row>
    <row r="2" spans="1:11" ht="22.15" customHeight="1" x14ac:dyDescent="0.2">
      <c r="A2" s="206" t="s">
        <v>323</v>
      </c>
      <c r="B2" s="207"/>
      <c r="C2" s="207"/>
      <c r="D2" s="207"/>
      <c r="E2" s="207"/>
      <c r="F2" s="207"/>
      <c r="G2" s="207"/>
      <c r="H2" s="36"/>
    </row>
    <row r="3" spans="1:11" ht="13.5" hidden="1" thickBot="1" x14ac:dyDescent="0.25">
      <c r="F3" s="93"/>
    </row>
    <row r="4" spans="1:11" ht="13.5" thickBot="1" x14ac:dyDescent="0.25">
      <c r="A4" s="208" t="s">
        <v>324</v>
      </c>
      <c r="B4" s="205"/>
      <c r="C4" s="205"/>
      <c r="D4" s="205"/>
      <c r="E4" s="205"/>
      <c r="F4" s="205"/>
      <c r="G4" s="205"/>
      <c r="H4" s="39"/>
      <c r="I4" s="39"/>
      <c r="J4" s="39"/>
    </row>
    <row r="5" spans="1:11" s="13" customFormat="1" x14ac:dyDescent="0.2">
      <c r="A5" s="16"/>
      <c r="B5" s="79"/>
      <c r="C5" s="17"/>
      <c r="D5" s="30" t="s">
        <v>463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7.95" customHeight="1" thickBot="1" x14ac:dyDescent="0.25">
      <c r="A6" s="18" t="s">
        <v>256</v>
      </c>
      <c r="B6" s="80"/>
      <c r="C6" s="19" t="s">
        <v>257</v>
      </c>
      <c r="D6" s="31" t="s">
        <v>428</v>
      </c>
      <c r="E6" s="31" t="s">
        <v>427</v>
      </c>
      <c r="F6" s="26" t="s">
        <v>283</v>
      </c>
      <c r="G6" s="96" t="s">
        <v>258</v>
      </c>
      <c r="H6" s="47" t="s">
        <v>259</v>
      </c>
      <c r="I6" s="54"/>
    </row>
    <row r="7" spans="1:11" s="21" customFormat="1" x14ac:dyDescent="0.2">
      <c r="A7" s="20"/>
      <c r="B7" s="81"/>
      <c r="C7" s="24"/>
      <c r="D7" s="32"/>
      <c r="E7" s="32"/>
      <c r="F7" s="25"/>
      <c r="G7" s="50"/>
      <c r="H7" s="48"/>
    </row>
    <row r="8" spans="1:11" x14ac:dyDescent="0.2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2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2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2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2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2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2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2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2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2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2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2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2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2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2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2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2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2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2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2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2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2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2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2">
      <c r="A31" s="83" t="s">
        <v>47</v>
      </c>
      <c r="B31" s="71">
        <v>536123</v>
      </c>
      <c r="C31" s="72" t="s">
        <v>245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2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2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2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2">
      <c r="A35" s="83" t="s">
        <v>54</v>
      </c>
      <c r="B35" s="69">
        <v>536127</v>
      </c>
      <c r="C35" s="70" t="s">
        <v>261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2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2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2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2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2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2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2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2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2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2">
      <c r="A45" s="83" t="s">
        <v>73</v>
      </c>
      <c r="B45" s="69">
        <v>536138</v>
      </c>
      <c r="C45" s="70" t="s">
        <v>262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2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2">
      <c r="A47" s="83" t="s">
        <v>248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2">
      <c r="A48" s="83" t="s">
        <v>249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2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2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2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2">
      <c r="A52" s="83" t="s">
        <v>83</v>
      </c>
      <c r="B52" s="69">
        <v>536145</v>
      </c>
      <c r="C52" s="70" t="s">
        <v>263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2">
      <c r="A53" s="83" t="s">
        <v>84</v>
      </c>
      <c r="B53" s="69">
        <v>536146</v>
      </c>
      <c r="C53" s="70" t="s">
        <v>264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2">
      <c r="A54" s="83" t="s">
        <v>85</v>
      </c>
      <c r="B54" s="69">
        <v>536147</v>
      </c>
      <c r="C54" s="70" t="s">
        <v>265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2">
      <c r="A55" s="83" t="s">
        <v>86</v>
      </c>
      <c r="B55" s="69">
        <v>536148</v>
      </c>
      <c r="C55" s="70" t="s">
        <v>266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2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2">
      <c r="A57" s="83" t="s">
        <v>89</v>
      </c>
      <c r="B57" s="69">
        <v>536151</v>
      </c>
      <c r="C57" s="70" t="s">
        <v>267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2">
      <c r="A58" s="83" t="s">
        <v>90</v>
      </c>
      <c r="B58" s="69">
        <v>536152</v>
      </c>
      <c r="C58" s="70" t="s">
        <v>268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2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2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2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2">
      <c r="A62" s="83" t="s">
        <v>97</v>
      </c>
      <c r="B62" s="69">
        <v>536156</v>
      </c>
      <c r="C62" s="70" t="s">
        <v>269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2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2">
      <c r="A64" s="83" t="s">
        <v>100</v>
      </c>
      <c r="B64" s="69">
        <v>536158</v>
      </c>
      <c r="C64" s="70" t="s">
        <v>270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2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2">
      <c r="A66" s="83" t="s">
        <v>143</v>
      </c>
      <c r="B66" s="69">
        <v>536159</v>
      </c>
      <c r="C66" s="70" t="s">
        <v>284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2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2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2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2">
      <c r="A70" s="83" t="s">
        <v>109</v>
      </c>
      <c r="B70" s="69">
        <v>536163</v>
      </c>
      <c r="C70" s="70" t="s">
        <v>271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2">
      <c r="A71" s="83"/>
      <c r="B71" s="69">
        <v>536164</v>
      </c>
      <c r="C71" s="70" t="s">
        <v>246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2">
      <c r="A72" s="83" t="s">
        <v>110</v>
      </c>
      <c r="B72" s="69">
        <v>536165</v>
      </c>
      <c r="C72" s="70" t="s">
        <v>272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2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2">
      <c r="A74" s="83" t="s">
        <v>113</v>
      </c>
      <c r="B74" s="69">
        <v>536167</v>
      </c>
      <c r="C74" s="70" t="s">
        <v>273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2">
      <c r="A75" s="83" t="s">
        <v>114</v>
      </c>
      <c r="B75" s="69">
        <v>536168</v>
      </c>
      <c r="C75" s="70" t="s">
        <v>274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2">
      <c r="A76" s="83" t="s">
        <v>115</v>
      </c>
      <c r="B76" s="69">
        <v>536169</v>
      </c>
      <c r="C76" s="70" t="s">
        <v>275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2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2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2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2">
      <c r="A80" s="83" t="s">
        <v>250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2">
      <c r="A81" s="83" t="s">
        <v>251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2">
      <c r="A82" s="83" t="s">
        <v>252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2">
      <c r="A83" s="83" t="s">
        <v>253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2">
      <c r="A84" s="83" t="s">
        <v>254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2">
      <c r="A85" s="83" t="s">
        <v>127</v>
      </c>
      <c r="B85" s="69">
        <v>536177</v>
      </c>
      <c r="C85" s="70" t="s">
        <v>276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2">
      <c r="A86" s="83" t="s">
        <v>128</v>
      </c>
      <c r="B86" s="69">
        <v>536178</v>
      </c>
      <c r="C86" s="70" t="s">
        <v>277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2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2">
      <c r="A88" s="83" t="s">
        <v>131</v>
      </c>
      <c r="B88" s="69">
        <v>536181</v>
      </c>
      <c r="C88" s="70" t="s">
        <v>132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2">
      <c r="A89" s="83" t="s">
        <v>133</v>
      </c>
      <c r="B89" s="69">
        <v>536182</v>
      </c>
      <c r="C89" s="70" t="s">
        <v>134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2">
      <c r="A90" s="83" t="s">
        <v>135</v>
      </c>
      <c r="B90" s="69">
        <v>536183</v>
      </c>
      <c r="C90" s="70" t="s">
        <v>136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2">
      <c r="A91" s="83" t="s">
        <v>137</v>
      </c>
      <c r="B91" s="69">
        <v>536184</v>
      </c>
      <c r="C91" s="70" t="s">
        <v>278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2">
      <c r="A92" s="83" t="s">
        <v>138</v>
      </c>
      <c r="B92" s="69">
        <v>536185</v>
      </c>
      <c r="C92" s="70" t="s">
        <v>279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2">
      <c r="A93" s="83" t="s">
        <v>139</v>
      </c>
      <c r="B93" s="69">
        <v>536186</v>
      </c>
      <c r="C93" s="70" t="s">
        <v>280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2">
      <c r="A94" s="83" t="s">
        <v>140</v>
      </c>
      <c r="B94" s="69">
        <v>536187</v>
      </c>
      <c r="C94" s="70" t="s">
        <v>141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2">
      <c r="A95" s="84"/>
      <c r="B95" s="69">
        <v>536188</v>
      </c>
      <c r="C95" s="70" t="s">
        <v>281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2">
      <c r="A96" s="84" t="s">
        <v>142</v>
      </c>
      <c r="B96" s="73">
        <v>536189</v>
      </c>
      <c r="C96" s="74" t="s">
        <v>282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2">
      <c r="A97" s="84"/>
      <c r="B97" s="73">
        <v>536190</v>
      </c>
      <c r="C97" s="74" t="s">
        <v>286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2">
      <c r="A98" s="84"/>
      <c r="B98" s="69">
        <v>536195</v>
      </c>
      <c r="C98" s="75" t="s">
        <v>318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2">
      <c r="A99" s="84" t="s">
        <v>31</v>
      </c>
      <c r="B99" s="188" t="s">
        <v>431</v>
      </c>
      <c r="C99" s="189" t="s">
        <v>432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7"/>
      <c r="J99" s="134"/>
      <c r="K99" s="66"/>
    </row>
    <row r="100" spans="1:11" x14ac:dyDescent="0.2">
      <c r="A100" s="84" t="s">
        <v>31</v>
      </c>
      <c r="B100" s="188" t="s">
        <v>433</v>
      </c>
      <c r="C100" s="189" t="s">
        <v>447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7"/>
      <c r="J100" s="134"/>
      <c r="K100" s="66"/>
    </row>
    <row r="101" spans="1:11" x14ac:dyDescent="0.2">
      <c r="A101" s="84" t="s">
        <v>31</v>
      </c>
      <c r="B101" s="188" t="s">
        <v>434</v>
      </c>
      <c r="C101" s="189" t="s">
        <v>448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7"/>
      <c r="J101" s="134"/>
      <c r="K101" s="66"/>
    </row>
    <row r="102" spans="1:11" x14ac:dyDescent="0.2">
      <c r="A102" s="84" t="s">
        <v>31</v>
      </c>
      <c r="B102" s="188" t="s">
        <v>435</v>
      </c>
      <c r="C102" s="189" t="s">
        <v>449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7"/>
      <c r="J102" s="134"/>
      <c r="K102" s="66"/>
    </row>
    <row r="103" spans="1:11" x14ac:dyDescent="0.2">
      <c r="A103" s="84" t="s">
        <v>31</v>
      </c>
      <c r="B103" s="188" t="s">
        <v>436</v>
      </c>
      <c r="C103" s="189" t="s">
        <v>450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7"/>
      <c r="J103" s="134"/>
      <c r="K103" s="66"/>
    </row>
    <row r="104" spans="1:11" x14ac:dyDescent="0.2">
      <c r="A104" s="84" t="s">
        <v>31</v>
      </c>
      <c r="B104" s="188" t="s">
        <v>437</v>
      </c>
      <c r="C104" s="189" t="s">
        <v>451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7"/>
      <c r="J104" s="134"/>
      <c r="K104" s="66"/>
    </row>
    <row r="105" spans="1:11" x14ac:dyDescent="0.2">
      <c r="A105" s="84" t="s">
        <v>48</v>
      </c>
      <c r="B105" s="188" t="s">
        <v>438</v>
      </c>
      <c r="C105" s="189" t="s">
        <v>452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7"/>
      <c r="J105" s="134"/>
      <c r="K105" s="66"/>
    </row>
    <row r="106" spans="1:11" x14ac:dyDescent="0.2">
      <c r="A106" s="84" t="s">
        <v>48</v>
      </c>
      <c r="B106" s="188" t="s">
        <v>439</v>
      </c>
      <c r="C106" s="189" t="s">
        <v>453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7"/>
      <c r="J106" s="134"/>
      <c r="K106" s="66"/>
    </row>
    <row r="107" spans="1:11" x14ac:dyDescent="0.2">
      <c r="A107" s="84" t="s">
        <v>52</v>
      </c>
      <c r="B107" s="188" t="s">
        <v>440</v>
      </c>
      <c r="C107" s="189" t="s">
        <v>454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7"/>
      <c r="J107" s="134"/>
      <c r="K107" s="66"/>
    </row>
    <row r="108" spans="1:11" x14ac:dyDescent="0.2">
      <c r="A108" s="84" t="s">
        <v>52</v>
      </c>
      <c r="B108" s="188" t="s">
        <v>441</v>
      </c>
      <c r="C108" s="189" t="s">
        <v>455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7"/>
      <c r="J108" s="134"/>
      <c r="K108" s="66"/>
    </row>
    <row r="109" spans="1:11" x14ac:dyDescent="0.2">
      <c r="A109" s="84" t="s">
        <v>127</v>
      </c>
      <c r="B109" s="188" t="s">
        <v>442</v>
      </c>
      <c r="C109" s="189" t="s">
        <v>456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7"/>
      <c r="J109" s="134"/>
      <c r="K109" s="66"/>
    </row>
    <row r="110" spans="1:11" x14ac:dyDescent="0.2">
      <c r="A110" s="84" t="s">
        <v>127</v>
      </c>
      <c r="B110" s="188" t="s">
        <v>443</v>
      </c>
      <c r="C110" s="189" t="s">
        <v>457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7"/>
      <c r="J110" s="134"/>
      <c r="K110" s="66"/>
    </row>
    <row r="111" spans="1:11" x14ac:dyDescent="0.2">
      <c r="A111" s="182"/>
      <c r="B111" s="183"/>
      <c r="C111" s="184"/>
      <c r="D111" s="185"/>
      <c r="E111" s="185"/>
      <c r="F111" s="186"/>
      <c r="G111" s="185"/>
      <c r="H111" s="187"/>
      <c r="J111" s="134"/>
      <c r="K111" s="66"/>
    </row>
    <row r="112" spans="1:11" x14ac:dyDescent="0.2">
      <c r="A112" s="23"/>
      <c r="B112" s="23"/>
      <c r="D112" s="22"/>
      <c r="E112" s="22"/>
      <c r="F112" s="95"/>
      <c r="G112" s="33"/>
      <c r="H112" s="22"/>
      <c r="K112" s="66"/>
    </row>
    <row r="113" spans="1:11" x14ac:dyDescent="0.2">
      <c r="A113" s="13" t="s">
        <v>464</v>
      </c>
      <c r="D113" s="34"/>
      <c r="E113" s="35"/>
      <c r="F113" s="95"/>
      <c r="G113" s="34"/>
      <c r="H113" s="22"/>
      <c r="K113" s="66"/>
    </row>
    <row r="114" spans="1:11" x14ac:dyDescent="0.2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tabSelected="1" workbookViewId="0">
      <pane ySplit="4" topLeftCell="A5" activePane="bottomLeft" state="frozen"/>
      <selection pane="bottomLeft" activeCell="A10" sqref="A10"/>
    </sheetView>
  </sheetViews>
  <sheetFormatPr defaultColWidth="8" defaultRowHeight="12.75" x14ac:dyDescent="0.2"/>
  <cols>
    <col min="1" max="1" width="19.875" style="116" customWidth="1"/>
    <col min="2" max="2" width="17.375" style="116" customWidth="1"/>
    <col min="3" max="3" width="18.875" style="117" customWidth="1"/>
    <col min="4" max="4" width="14.75" style="116" customWidth="1"/>
    <col min="5" max="5" width="15" style="116" customWidth="1"/>
    <col min="6" max="6" width="11.625" style="116" customWidth="1"/>
    <col min="7" max="16384" width="8" style="116"/>
  </cols>
  <sheetData>
    <row r="1" spans="1:71" s="6" customFormat="1" ht="14.1" customHeight="1" x14ac:dyDescent="0.2">
      <c r="A1" s="202" t="s">
        <v>285</v>
      </c>
      <c r="B1" s="203"/>
      <c r="C1" s="203"/>
      <c r="D1" s="203"/>
      <c r="E1" s="203"/>
      <c r="F1" s="203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1" s="6" customFormat="1" ht="14.1" customHeight="1" x14ac:dyDescent="0.2">
      <c r="A2" s="202" t="s">
        <v>466</v>
      </c>
      <c r="B2" s="209"/>
      <c r="C2" s="209"/>
      <c r="D2" s="209"/>
      <c r="E2" s="209"/>
      <c r="F2" s="20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</row>
    <row r="3" spans="1:71" s="6" customFormat="1" ht="14.1" customHeight="1" thickBot="1" x14ac:dyDescent="0.25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</row>
    <row r="4" spans="1:71" ht="66.599999999999994" customHeight="1" thickBot="1" x14ac:dyDescent="0.25">
      <c r="A4" s="113" t="s">
        <v>325</v>
      </c>
      <c r="B4" s="114" t="s">
        <v>467</v>
      </c>
      <c r="C4" s="115" t="s">
        <v>468</v>
      </c>
      <c r="D4" s="114" t="s">
        <v>321</v>
      </c>
      <c r="E4" s="114" t="s">
        <v>326</v>
      </c>
      <c r="F4" s="114" t="s">
        <v>322</v>
      </c>
    </row>
    <row r="5" spans="1:71" x14ac:dyDescent="0.2">
      <c r="A5" s="118" t="s">
        <v>327</v>
      </c>
      <c r="B5" s="132">
        <v>1.6765775974547367E-2</v>
      </c>
      <c r="C5" s="119">
        <f>+B5*C$106</f>
        <v>222350513.98506677</v>
      </c>
      <c r="D5" s="124">
        <f>C5*'SFY 2019 PROJECTED'!$E$76</f>
        <v>147294784.5493719</v>
      </c>
      <c r="E5" s="120">
        <f>+C5-D5</f>
        <v>75055729.435694873</v>
      </c>
      <c r="F5" s="121">
        <v>0</v>
      </c>
    </row>
    <row r="6" spans="1:71" x14ac:dyDescent="0.2">
      <c r="A6" s="122" t="s">
        <v>328</v>
      </c>
      <c r="B6" s="133">
        <v>3.7181195155709286E-3</v>
      </c>
      <c r="C6" s="123">
        <f t="shared" ref="C6:C69" si="0">+B6*C$106</f>
        <v>49310320.417031758</v>
      </c>
      <c r="D6" s="124">
        <f>C6*'SFY 2019 PROJECTED'!$E$76</f>
        <v>32665330.480751604</v>
      </c>
      <c r="E6" s="125">
        <f>+C6-D6</f>
        <v>16644989.936280154</v>
      </c>
      <c r="F6" s="126">
        <v>0</v>
      </c>
    </row>
    <row r="7" spans="1:71" x14ac:dyDescent="0.2">
      <c r="A7" s="122" t="s">
        <v>329</v>
      </c>
      <c r="B7" s="133">
        <v>1.4607334217719681E-3</v>
      </c>
      <c r="C7" s="123">
        <f t="shared" si="0"/>
        <v>19372489.983120576</v>
      </c>
      <c r="D7" s="124">
        <f>C7*'SFY 2019 PROJECTED'!$E$76</f>
        <v>12833191.554665133</v>
      </c>
      <c r="E7" s="125">
        <f t="shared" ref="E7:E70" si="1">+C7-D7</f>
        <v>6539298.4284554422</v>
      </c>
      <c r="F7" s="126">
        <v>0</v>
      </c>
    </row>
    <row r="8" spans="1:71" x14ac:dyDescent="0.2">
      <c r="A8" s="122" t="s">
        <v>330</v>
      </c>
      <c r="B8" s="133">
        <v>4.0994772357848316E-3</v>
      </c>
      <c r="C8" s="123">
        <f t="shared" si="0"/>
        <v>54367950.032891147</v>
      </c>
      <c r="D8" s="124">
        <f>C8*'SFY 2019 PROJECTED'!$E$76</f>
        <v>36015727.344005823</v>
      </c>
      <c r="E8" s="125">
        <f t="shared" si="1"/>
        <v>18352222.688885324</v>
      </c>
      <c r="F8" s="126">
        <v>0</v>
      </c>
    </row>
    <row r="9" spans="1:71" x14ac:dyDescent="0.2">
      <c r="A9" s="122" t="s">
        <v>331</v>
      </c>
      <c r="B9" s="133">
        <v>3.4193407256977279E-3</v>
      </c>
      <c r="C9" s="123">
        <f t="shared" si="0"/>
        <v>45347866.332174763</v>
      </c>
      <c r="D9" s="124">
        <f>C9*'SFY 2019 PROJECTED'!$E$76</f>
        <v>30040426.178731471</v>
      </c>
      <c r="E9" s="125">
        <f t="shared" si="1"/>
        <v>15307440.153443292</v>
      </c>
      <c r="F9" s="126">
        <v>0</v>
      </c>
    </row>
    <row r="10" spans="1:71" x14ac:dyDescent="0.2">
      <c r="A10" s="122" t="s">
        <v>332</v>
      </c>
      <c r="B10" s="133">
        <v>1.8470604285626504E-3</v>
      </c>
      <c r="C10" s="123">
        <f t="shared" si="0"/>
        <v>24496023.105394665</v>
      </c>
      <c r="D10" s="124">
        <f>C10*'SFY 2019 PROJECTED'!$E$76</f>
        <v>16227245.806447152</v>
      </c>
      <c r="E10" s="125">
        <f t="shared" si="1"/>
        <v>8268777.2989475131</v>
      </c>
      <c r="F10" s="126">
        <v>0</v>
      </c>
    </row>
    <row r="11" spans="1:71" x14ac:dyDescent="0.2">
      <c r="A11" s="122" t="s">
        <v>333</v>
      </c>
      <c r="B11" s="133">
        <v>6.4678711227232058E-3</v>
      </c>
      <c r="C11" s="123">
        <f t="shared" si="0"/>
        <v>85777984.312205493</v>
      </c>
      <c r="D11" s="124">
        <f>C11*'SFY 2019 PROJECTED'!$E$76</f>
        <v>56823119.011068553</v>
      </c>
      <c r="E11" s="125">
        <f t="shared" si="1"/>
        <v>28954865.301136941</v>
      </c>
      <c r="F11" s="126">
        <v>0</v>
      </c>
    </row>
    <row r="12" spans="1:71" x14ac:dyDescent="0.2">
      <c r="A12" s="122" t="s">
        <v>334</v>
      </c>
      <c r="B12" s="133">
        <v>3.3969091712438724E-3</v>
      </c>
      <c r="C12" s="123">
        <f t="shared" si="0"/>
        <v>45050375.320135072</v>
      </c>
      <c r="D12" s="124">
        <f>C12*'SFY 2019 PROJECTED'!$E$76</f>
        <v>29843355.015105989</v>
      </c>
      <c r="E12" s="125">
        <f t="shared" si="1"/>
        <v>15207020.305029083</v>
      </c>
      <c r="F12" s="126">
        <v>0</v>
      </c>
    </row>
    <row r="13" spans="1:71" x14ac:dyDescent="0.2">
      <c r="A13" s="122" t="s">
        <v>335</v>
      </c>
      <c r="B13" s="133">
        <v>5.4085383656043802E-3</v>
      </c>
      <c r="C13" s="123">
        <f t="shared" si="0"/>
        <v>71728936.813051611</v>
      </c>
      <c r="D13" s="124">
        <f>C13*'SFY 2019 PROJECTED'!$E$76</f>
        <v>47516410.483960122</v>
      </c>
      <c r="E13" s="125">
        <f t="shared" si="1"/>
        <v>24212526.329091489</v>
      </c>
      <c r="F13" s="126">
        <v>0</v>
      </c>
    </row>
    <row r="14" spans="1:71" x14ac:dyDescent="0.2">
      <c r="A14" s="122" t="s">
        <v>336</v>
      </c>
      <c r="B14" s="133">
        <v>1.0709149241775941E-2</v>
      </c>
      <c r="C14" s="123">
        <f t="shared" si="0"/>
        <v>142026521.28160471</v>
      </c>
      <c r="D14" s="124">
        <f>C14*'SFY 2019 PROJECTED'!$E$76</f>
        <v>94084630.062405601</v>
      </c>
      <c r="E14" s="125">
        <f t="shared" si="1"/>
        <v>47941891.219199106</v>
      </c>
      <c r="F14" s="126">
        <v>0</v>
      </c>
    </row>
    <row r="15" spans="1:71" x14ac:dyDescent="0.2">
      <c r="A15" s="122" t="s">
        <v>337</v>
      </c>
      <c r="B15" s="133">
        <v>2.4569704584737624E-2</v>
      </c>
      <c r="C15" s="123">
        <f t="shared" si="0"/>
        <v>325847515.26987714</v>
      </c>
      <c r="D15" s="124">
        <f>C15*'SFY 2019 PROJECTED'!$E$76</f>
        <v>215855761.68647018</v>
      </c>
      <c r="E15" s="125">
        <f t="shared" si="1"/>
        <v>109991753.58340696</v>
      </c>
      <c r="F15" s="126">
        <v>0</v>
      </c>
    </row>
    <row r="16" spans="1:71" x14ac:dyDescent="0.2">
      <c r="A16" s="122" t="s">
        <v>338</v>
      </c>
      <c r="B16" s="133">
        <v>1.0873954566782381E-2</v>
      </c>
      <c r="C16" s="123">
        <f t="shared" si="0"/>
        <v>144212196.95675921</v>
      </c>
      <c r="D16" s="124">
        <f>C16*'SFY 2019 PROJECTED'!$E$76</f>
        <v>95532518.002472639</v>
      </c>
      <c r="E16" s="125">
        <f t="shared" si="1"/>
        <v>48679678.954286575</v>
      </c>
      <c r="F16" s="126">
        <v>0</v>
      </c>
    </row>
    <row r="17" spans="1:6" x14ac:dyDescent="0.2">
      <c r="A17" s="122" t="s">
        <v>339</v>
      </c>
      <c r="B17" s="133">
        <v>1.6299368445730666E-2</v>
      </c>
      <c r="C17" s="123">
        <f t="shared" si="0"/>
        <v>216164939.63906947</v>
      </c>
      <c r="D17" s="124">
        <f>C17*'SFY 2019 PROJECTED'!$E$76</f>
        <v>143197187.36248621</v>
      </c>
      <c r="E17" s="125">
        <f t="shared" si="1"/>
        <v>72967752.276583254</v>
      </c>
      <c r="F17" s="126">
        <v>0</v>
      </c>
    </row>
    <row r="18" spans="1:6" x14ac:dyDescent="0.2">
      <c r="A18" s="122" t="s">
        <v>340</v>
      </c>
      <c r="B18" s="133">
        <v>1.0482414130036422E-2</v>
      </c>
      <c r="C18" s="123">
        <f t="shared" si="0"/>
        <v>139019522.45791295</v>
      </c>
      <c r="D18" s="124">
        <f>C18*'SFY 2019 PROJECTED'!$E$76</f>
        <v>92092661.454203337</v>
      </c>
      <c r="E18" s="125">
        <f t="shared" si="1"/>
        <v>46926861.003709614</v>
      </c>
      <c r="F18" s="126">
        <v>0</v>
      </c>
    </row>
    <row r="19" spans="1:6" x14ac:dyDescent="0.2">
      <c r="A19" s="122" t="s">
        <v>341</v>
      </c>
      <c r="B19" s="133">
        <v>5.3922565130689714E-4</v>
      </c>
      <c r="C19" s="123">
        <f t="shared" si="0"/>
        <v>7151300.4172333209</v>
      </c>
      <c r="D19" s="124">
        <f>C19*'SFY 2019 PROJECTED'!$E$76</f>
        <v>4737336.7181645427</v>
      </c>
      <c r="E19" s="125">
        <f t="shared" si="1"/>
        <v>2413963.6990687782</v>
      </c>
      <c r="F19" s="126">
        <v>0</v>
      </c>
    </row>
    <row r="20" spans="1:6" x14ac:dyDescent="0.2">
      <c r="A20" s="122" t="s">
        <v>342</v>
      </c>
      <c r="B20" s="133">
        <v>6.0753821276229468E-3</v>
      </c>
      <c r="C20" s="123">
        <f t="shared" si="0"/>
        <v>80572729.874444157</v>
      </c>
      <c r="D20" s="124">
        <f>C20*'SFY 2019 PROJECTED'!$E$76</f>
        <v>53374928.956575535</v>
      </c>
      <c r="E20" s="125">
        <f t="shared" si="1"/>
        <v>27197800.917868622</v>
      </c>
      <c r="F20" s="126">
        <v>0</v>
      </c>
    </row>
    <row r="21" spans="1:6" x14ac:dyDescent="0.2">
      <c r="A21" s="122" t="s">
        <v>343</v>
      </c>
      <c r="B21" s="133">
        <v>2.7359566647273837E-3</v>
      </c>
      <c r="C21" s="123">
        <f t="shared" si="0"/>
        <v>36284713.070635341</v>
      </c>
      <c r="D21" s="124">
        <f>C21*'SFY 2019 PROJECTED'!$E$76</f>
        <v>24036593.837304804</v>
      </c>
      <c r="E21" s="125">
        <f t="shared" si="1"/>
        <v>12248119.233330537</v>
      </c>
      <c r="F21" s="126">
        <v>0</v>
      </c>
    </row>
    <row r="22" spans="1:6" x14ac:dyDescent="0.2">
      <c r="A22" s="122" t="s">
        <v>344</v>
      </c>
      <c r="B22" s="133">
        <v>1.6349238441947838E-2</v>
      </c>
      <c r="C22" s="123">
        <f t="shared" si="0"/>
        <v>216826323.83674428</v>
      </c>
      <c r="D22" s="124">
        <f>C22*'SFY 2019 PROJECTED'!$E$76</f>
        <v>143635317.41739321</v>
      </c>
      <c r="E22" s="125">
        <f t="shared" si="1"/>
        <v>73191006.419351071</v>
      </c>
      <c r="F22" s="126">
        <v>0</v>
      </c>
    </row>
    <row r="23" spans="1:6" x14ac:dyDescent="0.2">
      <c r="A23" s="122" t="s">
        <v>345</v>
      </c>
      <c r="B23" s="133">
        <v>4.9312508294498316E-3</v>
      </c>
      <c r="C23" s="123">
        <f t="shared" si="0"/>
        <v>65399069.997239344</v>
      </c>
      <c r="D23" s="124">
        <f>C23*'SFY 2019 PROJECTED'!$E$76</f>
        <v>43323227.602791227</v>
      </c>
      <c r="E23" s="125">
        <f t="shared" si="1"/>
        <v>22075842.394448116</v>
      </c>
      <c r="F23" s="126">
        <v>0</v>
      </c>
    </row>
    <row r="24" spans="1:6" x14ac:dyDescent="0.2">
      <c r="A24" s="122" t="s">
        <v>346</v>
      </c>
      <c r="B24" s="133">
        <v>3.8149618359164823E-3</v>
      </c>
      <c r="C24" s="123">
        <f t="shared" si="0"/>
        <v>50594659.402416632</v>
      </c>
      <c r="D24" s="124">
        <f>C24*'SFY 2019 PROJECTED'!$E$76</f>
        <v>33516133.254939612</v>
      </c>
      <c r="E24" s="125">
        <f t="shared" si="1"/>
        <v>17078526.14747702</v>
      </c>
      <c r="F24" s="126">
        <v>0</v>
      </c>
    </row>
    <row r="25" spans="1:6" x14ac:dyDescent="0.2">
      <c r="A25" s="122" t="s">
        <v>347</v>
      </c>
      <c r="B25" s="133">
        <v>2.0035073679522592E-3</v>
      </c>
      <c r="C25" s="123">
        <f t="shared" si="0"/>
        <v>26570848.478075288</v>
      </c>
      <c r="D25" s="124">
        <f>C25*'SFY 2019 PROJECTED'!$E$76</f>
        <v>17601701.618440855</v>
      </c>
      <c r="E25" s="125">
        <f t="shared" si="1"/>
        <v>8969146.8596344329</v>
      </c>
      <c r="F25" s="126">
        <v>0</v>
      </c>
    </row>
    <row r="26" spans="1:6" x14ac:dyDescent="0.2">
      <c r="A26" s="122" t="s">
        <v>348</v>
      </c>
      <c r="B26" s="133">
        <v>1.2787810435967539E-3</v>
      </c>
      <c r="C26" s="123">
        <f t="shared" si="0"/>
        <v>16959407.232314203</v>
      </c>
      <c r="D26" s="124">
        <f>C26*'SFY 2019 PROJECTED'!$E$76</f>
        <v>11234659.140642013</v>
      </c>
      <c r="E26" s="125">
        <f t="shared" si="1"/>
        <v>5724748.0916721895</v>
      </c>
      <c r="F26" s="126">
        <v>0</v>
      </c>
    </row>
    <row r="27" spans="1:6" x14ac:dyDescent="0.2">
      <c r="A27" s="122" t="s">
        <v>349</v>
      </c>
      <c r="B27" s="133">
        <v>1.5126405367886089E-2</v>
      </c>
      <c r="C27" s="123">
        <f t="shared" si="0"/>
        <v>200608907.89677554</v>
      </c>
      <c r="D27" s="124">
        <f>C27*'SFY 2019 PROJECTED'!$E$76</f>
        <v>132892186.02537099</v>
      </c>
      <c r="E27" s="125">
        <f t="shared" si="1"/>
        <v>67716721.871404558</v>
      </c>
      <c r="F27" s="126">
        <v>0</v>
      </c>
    </row>
    <row r="28" spans="1:6" x14ac:dyDescent="0.2">
      <c r="A28" s="122" t="s">
        <v>350</v>
      </c>
      <c r="B28" s="133">
        <v>9.1432336924781536E-3</v>
      </c>
      <c r="C28" s="123">
        <f t="shared" si="0"/>
        <v>121259088.4009461</v>
      </c>
      <c r="D28" s="124">
        <f>C28*'SFY 2019 PROJECTED'!$E$76</f>
        <v>80327366.825291634</v>
      </c>
      <c r="E28" s="125">
        <f t="shared" si="1"/>
        <v>40931721.575654462</v>
      </c>
      <c r="F28" s="126">
        <v>0</v>
      </c>
    </row>
    <row r="29" spans="1:6" x14ac:dyDescent="0.2">
      <c r="A29" s="122" t="s">
        <v>351</v>
      </c>
      <c r="B29" s="133">
        <v>9.4880228830210838E-3</v>
      </c>
      <c r="C29" s="123">
        <f t="shared" si="0"/>
        <v>125831740.08435769</v>
      </c>
      <c r="D29" s="124">
        <f>C29*'SFY 2019 PROJECTED'!$E$76</f>
        <v>83356492.921994388</v>
      </c>
      <c r="E29" s="125">
        <f t="shared" si="1"/>
        <v>42475247.162363306</v>
      </c>
      <c r="F29" s="126">
        <v>0</v>
      </c>
    </row>
    <row r="30" spans="1:6" x14ac:dyDescent="0.2">
      <c r="A30" s="122" t="s">
        <v>352</v>
      </c>
      <c r="B30" s="133">
        <v>3.8864857967462953E-2</v>
      </c>
      <c r="C30" s="123">
        <f t="shared" si="0"/>
        <v>515432220.86118245</v>
      </c>
      <c r="D30" s="124">
        <f>C30*'SFY 2019 PROJECTED'!$E$76</f>
        <v>341445030.01531637</v>
      </c>
      <c r="E30" s="125">
        <f t="shared" si="1"/>
        <v>173987190.84586608</v>
      </c>
      <c r="F30" s="126">
        <v>0</v>
      </c>
    </row>
    <row r="31" spans="1:6" x14ac:dyDescent="0.2">
      <c r="A31" s="122" t="s">
        <v>353</v>
      </c>
      <c r="B31" s="133">
        <v>1.4861099081485511E-3</v>
      </c>
      <c r="C31" s="123">
        <f t="shared" si="0"/>
        <v>19709037.172915682</v>
      </c>
      <c r="D31" s="124">
        <f>C31*'SFY 2019 PROJECTED'!$E$76</f>
        <v>13056135.252537116</v>
      </c>
      <c r="E31" s="125">
        <f t="shared" si="1"/>
        <v>6652901.9203785658</v>
      </c>
      <c r="F31" s="126">
        <v>0</v>
      </c>
    </row>
    <row r="32" spans="1:6" x14ac:dyDescent="0.2">
      <c r="A32" s="122" t="s">
        <v>354</v>
      </c>
      <c r="B32" s="133">
        <v>2.1653090254150258E-3</v>
      </c>
      <c r="C32" s="123">
        <f t="shared" si="0"/>
        <v>28716689.013884615</v>
      </c>
      <c r="D32" s="124">
        <f>C32*'SFY 2019 PROJECTED'!$E$76</f>
        <v>19023201.005757637</v>
      </c>
      <c r="E32" s="125">
        <f t="shared" si="1"/>
        <v>9693488.0081269778</v>
      </c>
      <c r="F32" s="126">
        <v>0</v>
      </c>
    </row>
    <row r="33" spans="1:6" x14ac:dyDescent="0.2">
      <c r="A33" s="122" t="s">
        <v>355</v>
      </c>
      <c r="B33" s="133">
        <v>1.7374872898410446E-2</v>
      </c>
      <c r="C33" s="123">
        <f t="shared" si="0"/>
        <v>230428458.85879549</v>
      </c>
      <c r="D33" s="124">
        <f>C33*'SFY 2019 PROJECTED'!$E$76</f>
        <v>152645971.41398823</v>
      </c>
      <c r="E33" s="125">
        <f t="shared" si="1"/>
        <v>77782487.444807261</v>
      </c>
      <c r="F33" s="126">
        <v>0</v>
      </c>
    </row>
    <row r="34" spans="1:6" x14ac:dyDescent="0.2">
      <c r="A34" s="122" t="s">
        <v>356</v>
      </c>
      <c r="B34" s="133">
        <v>3.5074649880278688E-3</v>
      </c>
      <c r="C34" s="123">
        <f t="shared" si="0"/>
        <v>46516584.979817949</v>
      </c>
      <c r="D34" s="124">
        <f>C34*'SFY 2019 PROJECTED'!$E$76</f>
        <v>30814636.943159916</v>
      </c>
      <c r="E34" s="125">
        <f t="shared" si="1"/>
        <v>15701948.036658034</v>
      </c>
      <c r="F34" s="126">
        <v>0</v>
      </c>
    </row>
    <row r="35" spans="1:6" x14ac:dyDescent="0.2">
      <c r="A35" s="122" t="s">
        <v>357</v>
      </c>
      <c r="B35" s="133">
        <v>6.628742646934937E-3</v>
      </c>
      <c r="C35" s="123">
        <f t="shared" si="0"/>
        <v>87911489.265888691</v>
      </c>
      <c r="D35" s="124">
        <f>C35*'SFY 2019 PROJECTED'!$E$76</f>
        <v>58236446.764873028</v>
      </c>
      <c r="E35" s="125">
        <f t="shared" si="1"/>
        <v>29675042.501015663</v>
      </c>
      <c r="F35" s="126">
        <v>0</v>
      </c>
    </row>
    <row r="36" spans="1:6" x14ac:dyDescent="0.2">
      <c r="A36" s="122" t="s">
        <v>358</v>
      </c>
      <c r="B36" s="133">
        <v>2.7538629136594453E-2</v>
      </c>
      <c r="C36" s="123">
        <f t="shared" si="0"/>
        <v>365221887.2697435</v>
      </c>
      <c r="D36" s="124">
        <f>C36*'SFY 2019 PROJECTED'!$E$76</f>
        <v>241939081.83061272</v>
      </c>
      <c r="E36" s="125">
        <f t="shared" si="1"/>
        <v>123282805.43913078</v>
      </c>
      <c r="F36" s="126">
        <v>0</v>
      </c>
    </row>
    <row r="37" spans="1:6" x14ac:dyDescent="0.2">
      <c r="A37" s="122" t="s">
        <v>359</v>
      </c>
      <c r="B37" s="133">
        <v>9.0110247361222789E-3</v>
      </c>
      <c r="C37" s="123">
        <f t="shared" si="0"/>
        <v>119505711.19706446</v>
      </c>
      <c r="D37" s="124">
        <f>C37*'SFY 2019 PROJECTED'!$E$76</f>
        <v>79165852.453902006</v>
      </c>
      <c r="E37" s="125">
        <f t="shared" si="1"/>
        <v>40339858.743162453</v>
      </c>
      <c r="F37" s="126">
        <v>0</v>
      </c>
    </row>
    <row r="38" spans="1:6" x14ac:dyDescent="0.2">
      <c r="A38" s="122" t="s">
        <v>360</v>
      </c>
      <c r="B38" s="133">
        <v>3.5245051974768411E-2</v>
      </c>
      <c r="C38" s="123">
        <f t="shared" si="0"/>
        <v>467425750.76258713</v>
      </c>
      <c r="D38" s="124">
        <f>C38*'SFY 2019 PROJECTED'!$E$76</f>
        <v>309643427.47607797</v>
      </c>
      <c r="E38" s="125">
        <f t="shared" si="1"/>
        <v>157782323.28650916</v>
      </c>
      <c r="F38" s="126">
        <v>0</v>
      </c>
    </row>
    <row r="39" spans="1:6" x14ac:dyDescent="0.2">
      <c r="A39" s="122" t="s">
        <v>361</v>
      </c>
      <c r="B39" s="133">
        <v>6.5374459822824553E-3</v>
      </c>
      <c r="C39" s="123">
        <f t="shared" si="0"/>
        <v>86700697.690156117</v>
      </c>
      <c r="D39" s="124">
        <f>C39*'SFY 2019 PROJECTED'!$E$76</f>
        <v>57434365.03775949</v>
      </c>
      <c r="E39" s="125">
        <f t="shared" si="1"/>
        <v>29266332.652396627</v>
      </c>
      <c r="F39" s="126">
        <v>0</v>
      </c>
    </row>
    <row r="40" spans="1:6" x14ac:dyDescent="0.2">
      <c r="A40" s="122" t="s">
        <v>362</v>
      </c>
      <c r="B40" s="133">
        <v>2.6466125627326375E-2</v>
      </c>
      <c r="C40" s="123">
        <f t="shared" si="0"/>
        <v>350998167.06147063</v>
      </c>
      <c r="D40" s="124">
        <f>C40*'SFY 2019 PROJECTED'!$E$76</f>
        <v>232516662.39915231</v>
      </c>
      <c r="E40" s="125">
        <f t="shared" si="1"/>
        <v>118481504.66231832</v>
      </c>
      <c r="F40" s="126">
        <v>0</v>
      </c>
    </row>
    <row r="41" spans="1:6" x14ac:dyDescent="0.2">
      <c r="A41" s="122" t="s">
        <v>363</v>
      </c>
      <c r="B41" s="133">
        <v>1.0581678992786982E-3</v>
      </c>
      <c r="C41" s="123">
        <f t="shared" si="0"/>
        <v>14033598.960424436</v>
      </c>
      <c r="D41" s="124">
        <f>C41*'SFY 2019 PROJECTED'!$E$76</f>
        <v>9296474.7338827085</v>
      </c>
      <c r="E41" s="125">
        <f t="shared" si="1"/>
        <v>4737124.2265417278</v>
      </c>
      <c r="F41" s="126">
        <v>0</v>
      </c>
    </row>
    <row r="42" spans="1:6" x14ac:dyDescent="0.2">
      <c r="A42" s="122" t="s">
        <v>364</v>
      </c>
      <c r="B42" s="133">
        <v>1.5575927352132967E-3</v>
      </c>
      <c r="C42" s="123">
        <f t="shared" si="0"/>
        <v>20657054.333772499</v>
      </c>
      <c r="D42" s="124">
        <f>C42*'SFY 2019 PROJECTED'!$E$76</f>
        <v>13684143.620743049</v>
      </c>
      <c r="E42" s="125">
        <f t="shared" si="1"/>
        <v>6972910.7130294498</v>
      </c>
      <c r="F42" s="126">
        <v>0</v>
      </c>
    </row>
    <row r="43" spans="1:6" x14ac:dyDescent="0.2">
      <c r="A43" s="122" t="s">
        <v>365</v>
      </c>
      <c r="B43" s="133">
        <v>5.3676592584552818E-3</v>
      </c>
      <c r="C43" s="123">
        <f t="shared" si="0"/>
        <v>71186791.283989817</v>
      </c>
      <c r="D43" s="124">
        <f>C43*'SFY 2019 PROJECTED'!$E$76</f>
        <v>47157269.380724691</v>
      </c>
      <c r="E43" s="125">
        <f t="shared" si="1"/>
        <v>24029521.903265126</v>
      </c>
      <c r="F43" s="126">
        <v>0</v>
      </c>
    </row>
    <row r="44" spans="1:6" x14ac:dyDescent="0.2">
      <c r="A44" s="122" t="s">
        <v>366</v>
      </c>
      <c r="B44" s="133">
        <v>2.3642076573868261E-3</v>
      </c>
      <c r="C44" s="123">
        <f t="shared" si="0"/>
        <v>31354515.805617731</v>
      </c>
      <c r="D44" s="124">
        <f>C44*'SFY 2019 PROJECTED'!$E$76</f>
        <v>20770613.78211391</v>
      </c>
      <c r="E44" s="125">
        <f t="shared" si="1"/>
        <v>10583902.023503821</v>
      </c>
      <c r="F44" s="126">
        <v>0</v>
      </c>
    </row>
    <row r="45" spans="1:6" x14ac:dyDescent="0.2">
      <c r="A45" s="122" t="s">
        <v>367</v>
      </c>
      <c r="B45" s="133">
        <v>4.7930558109845096E-2</v>
      </c>
      <c r="C45" s="123">
        <f t="shared" si="0"/>
        <v>635663046.40444124</v>
      </c>
      <c r="D45" s="124">
        <f>C45*'SFY 2019 PROJECTED'!$E$76</f>
        <v>421091230.18455368</v>
      </c>
      <c r="E45" s="125">
        <f t="shared" si="1"/>
        <v>214571816.21988755</v>
      </c>
      <c r="F45" s="126">
        <v>0</v>
      </c>
    </row>
    <row r="46" spans="1:6" x14ac:dyDescent="0.2">
      <c r="A46" s="122" t="s">
        <v>368</v>
      </c>
      <c r="B46" s="133">
        <v>9.0232478445369194E-3</v>
      </c>
      <c r="C46" s="123">
        <f t="shared" si="0"/>
        <v>119667816.09710705</v>
      </c>
      <c r="D46" s="124">
        <f>C46*'SFY 2019 PROJECTED'!$E$76</f>
        <v>79273237.887370244</v>
      </c>
      <c r="E46" s="125">
        <f t="shared" si="1"/>
        <v>40394578.209736809</v>
      </c>
      <c r="F46" s="126">
        <v>0</v>
      </c>
    </row>
    <row r="47" spans="1:6" x14ac:dyDescent="0.2">
      <c r="A47" s="122" t="s">
        <v>369</v>
      </c>
      <c r="B47" s="133">
        <v>1.177391359164931E-2</v>
      </c>
      <c r="C47" s="123">
        <f t="shared" si="0"/>
        <v>156147603.46871838</v>
      </c>
      <c r="D47" s="124">
        <f>C47*'SFY 2019 PROJECTED'!$E$76</f>
        <v>103439057.54303905</v>
      </c>
      <c r="E47" s="125">
        <f t="shared" si="1"/>
        <v>52708545.925679326</v>
      </c>
      <c r="F47" s="126">
        <v>0</v>
      </c>
    </row>
    <row r="48" spans="1:6" x14ac:dyDescent="0.2">
      <c r="A48" s="122" t="s">
        <v>370</v>
      </c>
      <c r="B48" s="133">
        <v>7.8215693589257802E-3</v>
      </c>
      <c r="C48" s="123">
        <f t="shared" si="0"/>
        <v>103730955.8333132</v>
      </c>
      <c r="D48" s="124">
        <f>C48*'SFY 2019 PROJECTED'!$E$76</f>
        <v>68715958.945768088</v>
      </c>
      <c r="E48" s="125">
        <f t="shared" si="1"/>
        <v>35014996.887545109</v>
      </c>
      <c r="F48" s="126">
        <v>0</v>
      </c>
    </row>
    <row r="49" spans="1:6" x14ac:dyDescent="0.2">
      <c r="A49" s="122" t="s">
        <v>371</v>
      </c>
      <c r="B49" s="133">
        <v>1.0237734841790119E-2</v>
      </c>
      <c r="C49" s="123">
        <f t="shared" si="0"/>
        <v>135774544.97606784</v>
      </c>
      <c r="D49" s="124">
        <f>C49*'SFY 2019 PROJECTED'!$E$76</f>
        <v>89943045.289663956</v>
      </c>
      <c r="E49" s="125">
        <f t="shared" si="1"/>
        <v>45831499.686403885</v>
      </c>
      <c r="F49" s="126">
        <v>0</v>
      </c>
    </row>
    <row r="50" spans="1:6" x14ac:dyDescent="0.2">
      <c r="A50" s="122" t="s">
        <v>372</v>
      </c>
      <c r="B50" s="133">
        <v>3.5809639803137225E-3</v>
      </c>
      <c r="C50" s="123">
        <f t="shared" si="0"/>
        <v>47491340.859710068</v>
      </c>
      <c r="D50" s="124">
        <f>C50*'SFY 2019 PROJECTED'!$E$76</f>
        <v>31460358.217843302</v>
      </c>
      <c r="E50" s="125">
        <f t="shared" si="1"/>
        <v>16030982.641866766</v>
      </c>
      <c r="F50" s="126">
        <v>0</v>
      </c>
    </row>
    <row r="51" spans="1:6" x14ac:dyDescent="0.2">
      <c r="A51" s="122" t="s">
        <v>373</v>
      </c>
      <c r="B51" s="133">
        <v>5.8319820632351553E-3</v>
      </c>
      <c r="C51" s="123">
        <f t="shared" si="0"/>
        <v>77344717.67251654</v>
      </c>
      <c r="D51" s="124">
        <f>C51*'SFY 2019 PROJECTED'!$E$76</f>
        <v>51236551.341502406</v>
      </c>
      <c r="E51" s="125">
        <f t="shared" si="1"/>
        <v>26108166.331014134</v>
      </c>
      <c r="F51" s="126">
        <v>0</v>
      </c>
    </row>
    <row r="52" spans="1:6" x14ac:dyDescent="0.2">
      <c r="A52" s="122" t="s">
        <v>374</v>
      </c>
      <c r="B52" s="133">
        <v>5.932974704445993E-4</v>
      </c>
      <c r="C52" s="123">
        <f t="shared" si="0"/>
        <v>7868409.890461877</v>
      </c>
      <c r="D52" s="124">
        <f>C52*'SFY 2019 PROJECTED'!$E$76</f>
        <v>5212381.6526889922</v>
      </c>
      <c r="E52" s="125">
        <f t="shared" si="1"/>
        <v>2656028.2377728848</v>
      </c>
      <c r="F52" s="126">
        <v>0</v>
      </c>
    </row>
    <row r="53" spans="1:6" x14ac:dyDescent="0.2">
      <c r="A53" s="122" t="s">
        <v>375</v>
      </c>
      <c r="B53" s="133">
        <v>1.4033998084324399E-2</v>
      </c>
      <c r="C53" s="123">
        <f t="shared" si="0"/>
        <v>186121220.51805106</v>
      </c>
      <c r="D53" s="124">
        <f>C53*'SFY 2019 PROJECTED'!$E$76</f>
        <v>123294903.10111745</v>
      </c>
      <c r="E53" s="125">
        <f t="shared" si="1"/>
        <v>62826317.416933611</v>
      </c>
      <c r="F53" s="126">
        <v>0</v>
      </c>
    </row>
    <row r="54" spans="1:6" x14ac:dyDescent="0.2">
      <c r="A54" s="122" t="s">
        <v>376</v>
      </c>
      <c r="B54" s="133">
        <v>4.3352465734252501E-3</v>
      </c>
      <c r="C54" s="123">
        <f t="shared" si="0"/>
        <v>57494762.265492335</v>
      </c>
      <c r="D54" s="124">
        <f>C54*'SFY 2019 PROJECTED'!$E$76</f>
        <v>38087065.637193955</v>
      </c>
      <c r="E54" s="125">
        <f t="shared" si="1"/>
        <v>19407696.628298379</v>
      </c>
      <c r="F54" s="126">
        <v>0</v>
      </c>
    </row>
    <row r="55" spans="1:6" x14ac:dyDescent="0.2">
      <c r="A55" s="122" t="s">
        <v>377</v>
      </c>
      <c r="B55" s="133">
        <v>1.8589555101508767E-2</v>
      </c>
      <c r="C55" s="123">
        <f t="shared" si="0"/>
        <v>246537776.59019363</v>
      </c>
      <c r="D55" s="124">
        <f>C55*'SFY 2019 PROJECTED'!$E$76</f>
        <v>163317493.78628653</v>
      </c>
      <c r="E55" s="125">
        <f t="shared" si="1"/>
        <v>83220282.803907096</v>
      </c>
      <c r="F55" s="126">
        <v>0</v>
      </c>
    </row>
    <row r="56" spans="1:6" x14ac:dyDescent="0.2">
      <c r="A56" s="122" t="s">
        <v>378</v>
      </c>
      <c r="B56" s="133">
        <v>1.3082437395852973E-3</v>
      </c>
      <c r="C56" s="123">
        <f t="shared" si="0"/>
        <v>17350146.414704788</v>
      </c>
      <c r="D56" s="124">
        <f>C56*'SFY 2019 PROJECTED'!$E$76</f>
        <v>11493502.003892981</v>
      </c>
      <c r="E56" s="125">
        <f t="shared" si="1"/>
        <v>5856644.410811808</v>
      </c>
      <c r="F56" s="126">
        <v>0</v>
      </c>
    </row>
    <row r="57" spans="1:6" x14ac:dyDescent="0.2">
      <c r="A57" s="122" t="s">
        <v>379</v>
      </c>
      <c r="B57" s="133">
        <v>6.9633820293208276E-3</v>
      </c>
      <c r="C57" s="123">
        <f t="shared" si="0"/>
        <v>92349532.502665088</v>
      </c>
      <c r="D57" s="124">
        <f>C57*'SFY 2019 PROJECTED'!$E$76</f>
        <v>61176402.291243784</v>
      </c>
      <c r="E57" s="125">
        <f t="shared" si="1"/>
        <v>31173130.211421303</v>
      </c>
      <c r="F57" s="126">
        <v>0</v>
      </c>
    </row>
    <row r="58" spans="1:6" x14ac:dyDescent="0.2">
      <c r="A58" s="122" t="s">
        <v>380</v>
      </c>
      <c r="B58" s="133">
        <v>8.821804541531305E-3</v>
      </c>
      <c r="C58" s="123">
        <f t="shared" si="0"/>
        <v>116996241.45420673</v>
      </c>
      <c r="D58" s="124">
        <f>C58*'SFY 2019 PROJECTED'!$E$76</f>
        <v>77503469.046359181</v>
      </c>
      <c r="E58" s="125">
        <f t="shared" si="1"/>
        <v>39492772.407847553</v>
      </c>
      <c r="F58" s="126">
        <v>0</v>
      </c>
    </row>
    <row r="59" spans="1:6" x14ac:dyDescent="0.2">
      <c r="A59" s="122" t="s">
        <v>381</v>
      </c>
      <c r="B59" s="133">
        <v>7.5473523848434516E-3</v>
      </c>
      <c r="C59" s="123">
        <f t="shared" si="0"/>
        <v>100094244.64122765</v>
      </c>
      <c r="D59" s="124">
        <f>C59*'SFY 2019 PROJECTED'!$E$76</f>
        <v>66306841.098878346</v>
      </c>
      <c r="E59" s="125">
        <f t="shared" si="1"/>
        <v>33787403.542349301</v>
      </c>
      <c r="F59" s="126">
        <v>0</v>
      </c>
    </row>
    <row r="60" spans="1:6" x14ac:dyDescent="0.2">
      <c r="A60" s="122" t="s">
        <v>382</v>
      </c>
      <c r="B60" s="133">
        <v>3.7560411667843878E-3</v>
      </c>
      <c r="C60" s="123">
        <f t="shared" si="0"/>
        <v>49813243.672792524</v>
      </c>
      <c r="D60" s="124">
        <f>C60*'SFY 2019 PROJECTED'!$E$76</f>
        <v>32998489.020727482</v>
      </c>
      <c r="E60" s="125">
        <f t="shared" si="1"/>
        <v>16814754.652065042</v>
      </c>
      <c r="F60" s="126">
        <v>0</v>
      </c>
    </row>
    <row r="61" spans="1:6" x14ac:dyDescent="0.2">
      <c r="A61" s="122" t="s">
        <v>383</v>
      </c>
      <c r="B61" s="133">
        <v>2.7057110964309179E-3</v>
      </c>
      <c r="C61" s="123">
        <f t="shared" si="0"/>
        <v>35883591.305278391</v>
      </c>
      <c r="D61" s="124">
        <f>C61*'SFY 2019 PROJECTED'!$E$76</f>
        <v>23770873.093298409</v>
      </c>
      <c r="E61" s="125">
        <f t="shared" si="1"/>
        <v>12112718.211979982</v>
      </c>
      <c r="F61" s="126">
        <v>0</v>
      </c>
    </row>
    <row r="62" spans="1:6" x14ac:dyDescent="0.2">
      <c r="A62" s="122" t="s">
        <v>384</v>
      </c>
      <c r="B62" s="133">
        <v>3.579343996060374E-3</v>
      </c>
      <c r="C62" s="123">
        <f t="shared" si="0"/>
        <v>47469856.358668983</v>
      </c>
      <c r="D62" s="124">
        <f>C62*'SFY 2019 PROJECTED'!$E$76</f>
        <v>31446125.937039085</v>
      </c>
      <c r="E62" s="125">
        <f t="shared" si="1"/>
        <v>16023730.421629898</v>
      </c>
      <c r="F62" s="126">
        <v>0</v>
      </c>
    </row>
    <row r="63" spans="1:6" x14ac:dyDescent="0.2">
      <c r="A63" s="122" t="s">
        <v>385</v>
      </c>
      <c r="B63" s="133">
        <v>6.3159744270371819E-3</v>
      </c>
      <c r="C63" s="123">
        <f t="shared" si="0"/>
        <v>83763505.029546902</v>
      </c>
      <c r="D63" s="124">
        <f>C63*'SFY 2019 PROJECTED'!$E$76</f>
        <v>55488639.109941371</v>
      </c>
      <c r="E63" s="125">
        <f t="shared" si="1"/>
        <v>28274865.919605531</v>
      </c>
      <c r="F63" s="126">
        <v>0</v>
      </c>
    </row>
    <row r="64" spans="1:6" x14ac:dyDescent="0.2">
      <c r="A64" s="122" t="s">
        <v>386</v>
      </c>
      <c r="B64" s="133">
        <v>8.3745884081159905E-2</v>
      </c>
      <c r="C64" s="123">
        <f t="shared" si="0"/>
        <v>1110651865.9111717</v>
      </c>
      <c r="D64" s="124">
        <f>C64*'SFY 2019 PROJECTED'!$E$76</f>
        <v>735744767.8746134</v>
      </c>
      <c r="E64" s="125">
        <f t="shared" si="1"/>
        <v>374907098.03655827</v>
      </c>
      <c r="F64" s="126">
        <v>0</v>
      </c>
    </row>
    <row r="65" spans="1:6" x14ac:dyDescent="0.2">
      <c r="A65" s="122" t="s">
        <v>387</v>
      </c>
      <c r="B65" s="133">
        <v>2.099194485075501E-3</v>
      </c>
      <c r="C65" s="123">
        <f t="shared" si="0"/>
        <v>27839866.965880562</v>
      </c>
      <c r="D65" s="124">
        <f>C65*'SFY 2019 PROJECTED'!$E$76</f>
        <v>18442355.419506509</v>
      </c>
      <c r="E65" s="125">
        <f t="shared" si="1"/>
        <v>9397511.5463740528</v>
      </c>
      <c r="F65" s="126">
        <v>0</v>
      </c>
    </row>
    <row r="66" spans="1:6" x14ac:dyDescent="0.2">
      <c r="A66" s="122" t="s">
        <v>388</v>
      </c>
      <c r="B66" s="133">
        <v>3.2440581416492312E-3</v>
      </c>
      <c r="C66" s="123">
        <f t="shared" si="0"/>
        <v>43023239.502197921</v>
      </c>
      <c r="D66" s="124">
        <f>C66*'SFY 2019 PROJECTED'!$E$76</f>
        <v>28500490.866946563</v>
      </c>
      <c r="E66" s="125">
        <f t="shared" si="1"/>
        <v>14522748.635251358</v>
      </c>
      <c r="F66" s="126">
        <v>0</v>
      </c>
    </row>
    <row r="67" spans="1:6" x14ac:dyDescent="0.2">
      <c r="A67" s="122" t="s">
        <v>389</v>
      </c>
      <c r="B67" s="133">
        <v>7.5938469206141453E-3</v>
      </c>
      <c r="C67" s="123">
        <f t="shared" si="0"/>
        <v>100710862.92014331</v>
      </c>
      <c r="D67" s="124">
        <f>C67*'SFY 2019 PROJECTED'!$E$76</f>
        <v>66715316.235338733</v>
      </c>
      <c r="E67" s="125">
        <f t="shared" si="1"/>
        <v>33995546.684804574</v>
      </c>
      <c r="F67" s="126">
        <v>0</v>
      </c>
    </row>
    <row r="68" spans="1:6" x14ac:dyDescent="0.2">
      <c r="A68" s="122" t="s">
        <v>390</v>
      </c>
      <c r="B68" s="133">
        <v>1.1286883931889763E-2</v>
      </c>
      <c r="C68" s="123">
        <f t="shared" si="0"/>
        <v>149688534.98671624</v>
      </c>
      <c r="D68" s="124">
        <f>C68*'SFY 2019 PROJECTED'!$E$76</f>
        <v>99160285.781305954</v>
      </c>
      <c r="E68" s="125">
        <f t="shared" si="1"/>
        <v>50528249.205410287</v>
      </c>
      <c r="F68" s="126">
        <v>0</v>
      </c>
    </row>
    <row r="69" spans="1:6" x14ac:dyDescent="0.2">
      <c r="A69" s="122" t="s">
        <v>391</v>
      </c>
      <c r="B69" s="133">
        <v>1.9166004924022595E-2</v>
      </c>
      <c r="C69" s="123">
        <f t="shared" si="0"/>
        <v>254182750.16714793</v>
      </c>
      <c r="D69" s="124">
        <f>C69*'SFY 2019 PROJECTED'!$E$76</f>
        <v>168381861.37294635</v>
      </c>
      <c r="E69" s="125">
        <f t="shared" si="1"/>
        <v>85800888.794201583</v>
      </c>
      <c r="F69" s="126">
        <v>0</v>
      </c>
    </row>
    <row r="70" spans="1:6" x14ac:dyDescent="0.2">
      <c r="A70" s="122" t="s">
        <v>392</v>
      </c>
      <c r="B70" s="133">
        <v>3.3156801029921631E-3</v>
      </c>
      <c r="C70" s="123">
        <f t="shared" ref="C70:C104" si="2">+B70*C$106</f>
        <v>43973101.885030426</v>
      </c>
      <c r="D70" s="124">
        <f>C70*'SFY 2019 PROJECTED'!$E$76</f>
        <v>29129721.591550436</v>
      </c>
      <c r="E70" s="125">
        <f t="shared" si="1"/>
        <v>14843380.29347999</v>
      </c>
      <c r="F70" s="126">
        <v>0</v>
      </c>
    </row>
    <row r="71" spans="1:6" x14ac:dyDescent="0.2">
      <c r="A71" s="122" t="s">
        <v>393</v>
      </c>
      <c r="B71" s="133">
        <v>1.4704479182132956E-2</v>
      </c>
      <c r="C71" s="123">
        <f t="shared" si="2"/>
        <v>195013252.5326342</v>
      </c>
      <c r="D71" s="124">
        <f>C71*'SFY 2019 PROJECTED'!$E$76</f>
        <v>129185377.1833231</v>
      </c>
      <c r="E71" s="125">
        <f t="shared" ref="E71:E104" si="3">+C71-D71</f>
        <v>65827875.349311098</v>
      </c>
      <c r="F71" s="126">
        <v>0</v>
      </c>
    </row>
    <row r="72" spans="1:6" x14ac:dyDescent="0.2">
      <c r="A72" s="122" t="s">
        <v>394</v>
      </c>
      <c r="B72" s="133">
        <v>8.8113638879005092E-3</v>
      </c>
      <c r="C72" s="123">
        <f t="shared" si="2"/>
        <v>116857775.76644664</v>
      </c>
      <c r="D72" s="124">
        <f>C72*'SFY 2019 PROJECTED'!$E$76</f>
        <v>77411743.269428998</v>
      </c>
      <c r="E72" s="125">
        <f t="shared" si="3"/>
        <v>39446032.497017637</v>
      </c>
      <c r="F72" s="126">
        <v>0</v>
      </c>
    </row>
    <row r="73" spans="1:6" x14ac:dyDescent="0.2">
      <c r="A73" s="122" t="s">
        <v>395</v>
      </c>
      <c r="B73" s="133">
        <v>1.4673705863930053E-3</v>
      </c>
      <c r="C73" s="123">
        <f t="shared" si="2"/>
        <v>19460513.166010022</v>
      </c>
      <c r="D73" s="124">
        <f>C73*'SFY 2019 PROJECTED'!$E$76</f>
        <v>12891501.99221115</v>
      </c>
      <c r="E73" s="125">
        <f t="shared" si="3"/>
        <v>6569011.1737988722</v>
      </c>
      <c r="F73" s="126">
        <v>0</v>
      </c>
    </row>
    <row r="74" spans="1:6" x14ac:dyDescent="0.2">
      <c r="A74" s="122" t="s">
        <v>396</v>
      </c>
      <c r="B74" s="133">
        <v>4.1905822741625746E-3</v>
      </c>
      <c r="C74" s="123">
        <f t="shared" si="2"/>
        <v>55576200.229045115</v>
      </c>
      <c r="D74" s="124">
        <f>C74*'SFY 2019 PROJECTED'!$E$76</f>
        <v>36816125.549229614</v>
      </c>
      <c r="E74" s="125">
        <f t="shared" si="3"/>
        <v>18760074.679815501</v>
      </c>
      <c r="F74" s="126">
        <v>0</v>
      </c>
    </row>
    <row r="75" spans="1:6" x14ac:dyDescent="0.2">
      <c r="A75" s="122" t="s">
        <v>397</v>
      </c>
      <c r="B75" s="133">
        <v>5.8515787163080143E-3</v>
      </c>
      <c r="C75" s="123">
        <f t="shared" si="2"/>
        <v>77604611.750175238</v>
      </c>
      <c r="D75" s="124">
        <f>C75*'SFY 2019 PROJECTED'!$E$76</f>
        <v>51408716.638034917</v>
      </c>
      <c r="E75" s="125">
        <f t="shared" si="3"/>
        <v>26195895.11214032</v>
      </c>
      <c r="F75" s="126">
        <v>0</v>
      </c>
    </row>
    <row r="76" spans="1:6" x14ac:dyDescent="0.2">
      <c r="A76" s="122" t="s">
        <v>398</v>
      </c>
      <c r="B76" s="133">
        <v>1.4870017609789363E-3</v>
      </c>
      <c r="C76" s="123">
        <f t="shared" si="2"/>
        <v>19720865.073726013</v>
      </c>
      <c r="D76" s="124">
        <f>C76*'SFY 2019 PROJECTED'!$E$76</f>
        <v>13063970.575560683</v>
      </c>
      <c r="E76" s="125">
        <f t="shared" si="3"/>
        <v>6656894.4981653299</v>
      </c>
      <c r="F76" s="126">
        <v>0</v>
      </c>
    </row>
    <row r="77" spans="1:6" x14ac:dyDescent="0.2">
      <c r="A77" s="122" t="s">
        <v>399</v>
      </c>
      <c r="B77" s="133">
        <v>4.7483876344326997E-3</v>
      </c>
      <c r="C77" s="123">
        <f t="shared" si="2"/>
        <v>62973907.841742486</v>
      </c>
      <c r="D77" s="124">
        <f>C77*'SFY 2019 PROJECTED'!$E$76</f>
        <v>41716693.258484781</v>
      </c>
      <c r="E77" s="125">
        <f t="shared" si="3"/>
        <v>21257214.583257705</v>
      </c>
      <c r="F77" s="126">
        <v>0</v>
      </c>
    </row>
    <row r="78" spans="1:6" x14ac:dyDescent="0.2">
      <c r="A78" s="122" t="s">
        <v>400</v>
      </c>
      <c r="B78" s="133">
        <v>1.885851704747709E-2</v>
      </c>
      <c r="C78" s="123">
        <f t="shared" si="2"/>
        <v>250104794.7239961</v>
      </c>
      <c r="D78" s="124">
        <f>C78*'SFY 2019 PROJECTED'!$E$76</f>
        <v>165680443.87839839</v>
      </c>
      <c r="E78" s="125">
        <f t="shared" si="3"/>
        <v>84424350.845597714</v>
      </c>
      <c r="F78" s="126">
        <v>0</v>
      </c>
    </row>
    <row r="79" spans="1:6" x14ac:dyDescent="0.2">
      <c r="A79" s="122" t="s">
        <v>401</v>
      </c>
      <c r="B79" s="133">
        <v>2.0998717044625878E-3</v>
      </c>
      <c r="C79" s="123">
        <f t="shared" si="2"/>
        <v>27848848.362210084</v>
      </c>
      <c r="D79" s="124">
        <f>C79*'SFY 2019 PROJECTED'!$E$76</f>
        <v>18448305.092451263</v>
      </c>
      <c r="E79" s="125">
        <f t="shared" si="3"/>
        <v>9400543.2697588205</v>
      </c>
      <c r="F79" s="126">
        <v>0</v>
      </c>
    </row>
    <row r="80" spans="1:6" x14ac:dyDescent="0.2">
      <c r="A80" s="122" t="s">
        <v>402</v>
      </c>
      <c r="B80" s="133">
        <v>1.5945674538537846E-2</v>
      </c>
      <c r="C80" s="123">
        <f t="shared" si="2"/>
        <v>211474192.12001029</v>
      </c>
      <c r="D80" s="124">
        <f>C80*'SFY 2019 PROJECTED'!$E$76</f>
        <v>140089829.3770591</v>
      </c>
      <c r="E80" s="125">
        <f t="shared" si="3"/>
        <v>71384362.742951185</v>
      </c>
      <c r="F80" s="126">
        <v>0</v>
      </c>
    </row>
    <row r="81" spans="1:6" x14ac:dyDescent="0.2">
      <c r="A81" s="122" t="s">
        <v>403</v>
      </c>
      <c r="B81" s="133">
        <v>7.2127604604590905E-3</v>
      </c>
      <c r="C81" s="123">
        <f t="shared" si="2"/>
        <v>95656830.800373569</v>
      </c>
      <c r="D81" s="124">
        <f>C81*'SFY 2019 PROJECTED'!$E$76</f>
        <v>63367302.512118436</v>
      </c>
      <c r="E81" s="125">
        <f t="shared" si="3"/>
        <v>32289528.288255133</v>
      </c>
      <c r="F81" s="126">
        <v>0</v>
      </c>
    </row>
    <row r="82" spans="1:6" x14ac:dyDescent="0.2">
      <c r="A82" s="122" t="s">
        <v>404</v>
      </c>
      <c r="B82" s="133">
        <v>2.5266936198491963E-2</v>
      </c>
      <c r="C82" s="123">
        <f t="shared" si="2"/>
        <v>335094317.08330172</v>
      </c>
      <c r="D82" s="124">
        <f>C82*'SFY 2019 PROJECTED'!$E$76</f>
        <v>221981250.92626834</v>
      </c>
      <c r="E82" s="125">
        <f t="shared" si="3"/>
        <v>113113066.15703338</v>
      </c>
      <c r="F82" s="126">
        <v>0</v>
      </c>
    </row>
    <row r="83" spans="1:6" x14ac:dyDescent="0.2">
      <c r="A83" s="122" t="s">
        <v>405</v>
      </c>
      <c r="B83" s="133">
        <v>1.1693707269065443E-2</v>
      </c>
      <c r="C83" s="123">
        <f t="shared" si="2"/>
        <v>155083893.85703987</v>
      </c>
      <c r="D83" s="124">
        <f>C83*'SFY 2019 PROJECTED'!$E$76</f>
        <v>102734409.39418969</v>
      </c>
      <c r="E83" s="125">
        <f t="shared" si="3"/>
        <v>52349484.462850183</v>
      </c>
      <c r="F83" s="126">
        <v>0</v>
      </c>
    </row>
    <row r="84" spans="1:6" x14ac:dyDescent="0.2">
      <c r="A84" s="122" t="s">
        <v>406</v>
      </c>
      <c r="B84" s="133">
        <v>1.6242402090214995E-2</v>
      </c>
      <c r="C84" s="123">
        <f t="shared" si="2"/>
        <v>215409442.34219548</v>
      </c>
      <c r="D84" s="124">
        <f>C84*'SFY 2019 PROJECTED'!$E$76</f>
        <v>142696712.64094743</v>
      </c>
      <c r="E84" s="125">
        <f t="shared" si="3"/>
        <v>72712729.70124805</v>
      </c>
      <c r="F84" s="126">
        <v>0</v>
      </c>
    </row>
    <row r="85" spans="1:6" x14ac:dyDescent="0.2">
      <c r="A85" s="122" t="s">
        <v>407</v>
      </c>
      <c r="B85" s="133">
        <v>8.8083329413763244E-3</v>
      </c>
      <c r="C85" s="123">
        <f t="shared" si="2"/>
        <v>116817578.84871753</v>
      </c>
      <c r="D85" s="124">
        <f>C85*'SFY 2019 PROJECTED'!$E$76</f>
        <v>77385115.058725357</v>
      </c>
      <c r="E85" s="125">
        <f t="shared" si="3"/>
        <v>39432463.789992169</v>
      </c>
      <c r="F85" s="126">
        <v>0</v>
      </c>
    </row>
    <row r="86" spans="1:6" x14ac:dyDescent="0.2">
      <c r="A86" s="122" t="s">
        <v>408</v>
      </c>
      <c r="B86" s="133">
        <v>8.4336787799992544E-3</v>
      </c>
      <c r="C86" s="123">
        <f t="shared" si="2"/>
        <v>111848852.94689807</v>
      </c>
      <c r="D86" s="124">
        <f>C86*'SFY 2019 PROJECTED'!$E$76</f>
        <v>74093611.935676426</v>
      </c>
      <c r="E86" s="125">
        <f t="shared" si="3"/>
        <v>37755241.011221647</v>
      </c>
      <c r="F86" s="126">
        <v>0</v>
      </c>
    </row>
    <row r="87" spans="1:6" x14ac:dyDescent="0.2">
      <c r="A87" s="122" t="s">
        <v>409</v>
      </c>
      <c r="B87" s="133">
        <v>6.0529927990079979E-3</v>
      </c>
      <c r="C87" s="123">
        <f t="shared" si="2"/>
        <v>80275798.868514448</v>
      </c>
      <c r="D87" s="124">
        <f>C87*'SFY 2019 PROJECTED'!$E$76</f>
        <v>53178228.765689619</v>
      </c>
      <c r="E87" s="125">
        <f t="shared" si="3"/>
        <v>27097570.10282483</v>
      </c>
      <c r="F87" s="126">
        <v>0</v>
      </c>
    </row>
    <row r="88" spans="1:6" x14ac:dyDescent="0.2">
      <c r="A88" s="122" t="s">
        <v>410</v>
      </c>
      <c r="B88" s="133">
        <v>6.8629824275151102E-3</v>
      </c>
      <c r="C88" s="123">
        <f t="shared" si="2"/>
        <v>91018016.257947996</v>
      </c>
      <c r="D88" s="124">
        <f>C88*'SFY 2019 PROJECTED'!$E$76</f>
        <v>60294347.220290519</v>
      </c>
      <c r="E88" s="125">
        <f t="shared" si="3"/>
        <v>30723669.037657477</v>
      </c>
      <c r="F88" s="126">
        <v>0</v>
      </c>
    </row>
    <row r="89" spans="1:6" x14ac:dyDescent="0.2">
      <c r="A89" s="122" t="s">
        <v>411</v>
      </c>
      <c r="B89" s="133">
        <v>4.7666208522810713E-3</v>
      </c>
      <c r="C89" s="123">
        <f t="shared" si="2"/>
        <v>63215719.81431935</v>
      </c>
      <c r="D89" s="124">
        <f>C89*'SFY 2019 PROJECTED'!$E$76</f>
        <v>41876880.171318091</v>
      </c>
      <c r="E89" s="125">
        <f t="shared" si="3"/>
        <v>21338839.643001258</v>
      </c>
      <c r="F89" s="126">
        <v>0</v>
      </c>
    </row>
    <row r="90" spans="1:6" x14ac:dyDescent="0.2">
      <c r="A90" s="122" t="s">
        <v>412</v>
      </c>
      <c r="B90" s="133">
        <v>9.1244213804848335E-3</v>
      </c>
      <c r="C90" s="123">
        <f t="shared" si="2"/>
        <v>121009596.38534763</v>
      </c>
      <c r="D90" s="124">
        <f>C90*'SFY 2019 PROJECTED'!$E$76</f>
        <v>80162092.313325226</v>
      </c>
      <c r="E90" s="125">
        <f t="shared" si="3"/>
        <v>40847504.072022408</v>
      </c>
      <c r="F90" s="126">
        <v>0</v>
      </c>
    </row>
    <row r="91" spans="1:6" x14ac:dyDescent="0.2">
      <c r="A91" s="122" t="s">
        <v>413</v>
      </c>
      <c r="B91" s="133">
        <v>2.7813757897732919E-3</v>
      </c>
      <c r="C91" s="123">
        <f t="shared" si="2"/>
        <v>36887069.073366217</v>
      </c>
      <c r="D91" s="124">
        <f>C91*'SFY 2019 PROJECTED'!$E$76</f>
        <v>24435621.013154838</v>
      </c>
      <c r="E91" s="125">
        <f t="shared" si="3"/>
        <v>12451448.060211379</v>
      </c>
      <c r="F91" s="126">
        <v>0</v>
      </c>
    </row>
    <row r="92" spans="1:6" x14ac:dyDescent="0.2">
      <c r="A92" s="122" t="s">
        <v>414</v>
      </c>
      <c r="B92" s="133">
        <v>3.4341996631383508E-3</v>
      </c>
      <c r="C92" s="123">
        <f t="shared" si="2"/>
        <v>45544928.035862692</v>
      </c>
      <c r="D92" s="124">
        <f>C92*'SFY 2019 PROJECTED'!$E$76</f>
        <v>30170968.540282276</v>
      </c>
      <c r="E92" s="125">
        <f t="shared" si="3"/>
        <v>15373959.495580416</v>
      </c>
      <c r="F92" s="126">
        <v>0</v>
      </c>
    </row>
    <row r="93" spans="1:6" x14ac:dyDescent="0.2">
      <c r="A93" s="122" t="s">
        <v>415</v>
      </c>
      <c r="B93" s="133">
        <v>5.1847607528414255E-4</v>
      </c>
      <c r="C93" s="123">
        <f t="shared" si="2"/>
        <v>6876116.08334768</v>
      </c>
      <c r="D93" s="124">
        <f>C93*'SFY 2019 PROJECTED'!$E$76</f>
        <v>4555042.4817151045</v>
      </c>
      <c r="E93" s="125">
        <f t="shared" si="3"/>
        <v>2321073.6016325755</v>
      </c>
      <c r="F93" s="126">
        <v>0</v>
      </c>
    </row>
    <row r="94" spans="1:6" x14ac:dyDescent="0.2">
      <c r="A94" s="122" t="s">
        <v>416</v>
      </c>
      <c r="B94" s="133">
        <v>1.4848934549081715E-2</v>
      </c>
      <c r="C94" s="123">
        <f t="shared" si="2"/>
        <v>196929043.67392823</v>
      </c>
      <c r="D94" s="124">
        <f>C94*'SFY 2019 PROJECTED'!$E$76</f>
        <v>130454481.70816109</v>
      </c>
      <c r="E94" s="125">
        <f t="shared" si="3"/>
        <v>66474561.965767145</v>
      </c>
      <c r="F94" s="126">
        <v>0</v>
      </c>
    </row>
    <row r="95" spans="1:6" x14ac:dyDescent="0.2">
      <c r="A95" s="122" t="s">
        <v>417</v>
      </c>
      <c r="B95" s="133">
        <v>8.2925715676158886E-3</v>
      </c>
      <c r="C95" s="123">
        <f t="shared" si="2"/>
        <v>109977465.58921936</v>
      </c>
      <c r="D95" s="124">
        <f>C95*'SFY 2019 PROJECTED'!$E$76</f>
        <v>72853922.43499817</v>
      </c>
      <c r="E95" s="125">
        <f t="shared" si="3"/>
        <v>37123543.154221192</v>
      </c>
      <c r="F95" s="126">
        <v>0</v>
      </c>
    </row>
    <row r="96" spans="1:6" x14ac:dyDescent="0.2">
      <c r="A96" s="122" t="s">
        <v>418</v>
      </c>
      <c r="B96" s="133">
        <v>5.7546230562908342E-2</v>
      </c>
      <c r="C96" s="123">
        <f t="shared" si="2"/>
        <v>763187696.3518399</v>
      </c>
      <c r="D96" s="124">
        <f>C96*'SFY 2019 PROJECTED'!$E$76</f>
        <v>505569181.24518257</v>
      </c>
      <c r="E96" s="125">
        <f t="shared" si="3"/>
        <v>257618515.10665733</v>
      </c>
      <c r="F96" s="126">
        <v>0</v>
      </c>
    </row>
    <row r="97" spans="1:6" x14ac:dyDescent="0.2">
      <c r="A97" s="122" t="s">
        <v>419</v>
      </c>
      <c r="B97" s="133">
        <v>3.0869663666862612E-3</v>
      </c>
      <c r="C97" s="123">
        <f t="shared" si="2"/>
        <v>40939862.212720223</v>
      </c>
      <c r="D97" s="124">
        <f>C97*'SFY 2019 PROJECTED'!$E$76</f>
        <v>27120369.888187405</v>
      </c>
      <c r="E97" s="125">
        <f t="shared" si="3"/>
        <v>13819492.324532818</v>
      </c>
      <c r="F97" s="126">
        <v>0</v>
      </c>
    </row>
    <row r="98" spans="1:6" x14ac:dyDescent="0.2">
      <c r="A98" s="122" t="s">
        <v>420</v>
      </c>
      <c r="B98" s="133">
        <v>2.181875651066817E-3</v>
      </c>
      <c r="C98" s="123">
        <f t="shared" si="2"/>
        <v>28936398.363112837</v>
      </c>
      <c r="D98" s="124">
        <f>C98*'SFY 2019 PROJECTED'!$E$76</f>
        <v>19168746.16631538</v>
      </c>
      <c r="E98" s="125">
        <f t="shared" si="3"/>
        <v>9767652.1967974566</v>
      </c>
      <c r="F98" s="126">
        <v>0</v>
      </c>
    </row>
    <row r="99" spans="1:6" x14ac:dyDescent="0.2">
      <c r="A99" s="122" t="s">
        <v>421</v>
      </c>
      <c r="B99" s="133">
        <v>2.6898400883688992E-3</v>
      </c>
      <c r="C99" s="123">
        <f t="shared" si="2"/>
        <v>35673107.352408662</v>
      </c>
      <c r="D99" s="124">
        <f>C99*'SFY 2019 PROJECTED'!$E$76</f>
        <v>23631439.242063288</v>
      </c>
      <c r="E99" s="125">
        <f t="shared" si="3"/>
        <v>12041668.110345375</v>
      </c>
      <c r="F99" s="126">
        <v>0</v>
      </c>
    </row>
    <row r="100" spans="1:6" x14ac:dyDescent="0.2">
      <c r="A100" s="122" t="s">
        <v>422</v>
      </c>
      <c r="B100" s="133">
        <v>1.4127645376270585E-2</v>
      </c>
      <c r="C100" s="123">
        <f t="shared" si="2"/>
        <v>187363186.50454372</v>
      </c>
      <c r="D100" s="124">
        <f>C100*'SFY 2019 PROJECTED'!$E$76</f>
        <v>124117636.13248958</v>
      </c>
      <c r="E100" s="125">
        <f t="shared" si="3"/>
        <v>63245550.372054145</v>
      </c>
      <c r="F100" s="126">
        <v>0</v>
      </c>
    </row>
    <row r="101" spans="1:6" x14ac:dyDescent="0.2">
      <c r="A101" s="122" t="s">
        <v>423</v>
      </c>
      <c r="B101" s="133">
        <v>9.2450870984168744E-3</v>
      </c>
      <c r="C101" s="123">
        <f t="shared" si="2"/>
        <v>122609885.23826431</v>
      </c>
      <c r="D101" s="124">
        <f>C101*'SFY 2019 PROJECTED'!$E$76</f>
        <v>81222194.210921705</v>
      </c>
      <c r="E101" s="125">
        <f t="shared" si="3"/>
        <v>41387691.027342603</v>
      </c>
      <c r="F101" s="126">
        <v>0</v>
      </c>
    </row>
    <row r="102" spans="1:6" x14ac:dyDescent="0.2">
      <c r="A102" s="122" t="s">
        <v>424</v>
      </c>
      <c r="B102" s="133">
        <v>1.0743941525316708E-2</v>
      </c>
      <c r="C102" s="123">
        <f t="shared" si="2"/>
        <v>142487942.34196889</v>
      </c>
      <c r="D102" s="124">
        <f>C102*'SFY 2019 PROJECTED'!$E$76</f>
        <v>94390295.718197376</v>
      </c>
      <c r="E102" s="125">
        <f t="shared" si="3"/>
        <v>48097646.623771518</v>
      </c>
      <c r="F102" s="126">
        <v>0</v>
      </c>
    </row>
    <row r="103" spans="1:6" x14ac:dyDescent="0.2">
      <c r="A103" s="122" t="s">
        <v>425</v>
      </c>
      <c r="B103" s="133">
        <v>4.1372645329529984E-3</v>
      </c>
      <c r="C103" s="123">
        <f t="shared" si="2"/>
        <v>54869091.46292121</v>
      </c>
      <c r="D103" s="124">
        <f>C103*'SFY 2019 PROJECTED'!$E$76</f>
        <v>36347705.524051763</v>
      </c>
      <c r="E103" s="125">
        <f t="shared" si="3"/>
        <v>18521385.938869447</v>
      </c>
      <c r="F103" s="126">
        <v>0</v>
      </c>
    </row>
    <row r="104" spans="1:6" x14ac:dyDescent="0.2">
      <c r="A104" s="122" t="s">
        <v>426</v>
      </c>
      <c r="B104" s="133">
        <v>2.3568103541372065E-3</v>
      </c>
      <c r="C104" s="123">
        <f t="shared" si="2"/>
        <v>31256411.537604529</v>
      </c>
      <c r="D104" s="124">
        <f>C104*'SFY 2019 PROJECTED'!$E$76</f>
        <v>20705625.189277336</v>
      </c>
      <c r="E104" s="125">
        <f t="shared" si="3"/>
        <v>10550786.348327193</v>
      </c>
      <c r="F104" s="126">
        <v>0</v>
      </c>
    </row>
    <row r="105" spans="1:6" x14ac:dyDescent="0.2">
      <c r="A105" s="122"/>
      <c r="B105" s="127"/>
      <c r="C105" s="123"/>
      <c r="D105" s="127"/>
      <c r="E105" s="127"/>
      <c r="F105" s="128"/>
    </row>
    <row r="106" spans="1:6" ht="13.5" thickBot="1" x14ac:dyDescent="0.25">
      <c r="A106" s="129" t="s">
        <v>480</v>
      </c>
      <c r="B106" s="130"/>
      <c r="C106" s="141">
        <f>'SFY 2019 PROJECTED'!D69</f>
        <v>13262166590</v>
      </c>
      <c r="D106" s="141">
        <f>SUM(D5:D104)</f>
        <v>8785443917</v>
      </c>
      <c r="E106" s="141">
        <f>SUM(E5:E104)</f>
        <v>4476722673.000001</v>
      </c>
      <c r="F106" s="131">
        <f>SUM(F5:F104)</f>
        <v>0</v>
      </c>
    </row>
    <row r="108" spans="1:6" x14ac:dyDescent="0.2">
      <c r="A108" s="116" t="s">
        <v>479</v>
      </c>
      <c r="D108" s="170"/>
    </row>
    <row r="110" spans="1:6" x14ac:dyDescent="0.2">
      <c r="D110" s="172"/>
    </row>
  </sheetData>
  <mergeCells count="2">
    <mergeCell ref="A1:F1"/>
    <mergeCell ref="A2:F2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2019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2019 PROJECTED'!Print_Area</vt:lpstr>
      <vt:lpstr>'County Estimates'!Print_Titles</vt:lpstr>
      <vt:lpstr>'SFY 2017 BLENDED SHARES'!Print_Titles</vt:lpstr>
      <vt:lpstr>'SFY 2019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Mohr, Wayne S</cp:lastModifiedBy>
  <cp:lastPrinted>2017-01-18T16:18:34Z</cp:lastPrinted>
  <dcterms:created xsi:type="dcterms:W3CDTF">2004-06-15T15:41:35Z</dcterms:created>
  <dcterms:modified xsi:type="dcterms:W3CDTF">2018-02-06T20:54:20Z</dcterms:modified>
</cp:coreProperties>
</file>