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Wayne Mohr\Miscellaneous\DSS County Estimates\SFY2018\"/>
    </mc:Choice>
  </mc:AlternateContent>
  <bookViews>
    <workbookView xWindow="0" yWindow="0" windowWidth="19200" windowHeight="11550" tabRatio="905" firstSheet="1" activeTab="4"/>
  </bookViews>
  <sheets>
    <sheet name="READ ME FIRST" sheetId="122" state="hidden" r:id="rId1"/>
    <sheet name="SFY 2018 PROJECTED" sheetId="4" r:id="rId2"/>
    <sheet name="TRANSADMIN YTD DEC 2014" sheetId="113" state="hidden" r:id="rId3"/>
    <sheet name="SFY 2017 BLENDED SHARES" sheetId="124" state="hidden" r:id="rId4"/>
    <sheet name="County Estimates" sheetId="125" r:id="rId5"/>
  </sheets>
  <externalReferences>
    <externalReference r:id="rId6"/>
  </externalReferences>
  <definedNames>
    <definedName name="_FFP2">#REF!</definedName>
    <definedName name="_ffp2003">#REF!</definedName>
    <definedName name="_FFP3">#REF!</definedName>
    <definedName name="_FFP4">#REF!</definedName>
    <definedName name="_FFP5">#REF!</definedName>
    <definedName name="_FFP6">#REF!</definedName>
    <definedName name="_Key1" hidden="1">[1]NLTC!#REF!</definedName>
    <definedName name="_Key2" hidden="1">#REF!</definedName>
    <definedName name="_Key3" hidden="1">#REF!</definedName>
    <definedName name="_Key4" hidden="1">#REF!</definedName>
    <definedName name="_Key5" hidden="1">#REF!</definedName>
    <definedName name="_Key6" hidden="1">#REF!</definedName>
    <definedName name="_Order1" hidden="1">255</definedName>
    <definedName name="_Regression_Out2" hidden="1">#REF!</definedName>
    <definedName name="_Regression_Out3" hidden="1">#REF!</definedName>
    <definedName name="_Regression_Out4" hidden="1">#REF!</definedName>
    <definedName name="_Regression_Out5" hidden="1">#REF!</definedName>
    <definedName name="_Regression_Out6" hidden="1">#REF!</definedName>
    <definedName name="_Regression_X" hidden="1">'[1]FFP_96-04'!#REF!</definedName>
    <definedName name="_Regression_X2" hidden="1">#REF!</definedName>
    <definedName name="_Regression_X3" hidden="1">#REF!</definedName>
    <definedName name="_Regression_X4" hidden="1">#REF!</definedName>
    <definedName name="_Regression_X5" hidden="1">#REF!</definedName>
    <definedName name="_Regression_X6" hidden="1">#REF!</definedName>
    <definedName name="_Regression_Y2" hidden="1">#REF!</definedName>
    <definedName name="_Regression_Y3" hidden="1">#REF!</definedName>
    <definedName name="_Regression_Y4" hidden="1">#REF!</definedName>
    <definedName name="_Regression_Y5" hidden="1">#REF!</definedName>
    <definedName name="_Regression_Y6" hidden="1">#REF!</definedName>
    <definedName name="AFDCOVERCOST">#REF!</definedName>
    <definedName name="AFDCOVERCOST2">#REF!</definedName>
    <definedName name="AFDCOVERCOST3">#REF!</definedName>
    <definedName name="AFDCOVERCOST4">#REF!</definedName>
    <definedName name="AFDCOVERCOST5">#REF!</definedName>
    <definedName name="AFDCUNDERCOST">#REF!</definedName>
    <definedName name="AFDCUNDERCOST2">#REF!</definedName>
    <definedName name="AFDCUNDERCOST3">#REF!</definedName>
    <definedName name="AFDCUNDERCOST4">#REF!</definedName>
    <definedName name="AFDCUNDERCOST5">#REF!</definedName>
    <definedName name="AGEDCOST">#REF!</definedName>
    <definedName name="AGEDCOST2">#REF!</definedName>
    <definedName name="AGEDCOST3">#REF!</definedName>
    <definedName name="AGEDCOST4">#REF!</definedName>
    <definedName name="AGEDCOST5">#REF!</definedName>
    <definedName name="ALIENCOST">#REF!</definedName>
    <definedName name="ALIENCOSTMTD">#REF!</definedName>
    <definedName name="ALLELIGCOST">#REF!</definedName>
    <definedName name="ALLELIGCOSTYTD">#REF!</definedName>
    <definedName name="BLINDCOST">#REF!</definedName>
    <definedName name="BLINDCOST2">#REF!</definedName>
    <definedName name="BLINDCOST3">#REF!</definedName>
    <definedName name="BLINDCOST4">#REF!</definedName>
    <definedName name="BLINDCOST5">#REF!</definedName>
    <definedName name="_xlnm.Database">#REF!</definedName>
    <definedName name="DISABCOST">#REF!</definedName>
    <definedName name="DISABCOST2">#REF!</definedName>
    <definedName name="DISABCOST3">#REF!</definedName>
    <definedName name="DISABCOST4">#REF!</definedName>
    <definedName name="DISABCOST5">#REF!</definedName>
    <definedName name="FFPRate2003">#REF!</definedName>
    <definedName name="ILLEGALALIENCOST">#REF!</definedName>
    <definedName name="ILLEGALALIENCOSTMTD">#REF!</definedName>
    <definedName name="MICCOST">#REF!</definedName>
    <definedName name="MICCOST2">#REF!</definedName>
    <definedName name="MICCOST3">#REF!</definedName>
    <definedName name="MICCOST4">#REF!</definedName>
    <definedName name="MICCOST5">#REF!</definedName>
    <definedName name="MOBQCOST3">#REF!</definedName>
    <definedName name="MPWCOST">#REF!</definedName>
    <definedName name="MPWCOST2">#REF!</definedName>
    <definedName name="MPWCOST3">#REF!</definedName>
    <definedName name="MPWCOST4">#REF!</definedName>
    <definedName name="MPWCOST5">#REF!</definedName>
    <definedName name="MQBBCOST">#REF!</definedName>
    <definedName name="MQBBCOST2">#REF!</definedName>
    <definedName name="MQBBCOST3">#REF!</definedName>
    <definedName name="MQBBCOST4">#REF!</definedName>
    <definedName name="MQBBCOST5">#REF!</definedName>
    <definedName name="MQBECOST">#REF!</definedName>
    <definedName name="MQBECOST2">#REF!</definedName>
    <definedName name="MQBECOST4">#REF!</definedName>
    <definedName name="MQBECOST5">#REF!</definedName>
    <definedName name="MQBQCOST">#REF!</definedName>
    <definedName name="MQBQCOST2">#REF!</definedName>
    <definedName name="MQBQCOST3">#REF!</definedName>
    <definedName name="MQBQCOST4">#REF!</definedName>
    <definedName name="MQBQCOST5">#REF!</definedName>
    <definedName name="OTHERCHILDCOST">#REF!</definedName>
    <definedName name="OTHERCHILDCOST2">#REF!</definedName>
    <definedName name="OTHERCHILDCOST3">#REF!</definedName>
    <definedName name="OTHERCHILDCOST4">#REF!</definedName>
    <definedName name="OTHERCHILDCOST5">#REF!</definedName>
    <definedName name="_xlnm.Print_Area" localSheetId="0">'READ ME FIRST'!$A$1:$K$40</definedName>
    <definedName name="_xlnm.Print_Area" localSheetId="3">'SFY 2017 BLENDED SHARES'!$A$1:$H$98</definedName>
    <definedName name="_xlnm.Print_Area" localSheetId="1">'SFY 2018 PROJECTED'!$A$1:$G$114</definedName>
    <definedName name="_xlnm.Print_Titles" localSheetId="4">'County Estimates'!$1:$4</definedName>
    <definedName name="_xlnm.Print_Titles" localSheetId="3">'SFY 2017 BLENDED SHARES'!$A:$C,'SFY 2017 BLENDED SHARES'!$1:$7</definedName>
    <definedName name="_xlnm.Print_Titles" localSheetId="1">'SFY 2018 PROJECTED'!$1:$4</definedName>
    <definedName name="_xlnm.Print_Titles" localSheetId="2">'TRANSADMIN YTD DEC 2014'!$1:$4</definedName>
    <definedName name="TOT">#N/A</definedName>
  </definedNames>
  <calcPr calcId="171027"/>
</workbook>
</file>

<file path=xl/calcChain.xml><?xml version="1.0" encoding="utf-8"?>
<calcChain xmlns="http://schemas.openxmlformats.org/spreadsheetml/2006/main">
  <c r="H110" i="4" l="1"/>
  <c r="H105" i="4"/>
  <c r="H104" i="4"/>
  <c r="H103" i="4"/>
  <c r="H97" i="4"/>
  <c r="H93" i="4"/>
  <c r="H91" i="4"/>
  <c r="H88" i="4"/>
  <c r="H87" i="4"/>
  <c r="H85" i="4"/>
  <c r="H83" i="4"/>
  <c r="H81" i="4"/>
  <c r="H80" i="4"/>
  <c r="H79" i="4"/>
  <c r="H77" i="4"/>
  <c r="H75" i="4"/>
  <c r="H72" i="4"/>
  <c r="H71" i="4"/>
  <c r="H69" i="4"/>
  <c r="H67" i="4"/>
  <c r="H65" i="4"/>
  <c r="H64" i="4"/>
  <c r="H63" i="4"/>
  <c r="H61" i="4"/>
  <c r="H59" i="4"/>
  <c r="H56" i="4"/>
  <c r="H55" i="4"/>
  <c r="H53" i="4"/>
  <c r="H51" i="4"/>
  <c r="H49" i="4"/>
  <c r="H48" i="4"/>
  <c r="H47" i="4"/>
  <c r="H42" i="4"/>
  <c r="H40" i="4"/>
  <c r="H37" i="4"/>
  <c r="H32" i="4"/>
  <c r="H31" i="4"/>
  <c r="H28" i="4"/>
  <c r="H25" i="4"/>
  <c r="H24" i="4"/>
  <c r="H23" i="4"/>
  <c r="H20" i="4"/>
  <c r="H18" i="4"/>
  <c r="H16" i="4"/>
  <c r="H15" i="4"/>
  <c r="H13" i="4"/>
  <c r="H12" i="4"/>
  <c r="H8" i="4"/>
  <c r="H7" i="4"/>
  <c r="H5" i="4"/>
  <c r="H98" i="4"/>
  <c r="H108" i="4"/>
  <c r="H107" i="4"/>
  <c r="H101" i="4"/>
  <c r="H100" i="4"/>
  <c r="H99" i="4"/>
  <c r="H96" i="4"/>
  <c r="H95" i="4"/>
  <c r="H92" i="4"/>
  <c r="H84" i="4"/>
  <c r="H82" i="4"/>
  <c r="H76" i="4"/>
  <c r="H68" i="4"/>
  <c r="H66" i="4"/>
  <c r="H60" i="4"/>
  <c r="H52" i="4"/>
  <c r="H46" i="4"/>
  <c r="H45" i="4"/>
  <c r="H44" i="4"/>
  <c r="H39" i="4"/>
  <c r="H38" i="4"/>
  <c r="H36" i="4"/>
  <c r="H34" i="4"/>
  <c r="H30" i="4"/>
  <c r="H27" i="4"/>
  <c r="H19" i="4"/>
  <c r="H14" i="4"/>
  <c r="H6" i="4"/>
  <c r="H109" i="4"/>
  <c r="H106" i="4"/>
  <c r="H94" i="4"/>
  <c r="H90" i="4"/>
  <c r="H86" i="4"/>
  <c r="H78" i="4"/>
  <c r="H74" i="4"/>
  <c r="H70" i="4"/>
  <c r="H62" i="4"/>
  <c r="H58" i="4"/>
  <c r="H54" i="4"/>
  <c r="H50" i="4"/>
  <c r="H43" i="4"/>
  <c r="H35" i="4"/>
  <c r="H26" i="4"/>
  <c r="H22" i="4"/>
  <c r="H11" i="4"/>
  <c r="H10" i="4"/>
  <c r="D103" i="4"/>
  <c r="D99" i="4"/>
  <c r="D98" i="4"/>
  <c r="D95" i="4"/>
  <c r="D93" i="4"/>
  <c r="D92" i="4"/>
  <c r="D82" i="4"/>
  <c r="D79" i="4"/>
  <c r="D77" i="4"/>
  <c r="D76" i="4"/>
  <c r="D75" i="4"/>
  <c r="D74" i="4"/>
  <c r="D73" i="4"/>
  <c r="D69" i="4"/>
  <c r="D67" i="4"/>
  <c r="D66" i="4"/>
  <c r="D65" i="4"/>
  <c r="D64" i="4"/>
  <c r="D62" i="4"/>
  <c r="D60" i="4"/>
  <c r="D58" i="4"/>
  <c r="D57" i="4"/>
  <c r="D56" i="4"/>
  <c r="D55" i="4"/>
  <c r="D48" i="4"/>
  <c r="D47" i="4"/>
  <c r="D46" i="4"/>
  <c r="D44" i="4"/>
  <c r="D43" i="4"/>
  <c r="D42" i="4"/>
  <c r="D36" i="4"/>
  <c r="D35" i="4"/>
  <c r="D34" i="4"/>
  <c r="D32" i="4"/>
  <c r="D31" i="4"/>
  <c r="D30" i="4"/>
  <c r="D29" i="4"/>
  <c r="D27" i="4"/>
  <c r="D26" i="4"/>
  <c r="D25" i="4"/>
  <c r="D24" i="4"/>
  <c r="D23" i="4"/>
  <c r="D22" i="4"/>
  <c r="D20" i="4"/>
  <c r="D19" i="4"/>
  <c r="D14" i="4"/>
  <c r="D6" i="4"/>
  <c r="D5" i="4"/>
  <c r="H102" i="4" l="1"/>
  <c r="H57" i="4"/>
  <c r="H73" i="4"/>
  <c r="H89" i="4"/>
  <c r="H41" i="4"/>
  <c r="H29" i="4"/>
  <c r="H33" i="4"/>
  <c r="H9" i="4"/>
  <c r="H21" i="4"/>
  <c r="H17" i="4"/>
  <c r="G112" i="4"/>
  <c r="E117" i="4"/>
  <c r="D117" i="4"/>
  <c r="E116" i="4"/>
  <c r="D116" i="4"/>
  <c r="H112" i="4" l="1"/>
  <c r="G110" i="124"/>
  <c r="G109" i="124"/>
  <c r="G108" i="124"/>
  <c r="G107" i="124"/>
  <c r="G106" i="124"/>
  <c r="G105" i="124"/>
  <c r="G104" i="124"/>
  <c r="G103" i="124"/>
  <c r="G102" i="124"/>
  <c r="G101" i="124"/>
  <c r="G100" i="124"/>
  <c r="G99" i="124"/>
  <c r="E118" i="4"/>
  <c r="F116" i="4"/>
  <c r="F117" i="4"/>
  <c r="D118" i="4"/>
  <c r="G47" i="124"/>
  <c r="F118" i="4" l="1"/>
  <c r="E119" i="4"/>
  <c r="D112" i="4"/>
  <c r="G105" i="113" l="1"/>
  <c r="F105" i="113"/>
  <c r="E105" i="113"/>
  <c r="D105" i="113"/>
  <c r="C105" i="113"/>
  <c r="B105" i="113"/>
  <c r="H104" i="113"/>
  <c r="J104" i="113" s="1"/>
  <c r="K104" i="113" s="1"/>
  <c r="H103" i="113"/>
  <c r="J103" i="113" s="1"/>
  <c r="K103" i="113" s="1"/>
  <c r="L103" i="113" s="1"/>
  <c r="H102" i="113"/>
  <c r="J102" i="113" s="1"/>
  <c r="K102" i="113" s="1"/>
  <c r="L102" i="113" s="1"/>
  <c r="H101" i="113"/>
  <c r="J101" i="113" s="1"/>
  <c r="H100" i="113"/>
  <c r="J100" i="113" s="1"/>
  <c r="H99" i="113"/>
  <c r="J99" i="113" s="1"/>
  <c r="K99" i="113" s="1"/>
  <c r="L99" i="113" s="1"/>
  <c r="H98" i="113"/>
  <c r="J98" i="113" s="1"/>
  <c r="H97" i="113"/>
  <c r="J97" i="113" s="1"/>
  <c r="H96" i="113"/>
  <c r="J96" i="113" s="1"/>
  <c r="H95" i="113"/>
  <c r="H94" i="113"/>
  <c r="J94" i="113" s="1"/>
  <c r="H93" i="113"/>
  <c r="J93" i="113" s="1"/>
  <c r="K93" i="113" s="1"/>
  <c r="H92" i="113"/>
  <c r="J92" i="113" s="1"/>
  <c r="H91" i="113"/>
  <c r="J91" i="113" s="1"/>
  <c r="K91" i="113" s="1"/>
  <c r="L91" i="113" s="1"/>
  <c r="H90" i="113"/>
  <c r="J90" i="113" s="1"/>
  <c r="H89" i="113"/>
  <c r="J89" i="113" s="1"/>
  <c r="H88" i="113"/>
  <c r="J88" i="113" s="1"/>
  <c r="H87" i="113"/>
  <c r="J87" i="113" s="1"/>
  <c r="K87" i="113" s="1"/>
  <c r="L87" i="113" s="1"/>
  <c r="H86" i="113"/>
  <c r="J86" i="113" s="1"/>
  <c r="H85" i="113"/>
  <c r="J85" i="113" s="1"/>
  <c r="H84" i="113"/>
  <c r="J84" i="113" s="1"/>
  <c r="H83" i="113"/>
  <c r="J83" i="113" s="1"/>
  <c r="K83" i="113" s="1"/>
  <c r="L83" i="113" s="1"/>
  <c r="H82" i="113"/>
  <c r="J82" i="113" s="1"/>
  <c r="H81" i="113"/>
  <c r="J81" i="113" s="1"/>
  <c r="H80" i="113"/>
  <c r="J80" i="113" s="1"/>
  <c r="H79" i="113"/>
  <c r="H78" i="113"/>
  <c r="J78" i="113" s="1"/>
  <c r="H77" i="113"/>
  <c r="J77" i="113" s="1"/>
  <c r="K77" i="113" s="1"/>
  <c r="H76" i="113"/>
  <c r="J76" i="113" s="1"/>
  <c r="H75" i="113"/>
  <c r="J75" i="113" s="1"/>
  <c r="K75" i="113" s="1"/>
  <c r="L75" i="113" s="1"/>
  <c r="H74" i="113"/>
  <c r="J74" i="113" s="1"/>
  <c r="H73" i="113"/>
  <c r="J73" i="113" s="1"/>
  <c r="H72" i="113"/>
  <c r="J72" i="113" s="1"/>
  <c r="H71" i="113"/>
  <c r="J71" i="113" s="1"/>
  <c r="K71" i="113" s="1"/>
  <c r="L71" i="113" s="1"/>
  <c r="H70" i="113"/>
  <c r="J70" i="113" s="1"/>
  <c r="H69" i="113"/>
  <c r="J69" i="113" s="1"/>
  <c r="K69" i="113" s="1"/>
  <c r="H68" i="113"/>
  <c r="J68" i="113" s="1"/>
  <c r="H67" i="113"/>
  <c r="J67" i="113" s="1"/>
  <c r="K67" i="113" s="1"/>
  <c r="L67" i="113" s="1"/>
  <c r="H66" i="113"/>
  <c r="J66" i="113" s="1"/>
  <c r="H65" i="113"/>
  <c r="J65" i="113" s="1"/>
  <c r="H64" i="113"/>
  <c r="J64" i="113" s="1"/>
  <c r="H63" i="113"/>
  <c r="H62" i="113"/>
  <c r="J62" i="113" s="1"/>
  <c r="H61" i="113"/>
  <c r="J61" i="113" s="1"/>
  <c r="K61" i="113" s="1"/>
  <c r="H60" i="113"/>
  <c r="J60" i="113" s="1"/>
  <c r="H59" i="113"/>
  <c r="J59" i="113" s="1"/>
  <c r="K59" i="113" s="1"/>
  <c r="L59" i="113" s="1"/>
  <c r="H58" i="113"/>
  <c r="J58" i="113" s="1"/>
  <c r="H57" i="113"/>
  <c r="J57" i="113" s="1"/>
  <c r="H56" i="113"/>
  <c r="J56" i="113" s="1"/>
  <c r="H55" i="113"/>
  <c r="J55" i="113" s="1"/>
  <c r="K55" i="113" s="1"/>
  <c r="L55" i="113" s="1"/>
  <c r="H54" i="113"/>
  <c r="J54" i="113" s="1"/>
  <c r="H53" i="113"/>
  <c r="J53" i="113" s="1"/>
  <c r="K53" i="113" s="1"/>
  <c r="H52" i="113"/>
  <c r="J52" i="113" s="1"/>
  <c r="H51" i="113"/>
  <c r="J51" i="113" s="1"/>
  <c r="K51" i="113" s="1"/>
  <c r="L51" i="113" s="1"/>
  <c r="H50" i="113"/>
  <c r="J50" i="113" s="1"/>
  <c r="H49" i="113"/>
  <c r="J49" i="113" s="1"/>
  <c r="H48" i="113"/>
  <c r="J48" i="113" s="1"/>
  <c r="H47" i="113"/>
  <c r="J47" i="113" s="1"/>
  <c r="K47" i="113" s="1"/>
  <c r="L47" i="113" s="1"/>
  <c r="H46" i="113"/>
  <c r="J46" i="113" s="1"/>
  <c r="H45" i="113"/>
  <c r="J45" i="113" s="1"/>
  <c r="K45" i="113" s="1"/>
  <c r="H44" i="113"/>
  <c r="J44" i="113" s="1"/>
  <c r="H43" i="113"/>
  <c r="J43" i="113" s="1"/>
  <c r="K43" i="113" s="1"/>
  <c r="L43" i="113" s="1"/>
  <c r="H42" i="113"/>
  <c r="J42" i="113" s="1"/>
  <c r="H41" i="113"/>
  <c r="J41" i="113" s="1"/>
  <c r="H40" i="113"/>
  <c r="J40" i="113" s="1"/>
  <c r="H39" i="113"/>
  <c r="H38" i="113"/>
  <c r="J38" i="113" s="1"/>
  <c r="H37" i="113"/>
  <c r="J37" i="113" s="1"/>
  <c r="H36" i="113"/>
  <c r="J36" i="113" s="1"/>
  <c r="H35" i="113"/>
  <c r="J35" i="113" s="1"/>
  <c r="K35" i="113" s="1"/>
  <c r="L35" i="113" s="1"/>
  <c r="H34" i="113"/>
  <c r="J34" i="113" s="1"/>
  <c r="H33" i="113"/>
  <c r="J33" i="113" s="1"/>
  <c r="H32" i="113"/>
  <c r="J32" i="113" s="1"/>
  <c r="H31" i="113"/>
  <c r="H30" i="113"/>
  <c r="J30" i="113" s="1"/>
  <c r="H29" i="113"/>
  <c r="J29" i="113" s="1"/>
  <c r="K29" i="113" s="1"/>
  <c r="H28" i="113"/>
  <c r="J28" i="113" s="1"/>
  <c r="H27" i="113"/>
  <c r="J27" i="113" s="1"/>
  <c r="K27" i="113" s="1"/>
  <c r="L27" i="113" s="1"/>
  <c r="H26" i="113"/>
  <c r="J26" i="113" s="1"/>
  <c r="H25" i="113"/>
  <c r="J25" i="113" s="1"/>
  <c r="H24" i="113"/>
  <c r="J24" i="113" s="1"/>
  <c r="H23" i="113"/>
  <c r="J23" i="113" s="1"/>
  <c r="H22" i="113"/>
  <c r="J22" i="113" s="1"/>
  <c r="H21" i="113"/>
  <c r="J21" i="113" s="1"/>
  <c r="H20" i="113"/>
  <c r="J20" i="113" s="1"/>
  <c r="H19" i="113"/>
  <c r="J19" i="113" s="1"/>
  <c r="H18" i="113"/>
  <c r="J18" i="113" s="1"/>
  <c r="H17" i="113"/>
  <c r="J17" i="113" s="1"/>
  <c r="H16" i="113"/>
  <c r="J16" i="113" s="1"/>
  <c r="H15" i="113"/>
  <c r="H14" i="113"/>
  <c r="J14" i="113" s="1"/>
  <c r="H13" i="113"/>
  <c r="J13" i="113" s="1"/>
  <c r="K13" i="113" s="1"/>
  <c r="H12" i="113"/>
  <c r="J12" i="113" s="1"/>
  <c r="H11" i="113"/>
  <c r="J11" i="113" s="1"/>
  <c r="H10" i="113"/>
  <c r="J10" i="113" s="1"/>
  <c r="H9" i="113"/>
  <c r="J9" i="113" s="1"/>
  <c r="H8" i="113"/>
  <c r="J8" i="113" s="1"/>
  <c r="H7" i="113"/>
  <c r="H6" i="113"/>
  <c r="J6" i="113" s="1"/>
  <c r="H5" i="113"/>
  <c r="J5" i="113" s="1"/>
  <c r="C106" i="125"/>
  <c r="G96" i="124"/>
  <c r="H96" i="124" s="1"/>
  <c r="G95" i="124"/>
  <c r="H95" i="124" s="1"/>
  <c r="G94" i="124"/>
  <c r="H94" i="124" s="1"/>
  <c r="G92" i="124"/>
  <c r="H92" i="124" s="1"/>
  <c r="G91" i="124"/>
  <c r="H91" i="124" s="1"/>
  <c r="G87" i="124"/>
  <c r="H87" i="124" s="1"/>
  <c r="G85" i="124"/>
  <c r="H85" i="124" s="1"/>
  <c r="G84" i="124"/>
  <c r="H84" i="124" s="1"/>
  <c r="G83" i="124"/>
  <c r="H83" i="124" s="1"/>
  <c r="G82" i="124"/>
  <c r="H82" i="124" s="1"/>
  <c r="G81" i="124"/>
  <c r="H81" i="124" s="1"/>
  <c r="G80" i="124"/>
  <c r="H80" i="124" s="1"/>
  <c r="G79" i="124"/>
  <c r="H79" i="124" s="1"/>
  <c r="G78" i="124"/>
  <c r="H78" i="124" s="1"/>
  <c r="G77" i="124"/>
  <c r="H77" i="124" s="1"/>
  <c r="G76" i="124"/>
  <c r="H76" i="124" s="1"/>
  <c r="G74" i="124"/>
  <c r="H74" i="124" s="1"/>
  <c r="G73" i="124"/>
  <c r="H73" i="124" s="1"/>
  <c r="G72" i="124"/>
  <c r="H72" i="124" s="1"/>
  <c r="G71" i="124"/>
  <c r="H71" i="124" s="1"/>
  <c r="G70" i="124"/>
  <c r="H70" i="124" s="1"/>
  <c r="G69" i="124"/>
  <c r="H69" i="124" s="1"/>
  <c r="G68" i="124"/>
  <c r="H68" i="124" s="1"/>
  <c r="G67" i="124"/>
  <c r="H67" i="124" s="1"/>
  <c r="G66" i="124"/>
  <c r="H66" i="124" s="1"/>
  <c r="G65" i="124"/>
  <c r="H65" i="124" s="1"/>
  <c r="G64" i="124"/>
  <c r="H64" i="124" s="1"/>
  <c r="G63" i="124"/>
  <c r="H63" i="124" s="1"/>
  <c r="G62" i="124"/>
  <c r="H62" i="124" s="1"/>
  <c r="G61" i="124"/>
  <c r="H61" i="124" s="1"/>
  <c r="G60" i="124"/>
  <c r="H60" i="124" s="1"/>
  <c r="G59" i="124"/>
  <c r="H59" i="124" s="1"/>
  <c r="G58" i="124"/>
  <c r="H58" i="124" s="1"/>
  <c r="G57" i="124"/>
  <c r="H57" i="124" s="1"/>
  <c r="G54" i="124"/>
  <c r="H54" i="124" s="1"/>
  <c r="G53" i="124"/>
  <c r="H53" i="124" s="1"/>
  <c r="G51" i="124"/>
  <c r="H51" i="124" s="1"/>
  <c r="G50" i="124"/>
  <c r="H50" i="124" s="1"/>
  <c r="G49" i="124"/>
  <c r="H49" i="124" s="1"/>
  <c r="G48" i="124"/>
  <c r="H48" i="124" s="1"/>
  <c r="G46" i="124"/>
  <c r="H46" i="124" s="1"/>
  <c r="G45" i="124"/>
  <c r="H45" i="124" s="1"/>
  <c r="G38" i="124"/>
  <c r="H38" i="124" s="1"/>
  <c r="G37" i="124"/>
  <c r="H37" i="124" s="1"/>
  <c r="G36" i="124"/>
  <c r="H36" i="124" s="1"/>
  <c r="G35" i="124"/>
  <c r="H35" i="124" s="1"/>
  <c r="G34" i="124"/>
  <c r="H34" i="124" s="1"/>
  <c r="G33" i="124"/>
  <c r="H33" i="124" s="1"/>
  <c r="G32" i="124"/>
  <c r="H32" i="124" s="1"/>
  <c r="G31" i="124"/>
  <c r="H31" i="124" s="1"/>
  <c r="G30" i="124"/>
  <c r="H30" i="124" s="1"/>
  <c r="G29" i="124"/>
  <c r="H29" i="124" s="1"/>
  <c r="G28" i="124"/>
  <c r="H28" i="124" s="1"/>
  <c r="G27" i="124"/>
  <c r="H27" i="124" s="1"/>
  <c r="G26" i="124"/>
  <c r="H26" i="124" s="1"/>
  <c r="G25" i="124"/>
  <c r="H25" i="124" s="1"/>
  <c r="G24" i="124"/>
  <c r="H24" i="124" s="1"/>
  <c r="G23" i="124"/>
  <c r="H23" i="124" s="1"/>
  <c r="G22" i="124"/>
  <c r="H22" i="124" s="1"/>
  <c r="G21" i="124"/>
  <c r="H21" i="124" s="1"/>
  <c r="G20" i="124"/>
  <c r="H20" i="124" s="1"/>
  <c r="G19" i="124"/>
  <c r="H19" i="124" s="1"/>
  <c r="G18" i="124"/>
  <c r="H18" i="124" s="1"/>
  <c r="G17" i="124"/>
  <c r="H17" i="124" s="1"/>
  <c r="G16" i="124"/>
  <c r="H16" i="124" s="1"/>
  <c r="G15" i="124"/>
  <c r="H15" i="124" s="1"/>
  <c r="G14" i="124"/>
  <c r="H14" i="124" s="1"/>
  <c r="G13" i="124"/>
  <c r="H13" i="124" s="1"/>
  <c r="G12" i="124"/>
  <c r="H12" i="124" s="1"/>
  <c r="G11" i="124"/>
  <c r="H11" i="124" s="1"/>
  <c r="G10" i="124"/>
  <c r="H10" i="124" s="1"/>
  <c r="G9" i="124"/>
  <c r="H9" i="124" s="1"/>
  <c r="G8" i="124"/>
  <c r="F106" i="125"/>
  <c r="E5" i="124"/>
  <c r="F5" i="124" s="1"/>
  <c r="G5" i="124" s="1"/>
  <c r="H39" i="124"/>
  <c r="H40" i="124"/>
  <c r="H41" i="124"/>
  <c r="H42" i="124"/>
  <c r="H43" i="124"/>
  <c r="H44" i="124"/>
  <c r="H47" i="124"/>
  <c r="H52" i="124"/>
  <c r="H55" i="124"/>
  <c r="H56" i="124"/>
  <c r="H75" i="124"/>
  <c r="H86" i="124"/>
  <c r="H88" i="124"/>
  <c r="H89" i="124"/>
  <c r="H90" i="124"/>
  <c r="H93" i="124"/>
  <c r="H98" i="124"/>
  <c r="H8" i="124" l="1"/>
  <c r="E112" i="4"/>
  <c r="H105" i="113"/>
  <c r="I88" i="113" s="1"/>
  <c r="K17" i="113"/>
  <c r="L17" i="113" s="1"/>
  <c r="K33" i="113"/>
  <c r="L33" i="113" s="1"/>
  <c r="K49" i="113"/>
  <c r="L49" i="113" s="1"/>
  <c r="K65" i="113"/>
  <c r="L65" i="113" s="1"/>
  <c r="K81" i="113"/>
  <c r="L81" i="113" s="1"/>
  <c r="K97" i="113"/>
  <c r="L97" i="113" s="1"/>
  <c r="K9" i="113"/>
  <c r="L9" i="113" s="1"/>
  <c r="K25" i="113"/>
  <c r="L25" i="113" s="1"/>
  <c r="K41" i="113"/>
  <c r="L41" i="113" s="1"/>
  <c r="K57" i="113"/>
  <c r="L57" i="113" s="1"/>
  <c r="K73" i="113"/>
  <c r="L73" i="113" s="1"/>
  <c r="K89" i="113"/>
  <c r="L89" i="113" s="1"/>
  <c r="K101" i="113"/>
  <c r="L101" i="113" s="1"/>
  <c r="L45" i="113"/>
  <c r="L61" i="113"/>
  <c r="J7" i="113"/>
  <c r="K7" i="113" s="1"/>
  <c r="L7" i="113" s="1"/>
  <c r="J15" i="113"/>
  <c r="K15" i="113" s="1"/>
  <c r="L15" i="113" s="1"/>
  <c r="J31" i="113"/>
  <c r="K31" i="113" s="1"/>
  <c r="L31" i="113" s="1"/>
  <c r="J39" i="113"/>
  <c r="K39" i="113" s="1"/>
  <c r="L39" i="113" s="1"/>
  <c r="J63" i="113"/>
  <c r="K63" i="113" s="1"/>
  <c r="L63" i="113" s="1"/>
  <c r="J79" i="113"/>
  <c r="K79" i="113" s="1"/>
  <c r="L79" i="113" s="1"/>
  <c r="J95" i="113"/>
  <c r="K95" i="113" s="1"/>
  <c r="L95" i="113" s="1"/>
  <c r="K85" i="113"/>
  <c r="L85" i="113" s="1"/>
  <c r="K37" i="113"/>
  <c r="L37" i="113" s="1"/>
  <c r="K21" i="113"/>
  <c r="L21" i="113" s="1"/>
  <c r="L13" i="113"/>
  <c r="L29" i="113"/>
  <c r="L53" i="113"/>
  <c r="L69" i="113"/>
  <c r="L77" i="113"/>
  <c r="L93" i="113"/>
  <c r="L104" i="113"/>
  <c r="K5" i="113"/>
  <c r="K8" i="113"/>
  <c r="L8" i="113" s="1"/>
  <c r="K16" i="113"/>
  <c r="L16" i="113" s="1"/>
  <c r="K24" i="113"/>
  <c r="L24" i="113" s="1"/>
  <c r="K32" i="113"/>
  <c r="L32" i="113" s="1"/>
  <c r="K40" i="113"/>
  <c r="L40" i="113" s="1"/>
  <c r="K48" i="113"/>
  <c r="L48" i="113" s="1"/>
  <c r="K56" i="113"/>
  <c r="L56" i="113" s="1"/>
  <c r="K72" i="113"/>
  <c r="L72" i="113" s="1"/>
  <c r="K96" i="113"/>
  <c r="L96" i="113" s="1"/>
  <c r="K10" i="113"/>
  <c r="L10" i="113" s="1"/>
  <c r="K18" i="113"/>
  <c r="L18" i="113" s="1"/>
  <c r="K26" i="113"/>
  <c r="L26" i="113" s="1"/>
  <c r="K34" i="113"/>
  <c r="L34" i="113" s="1"/>
  <c r="K42" i="113"/>
  <c r="L42" i="113" s="1"/>
  <c r="K50" i="113"/>
  <c r="L50" i="113" s="1"/>
  <c r="K58" i="113"/>
  <c r="L58" i="113" s="1"/>
  <c r="K66" i="113"/>
  <c r="L66" i="113" s="1"/>
  <c r="K74" i="113"/>
  <c r="L74" i="113" s="1"/>
  <c r="K82" i="113"/>
  <c r="L82" i="113" s="1"/>
  <c r="K90" i="113"/>
  <c r="L90" i="113" s="1"/>
  <c r="K98" i="113"/>
  <c r="L98" i="113" s="1"/>
  <c r="K12" i="113"/>
  <c r="L12" i="113" s="1"/>
  <c r="K20" i="113"/>
  <c r="L20" i="113" s="1"/>
  <c r="K28" i="113"/>
  <c r="L28" i="113" s="1"/>
  <c r="K36" i="113"/>
  <c r="L36" i="113" s="1"/>
  <c r="K44" i="113"/>
  <c r="L44" i="113" s="1"/>
  <c r="K52" i="113"/>
  <c r="L52" i="113" s="1"/>
  <c r="K60" i="113"/>
  <c r="L60" i="113" s="1"/>
  <c r="K68" i="113"/>
  <c r="L68" i="113" s="1"/>
  <c r="K76" i="113"/>
  <c r="L76" i="113" s="1"/>
  <c r="K84" i="113"/>
  <c r="L84" i="113" s="1"/>
  <c r="K92" i="113"/>
  <c r="L92" i="113" s="1"/>
  <c r="K100" i="113"/>
  <c r="L100" i="113" s="1"/>
  <c r="K6" i="113"/>
  <c r="L6" i="113" s="1"/>
  <c r="K14" i="113"/>
  <c r="L14" i="113" s="1"/>
  <c r="K22" i="113"/>
  <c r="L22" i="113" s="1"/>
  <c r="K30" i="113"/>
  <c r="L30" i="113" s="1"/>
  <c r="K38" i="113"/>
  <c r="L38" i="113" s="1"/>
  <c r="K46" i="113"/>
  <c r="L46" i="113" s="1"/>
  <c r="K54" i="113"/>
  <c r="L54" i="113" s="1"/>
  <c r="K62" i="113"/>
  <c r="L62" i="113" s="1"/>
  <c r="K70" i="113"/>
  <c r="L70" i="113" s="1"/>
  <c r="K78" i="113"/>
  <c r="L78" i="113" s="1"/>
  <c r="K86" i="113"/>
  <c r="L86" i="113" s="1"/>
  <c r="K94" i="113"/>
  <c r="L94" i="113" s="1"/>
  <c r="K64" i="113"/>
  <c r="L64" i="113" s="1"/>
  <c r="K80" i="113"/>
  <c r="L80" i="113" s="1"/>
  <c r="K88" i="113"/>
  <c r="L88" i="113" s="1"/>
  <c r="K23" i="113"/>
  <c r="L23" i="113" s="1"/>
  <c r="K19" i="113"/>
  <c r="L19" i="113" s="1"/>
  <c r="K11" i="113"/>
  <c r="L11" i="113" s="1"/>
  <c r="I65" i="113"/>
  <c r="C104" i="125"/>
  <c r="D104" i="125" s="1"/>
  <c r="C103" i="125"/>
  <c r="D103" i="125" s="1"/>
  <c r="C102" i="125"/>
  <c r="D102" i="125" s="1"/>
  <c r="C101" i="125"/>
  <c r="D101" i="125" s="1"/>
  <c r="C100" i="125"/>
  <c r="D100" i="125" s="1"/>
  <c r="C99" i="125"/>
  <c r="D99" i="125" s="1"/>
  <c r="C98" i="125"/>
  <c r="D98" i="125" s="1"/>
  <c r="C97" i="125"/>
  <c r="D97" i="125" s="1"/>
  <c r="C96" i="125"/>
  <c r="D96" i="125" s="1"/>
  <c r="C95" i="125"/>
  <c r="D95" i="125" s="1"/>
  <c r="C94" i="125"/>
  <c r="D94" i="125" s="1"/>
  <c r="C93" i="125"/>
  <c r="D93" i="125" s="1"/>
  <c r="C92" i="125"/>
  <c r="D92" i="125" s="1"/>
  <c r="C91" i="125"/>
  <c r="D91" i="125" s="1"/>
  <c r="C90" i="125"/>
  <c r="D90" i="125" s="1"/>
  <c r="C89" i="125"/>
  <c r="D89" i="125" s="1"/>
  <c r="C88" i="125"/>
  <c r="D88" i="125" s="1"/>
  <c r="C87" i="125"/>
  <c r="D87" i="125" s="1"/>
  <c r="C86" i="125"/>
  <c r="D86" i="125" s="1"/>
  <c r="C85" i="125"/>
  <c r="D85" i="125" s="1"/>
  <c r="C84" i="125"/>
  <c r="D84" i="125" s="1"/>
  <c r="C83" i="125"/>
  <c r="D83" i="125" s="1"/>
  <c r="C82" i="125"/>
  <c r="D82" i="125" s="1"/>
  <c r="C81" i="125"/>
  <c r="D81" i="125" s="1"/>
  <c r="C80" i="125"/>
  <c r="D80" i="125" s="1"/>
  <c r="C79" i="125"/>
  <c r="D79" i="125" s="1"/>
  <c r="C78" i="125"/>
  <c r="D78" i="125" s="1"/>
  <c r="C77" i="125"/>
  <c r="D77" i="125" s="1"/>
  <c r="C76" i="125"/>
  <c r="D76" i="125" s="1"/>
  <c r="C75" i="125"/>
  <c r="D75" i="125" s="1"/>
  <c r="C74" i="125"/>
  <c r="D74" i="125" s="1"/>
  <c r="C73" i="125"/>
  <c r="D73" i="125" s="1"/>
  <c r="C72" i="125"/>
  <c r="D72" i="125" s="1"/>
  <c r="C71" i="125"/>
  <c r="D71" i="125" s="1"/>
  <c r="C70" i="125"/>
  <c r="D70" i="125" s="1"/>
  <c r="C69" i="125"/>
  <c r="D69" i="125" s="1"/>
  <c r="C68" i="125"/>
  <c r="D68" i="125" s="1"/>
  <c r="C67" i="125"/>
  <c r="D67" i="125" s="1"/>
  <c r="C66" i="125"/>
  <c r="D66" i="125" s="1"/>
  <c r="C65" i="125"/>
  <c r="D65" i="125" s="1"/>
  <c r="C64" i="125"/>
  <c r="D64" i="125" s="1"/>
  <c r="C63" i="125"/>
  <c r="D63" i="125" s="1"/>
  <c r="C62" i="125"/>
  <c r="D62" i="125" s="1"/>
  <c r="C61" i="125"/>
  <c r="D61" i="125" s="1"/>
  <c r="C60" i="125"/>
  <c r="D60" i="125" s="1"/>
  <c r="C59" i="125"/>
  <c r="D59" i="125" s="1"/>
  <c r="C58" i="125"/>
  <c r="D58" i="125" s="1"/>
  <c r="C57" i="125"/>
  <c r="D57" i="125" s="1"/>
  <c r="C56" i="125"/>
  <c r="D56" i="125" s="1"/>
  <c r="C55" i="125"/>
  <c r="D55" i="125" s="1"/>
  <c r="C54" i="125"/>
  <c r="D54" i="125" s="1"/>
  <c r="C53" i="125"/>
  <c r="D53" i="125" s="1"/>
  <c r="C52" i="125"/>
  <c r="D52" i="125" s="1"/>
  <c r="C51" i="125"/>
  <c r="D51" i="125" s="1"/>
  <c r="C50" i="125"/>
  <c r="D50" i="125" s="1"/>
  <c r="C49" i="125"/>
  <c r="D49" i="125" s="1"/>
  <c r="C48" i="125"/>
  <c r="D48" i="125" s="1"/>
  <c r="C47" i="125"/>
  <c r="D47" i="125" s="1"/>
  <c r="C46" i="125"/>
  <c r="D46" i="125" s="1"/>
  <c r="C45" i="125"/>
  <c r="D45" i="125" s="1"/>
  <c r="C44" i="125"/>
  <c r="D44" i="125" s="1"/>
  <c r="C43" i="125"/>
  <c r="D43" i="125" s="1"/>
  <c r="C42" i="125"/>
  <c r="D42" i="125" s="1"/>
  <c r="C41" i="125"/>
  <c r="D41" i="125" s="1"/>
  <c r="C40" i="125"/>
  <c r="D40" i="125" s="1"/>
  <c r="C39" i="125"/>
  <c r="D39" i="125" s="1"/>
  <c r="C38" i="125"/>
  <c r="D38" i="125" s="1"/>
  <c r="C37" i="125"/>
  <c r="D37" i="125" s="1"/>
  <c r="C36" i="125"/>
  <c r="D36" i="125" s="1"/>
  <c r="C35" i="125"/>
  <c r="D35" i="125" s="1"/>
  <c r="C34" i="125"/>
  <c r="D34" i="125" s="1"/>
  <c r="C33" i="125"/>
  <c r="D33" i="125" s="1"/>
  <c r="C32" i="125"/>
  <c r="D32" i="125" s="1"/>
  <c r="C31" i="125"/>
  <c r="D31" i="125" s="1"/>
  <c r="C30" i="125"/>
  <c r="D30" i="125" s="1"/>
  <c r="C29" i="125"/>
  <c r="D29" i="125" s="1"/>
  <c r="C28" i="125"/>
  <c r="D28" i="125" s="1"/>
  <c r="C27" i="125"/>
  <c r="D27" i="125" s="1"/>
  <c r="C26" i="125"/>
  <c r="D26" i="125" s="1"/>
  <c r="C25" i="125"/>
  <c r="D25" i="125" s="1"/>
  <c r="C24" i="125"/>
  <c r="D24" i="125" s="1"/>
  <c r="C23" i="125"/>
  <c r="D23" i="125" s="1"/>
  <c r="C22" i="125"/>
  <c r="D22" i="125" s="1"/>
  <c r="C21" i="125"/>
  <c r="D21" i="125" s="1"/>
  <c r="C20" i="125"/>
  <c r="D20" i="125" s="1"/>
  <c r="C19" i="125"/>
  <c r="D19" i="125" s="1"/>
  <c r="C18" i="125"/>
  <c r="D18" i="125" s="1"/>
  <c r="C17" i="125"/>
  <c r="D17" i="125" s="1"/>
  <c r="C16" i="125"/>
  <c r="D16" i="125" s="1"/>
  <c r="C15" i="125"/>
  <c r="D15" i="125" s="1"/>
  <c r="C14" i="125"/>
  <c r="D14" i="125" s="1"/>
  <c r="C13" i="125"/>
  <c r="D13" i="125" s="1"/>
  <c r="C12" i="125"/>
  <c r="D12" i="125" s="1"/>
  <c r="C11" i="125"/>
  <c r="D11" i="125" s="1"/>
  <c r="C10" i="125"/>
  <c r="D10" i="125" s="1"/>
  <c r="C9" i="125"/>
  <c r="D9" i="125" s="1"/>
  <c r="C8" i="125"/>
  <c r="D8" i="125" s="1"/>
  <c r="C7" i="125"/>
  <c r="D7" i="125" s="1"/>
  <c r="C6" i="125"/>
  <c r="D6" i="125" s="1"/>
  <c r="C5" i="125"/>
  <c r="D5" i="125" s="1"/>
  <c r="F112" i="4" l="1"/>
  <c r="I93" i="113"/>
  <c r="I34" i="113"/>
  <c r="I76" i="113"/>
  <c r="I103" i="113"/>
  <c r="I44" i="113"/>
  <c r="I29" i="113"/>
  <c r="I98" i="113"/>
  <c r="I33" i="113"/>
  <c r="I12" i="113"/>
  <c r="I61" i="113"/>
  <c r="I66" i="113"/>
  <c r="I6" i="113"/>
  <c r="I70" i="113"/>
  <c r="I94" i="113"/>
  <c r="I99" i="113"/>
  <c r="I67" i="113"/>
  <c r="I35" i="113"/>
  <c r="I71" i="113"/>
  <c r="I101" i="113"/>
  <c r="I64" i="113"/>
  <c r="I46" i="113"/>
  <c r="I31" i="113"/>
  <c r="I72" i="113"/>
  <c r="I102" i="113"/>
  <c r="I41" i="113"/>
  <c r="I68" i="113"/>
  <c r="I69" i="113"/>
  <c r="I5" i="113"/>
  <c r="I58" i="113"/>
  <c r="I104" i="113"/>
  <c r="I54" i="113"/>
  <c r="I62" i="113"/>
  <c r="I75" i="113"/>
  <c r="I43" i="113"/>
  <c r="I11" i="113"/>
  <c r="I48" i="113"/>
  <c r="I14" i="113"/>
  <c r="I63" i="113"/>
  <c r="I8" i="113"/>
  <c r="I39" i="113"/>
  <c r="I23" i="113"/>
  <c r="I81" i="113"/>
  <c r="I49" i="113"/>
  <c r="I17" i="113"/>
  <c r="I28" i="113"/>
  <c r="I92" i="113"/>
  <c r="I77" i="113"/>
  <c r="I13" i="113"/>
  <c r="I89" i="113"/>
  <c r="I57" i="113"/>
  <c r="I25" i="113"/>
  <c r="I20" i="113"/>
  <c r="I52" i="113"/>
  <c r="I84" i="113"/>
  <c r="I85" i="113"/>
  <c r="I53" i="113"/>
  <c r="I21" i="113"/>
  <c r="I10" i="113"/>
  <c r="I42" i="113"/>
  <c r="I74" i="113"/>
  <c r="I22" i="113"/>
  <c r="I86" i="113"/>
  <c r="I91" i="113"/>
  <c r="I59" i="113"/>
  <c r="I27" i="113"/>
  <c r="I16" i="113"/>
  <c r="I80" i="113"/>
  <c r="I78" i="113"/>
  <c r="I95" i="113"/>
  <c r="I15" i="113"/>
  <c r="I87" i="113"/>
  <c r="I7" i="113"/>
  <c r="I97" i="113"/>
  <c r="I24" i="113"/>
  <c r="I73" i="113"/>
  <c r="I9" i="113"/>
  <c r="I36" i="113"/>
  <c r="I100" i="113"/>
  <c r="I37" i="113"/>
  <c r="I26" i="113"/>
  <c r="I90" i="113"/>
  <c r="I60" i="113"/>
  <c r="I45" i="113"/>
  <c r="I18" i="113"/>
  <c r="I50" i="113"/>
  <c r="I82" i="113"/>
  <c r="I38" i="113"/>
  <c r="I30" i="113"/>
  <c r="I83" i="113"/>
  <c r="I51" i="113"/>
  <c r="I19" i="113"/>
  <c r="I32" i="113"/>
  <c r="I96" i="113"/>
  <c r="I47" i="113"/>
  <c r="I79" i="113"/>
  <c r="I55" i="113"/>
  <c r="I56" i="113"/>
  <c r="I40" i="113"/>
  <c r="K105" i="113"/>
  <c r="J105" i="113"/>
  <c r="L5" i="113"/>
  <c r="L105" i="113" s="1"/>
  <c r="E5" i="125"/>
  <c r="E6" i="125"/>
  <c r="E7" i="125"/>
  <c r="E8" i="125"/>
  <c r="E9" i="125"/>
  <c r="E10" i="125"/>
  <c r="E11" i="125"/>
  <c r="E12" i="125"/>
  <c r="E13" i="125"/>
  <c r="E14" i="125"/>
  <c r="E15" i="125"/>
  <c r="E16" i="125"/>
  <c r="E17" i="125"/>
  <c r="E18" i="125"/>
  <c r="E19" i="125"/>
  <c r="E20" i="125"/>
  <c r="E21" i="125"/>
  <c r="E22" i="125"/>
  <c r="E23" i="125"/>
  <c r="E24" i="125"/>
  <c r="E25" i="125"/>
  <c r="E26" i="125"/>
  <c r="E27" i="125"/>
  <c r="E28" i="125"/>
  <c r="E29" i="125"/>
  <c r="E30" i="125"/>
  <c r="E31" i="125"/>
  <c r="E32" i="125"/>
  <c r="E33" i="125"/>
  <c r="E34" i="125"/>
  <c r="E35" i="125"/>
  <c r="E36" i="125"/>
  <c r="E37" i="125"/>
  <c r="E38" i="125"/>
  <c r="E39" i="125"/>
  <c r="E40" i="125"/>
  <c r="E41" i="125"/>
  <c r="E42" i="125"/>
  <c r="E43" i="125"/>
  <c r="E44" i="125"/>
  <c r="E45" i="125"/>
  <c r="E46" i="125"/>
  <c r="E47" i="125"/>
  <c r="E48" i="125"/>
  <c r="E49" i="125"/>
  <c r="E50" i="125"/>
  <c r="E51" i="125"/>
  <c r="E52" i="125"/>
  <c r="E53" i="125"/>
  <c r="E54" i="125"/>
  <c r="E55" i="125"/>
  <c r="E56" i="125"/>
  <c r="E57" i="125"/>
  <c r="E58" i="125"/>
  <c r="E59" i="125"/>
  <c r="E60" i="125"/>
  <c r="E61" i="125"/>
  <c r="E62" i="125"/>
  <c r="E63" i="125"/>
  <c r="E64" i="125"/>
  <c r="E65" i="125"/>
  <c r="E66" i="125"/>
  <c r="E67" i="125"/>
  <c r="E68" i="125"/>
  <c r="E69" i="125"/>
  <c r="E70" i="125"/>
  <c r="E71" i="125"/>
  <c r="E72" i="125"/>
  <c r="E73" i="125"/>
  <c r="E74" i="125"/>
  <c r="E75" i="125"/>
  <c r="E76" i="125"/>
  <c r="E77" i="125"/>
  <c r="E78" i="125"/>
  <c r="E79" i="125"/>
  <c r="E80" i="125"/>
  <c r="E81" i="125"/>
  <c r="E82" i="125"/>
  <c r="E83" i="125"/>
  <c r="E84" i="125"/>
  <c r="E85" i="125"/>
  <c r="E86" i="125"/>
  <c r="E87" i="125"/>
  <c r="E88" i="125"/>
  <c r="E89" i="125"/>
  <c r="E90" i="125"/>
  <c r="E91" i="125"/>
  <c r="E92" i="125"/>
  <c r="E93" i="125"/>
  <c r="E94" i="125"/>
  <c r="E95" i="125"/>
  <c r="E96" i="125"/>
  <c r="E97" i="125"/>
  <c r="E98" i="125"/>
  <c r="E99" i="125"/>
  <c r="E100" i="125"/>
  <c r="E101" i="125"/>
  <c r="E102" i="125"/>
  <c r="E103" i="125"/>
  <c r="E104" i="125"/>
  <c r="I105" i="113" l="1"/>
  <c r="E106" i="125"/>
  <c r="D106" i="125"/>
</calcChain>
</file>

<file path=xl/sharedStrings.xml><?xml version="1.0" encoding="utf-8"?>
<sst xmlns="http://schemas.openxmlformats.org/spreadsheetml/2006/main" count="685" uniqueCount="510">
  <si>
    <t>001</t>
  </si>
  <si>
    <t>015</t>
  </si>
  <si>
    <t>HOSP INPT-GENERAL</t>
  </si>
  <si>
    <t>019</t>
  </si>
  <si>
    <t>HOSP INPT-SPECIALITY</t>
  </si>
  <si>
    <t>017</t>
  </si>
  <si>
    <t>HOSP INPT-MTL,  SO &lt; 21</t>
  </si>
  <si>
    <t>043</t>
  </si>
  <si>
    <t>HOSP OUTPT-MTL,  SO &lt;21</t>
  </si>
  <si>
    <t>041</t>
  </si>
  <si>
    <t>HOSP INPT-MTL, NSO &lt; 21</t>
  </si>
  <si>
    <t>058</t>
  </si>
  <si>
    <t>HOSP INPT-MTL, NSO &gt; 65</t>
  </si>
  <si>
    <t>018</t>
  </si>
  <si>
    <t>HOSP INPT-MTL,  SO &gt; 65</t>
  </si>
  <si>
    <t>025</t>
  </si>
  <si>
    <t>HOSP OUTPT-MTL,  SO &gt;65</t>
  </si>
  <si>
    <t>044</t>
  </si>
  <si>
    <t>HOSP OUTPT-MTL, NSO</t>
  </si>
  <si>
    <t>035</t>
  </si>
  <si>
    <t>LTC-SNF SO AND NSO</t>
  </si>
  <si>
    <t>036</t>
  </si>
  <si>
    <t>NF-SNF SWING BEDS</t>
  </si>
  <si>
    <t>020</t>
  </si>
  <si>
    <t>LTC-ICF SO AND NSO</t>
  </si>
  <si>
    <t>022</t>
  </si>
  <si>
    <t>NF-ICF SWING BEDS</t>
  </si>
  <si>
    <t>047</t>
  </si>
  <si>
    <t>LTC-ICF MRC, NSO</t>
  </si>
  <si>
    <t>021</t>
  </si>
  <si>
    <t>LTC-ICF MRC,  SO</t>
  </si>
  <si>
    <t>027</t>
  </si>
  <si>
    <t>PHYSICIAN</t>
  </si>
  <si>
    <t>007</t>
  </si>
  <si>
    <t>DENTAL</t>
  </si>
  <si>
    <t>029</t>
  </si>
  <si>
    <t>OPTICAL SUPPLIES</t>
  </si>
  <si>
    <t>028</t>
  </si>
  <si>
    <t>CHIROPRACTIC</t>
  </si>
  <si>
    <t>030</t>
  </si>
  <si>
    <t>OPTICAL</t>
  </si>
  <si>
    <t>046</t>
  </si>
  <si>
    <t>PODIATRY</t>
  </si>
  <si>
    <t>016</t>
  </si>
  <si>
    <t>HOSP OUTPT-GENERAL</t>
  </si>
  <si>
    <t>045</t>
  </si>
  <si>
    <t>HOSP OUTPT-SPECIALITY</t>
  </si>
  <si>
    <t>004</t>
  </si>
  <si>
    <t>003</t>
  </si>
  <si>
    <t>CLINICS-HEALTH DEPT</t>
  </si>
  <si>
    <t>002</t>
  </si>
  <si>
    <t>CLINICS-FREE STANDING</t>
  </si>
  <si>
    <t>006</t>
  </si>
  <si>
    <t>CLINICS-RURAL HEALTH</t>
  </si>
  <si>
    <t>080</t>
  </si>
  <si>
    <t>023</t>
  </si>
  <si>
    <t>LAB AND X-RAY</t>
  </si>
  <si>
    <t>014</t>
  </si>
  <si>
    <t>HOME HEALTH</t>
  </si>
  <si>
    <t>032</t>
  </si>
  <si>
    <t>PRESCRIBED DRUGS</t>
  </si>
  <si>
    <t>024</t>
  </si>
  <si>
    <t>FAMILY PLAN-STERILIZATION</t>
  </si>
  <si>
    <t>010</t>
  </si>
  <si>
    <t>FAMILY PLAN-HOSP INPT</t>
  </si>
  <si>
    <t>011</t>
  </si>
  <si>
    <t>FAMILY PLAN-HOSP OUTPT</t>
  </si>
  <si>
    <t>012</t>
  </si>
  <si>
    <t>FAMILY PLAN-PHYSICIAN</t>
  </si>
  <si>
    <t>038</t>
  </si>
  <si>
    <t>FAMILY PLAN-HEALTH DEPT</t>
  </si>
  <si>
    <t>008</t>
  </si>
  <si>
    <t>FAMILY PLAN-FREE STANDING</t>
  </si>
  <si>
    <t>081</t>
  </si>
  <si>
    <t>033</t>
  </si>
  <si>
    <t>HEALTH CHECK-HEALTH DEPT</t>
  </si>
  <si>
    <t>PART B BUY-IN NON CASH</t>
  </si>
  <si>
    <t>PART B BUY-IN CAT NEEDY</t>
  </si>
  <si>
    <t>AMBULANCE</t>
  </si>
  <si>
    <t>013</t>
  </si>
  <si>
    <t>HEARING AIDS</t>
  </si>
  <si>
    <t>053</t>
  </si>
  <si>
    <t>PERSONAL CARE</t>
  </si>
  <si>
    <t>073</t>
  </si>
  <si>
    <t>061</t>
  </si>
  <si>
    <t>034</t>
  </si>
  <si>
    <t>037</t>
  </si>
  <si>
    <t>031</t>
  </si>
  <si>
    <t>FAMILY PLAN-DRUGS</t>
  </si>
  <si>
    <t>069</t>
  </si>
  <si>
    <t>049</t>
  </si>
  <si>
    <t>084</t>
  </si>
  <si>
    <t>HIGH RISK INTERVENTION</t>
  </si>
  <si>
    <t>050</t>
  </si>
  <si>
    <t>HOSP OUTPT-EMERGENCY ROOM</t>
  </si>
  <si>
    <t>071</t>
  </si>
  <si>
    <t>NF-HEAD LEVEL OF CARE</t>
  </si>
  <si>
    <t>051</t>
  </si>
  <si>
    <t>072</t>
  </si>
  <si>
    <t>NF-VENT LEVEL OF CARE</t>
  </si>
  <si>
    <t>052</t>
  </si>
  <si>
    <t>055</t>
  </si>
  <si>
    <t>CAP-DISABLED</t>
  </si>
  <si>
    <t>056</t>
  </si>
  <si>
    <t>CAP-MENTALLY RETARDED</t>
  </si>
  <si>
    <t>057</t>
  </si>
  <si>
    <t>CAP-CHILDREN</t>
  </si>
  <si>
    <t>062</t>
  </si>
  <si>
    <t>CASE MANAGEMENT-FSO</t>
  </si>
  <si>
    <t>063</t>
  </si>
  <si>
    <t>054</t>
  </si>
  <si>
    <t>009</t>
  </si>
  <si>
    <t>NF-SNF SWING VENT CARE</t>
  </si>
  <si>
    <t>005</t>
  </si>
  <si>
    <t>064</t>
  </si>
  <si>
    <t>070</t>
  </si>
  <si>
    <t>078</t>
  </si>
  <si>
    <t>HMO PREMIUMS</t>
  </si>
  <si>
    <t>059</t>
  </si>
  <si>
    <t>HOME INFUSION THERAPY</t>
  </si>
  <si>
    <t>060</t>
  </si>
  <si>
    <t>HOSPICE</t>
  </si>
  <si>
    <t>PART A MEDICARE SUB-TOTAL</t>
  </si>
  <si>
    <t>PART B BUY-IN MQBQ</t>
  </si>
  <si>
    <t>PART B BUY-IN DUAL Q</t>
  </si>
  <si>
    <t>PART B BUY-IN MQBB</t>
  </si>
  <si>
    <t>PART B BUY-IN DUAL B</t>
  </si>
  <si>
    <t>065</t>
  </si>
  <si>
    <t>066</t>
  </si>
  <si>
    <t>067</t>
  </si>
  <si>
    <t>HEALTH CHECK-FQHC</t>
  </si>
  <si>
    <t>068</t>
  </si>
  <si>
    <t>040</t>
  </si>
  <si>
    <t>HOSP INPT-INDIAN HEALTH</t>
  </si>
  <si>
    <t>042</t>
  </si>
  <si>
    <t>HOSP OUTPT-INDIAN HEALTH</t>
  </si>
  <si>
    <t>039</t>
  </si>
  <si>
    <t>NF-INDIAN HEALTH</t>
  </si>
  <si>
    <t>075</t>
  </si>
  <si>
    <t>083</t>
  </si>
  <si>
    <t>026</t>
  </si>
  <si>
    <t>048</t>
  </si>
  <si>
    <t>AMBULATORY SURG CENTER</t>
  </si>
  <si>
    <t>074</t>
  </si>
  <si>
    <t>085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</si>
  <si>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</si>
  <si>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</si>
  <si>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</si>
  <si>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</si>
  <si>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</si>
  <si>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</si>
  <si>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</si>
  <si>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</si>
  <si>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</si>
  <si>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</si>
  <si>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</si>
  <si>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</si>
  <si>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</si>
  <si>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</si>
  <si>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</si>
  <si>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</si>
  <si>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</si>
  <si>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</si>
  <si>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</si>
  <si>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</si>
  <si>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</si>
  <si>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</si>
  <si>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</si>
  <si>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</si>
  <si>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</si>
  <si>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</si>
  <si>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</si>
  <si>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</si>
  <si>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</si>
  <si>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</si>
  <si>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</si>
  <si>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</si>
  <si>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</si>
  <si>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</si>
  <si>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</si>
  <si>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</si>
  <si>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</si>
  <si>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</si>
  <si>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</si>
  <si>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</si>
  <si>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</si>
  <si>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</si>
  <si>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</si>
  <si>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</si>
  <si>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</si>
  <si>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</si>
  <si>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</si>
  <si>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</si>
  <si>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</si>
  <si>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</si>
  <si>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</si>
  <si>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</si>
  <si>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</si>
  <si>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</si>
  <si>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</si>
  <si>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</si>
  <si>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</si>
  <si>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</si>
  <si>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</si>
  <si>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</si>
  <si>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</si>
  <si>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</si>
  <si>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</si>
  <si>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</si>
  <si>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</si>
  <si>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</si>
  <si>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</si>
  <si>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</si>
  <si>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</si>
  <si>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</si>
  <si>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</si>
  <si>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</si>
  <si>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</si>
  <si>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</si>
  <si>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</si>
  <si>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</si>
  <si>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</si>
  <si>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</si>
  <si>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</si>
  <si>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</si>
  <si>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</si>
  <si>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</si>
  <si>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</si>
  <si>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</si>
  <si>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</si>
  <si>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</si>
  <si>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</si>
  <si>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</si>
  <si>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</si>
  <si>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</si>
  <si>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</si>
  <si>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</si>
  <si>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</si>
  <si>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</si>
  <si>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</si>
  <si>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</si>
  <si>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</si>
  <si>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</si>
  <si>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</si>
  <si>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</si>
  <si>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 DESCRIPTION</t>
  </si>
  <si>
    <t>CLINICS-MENTAL HEALTH</t>
  </si>
  <si>
    <t>GROUP HEALTH PLAN</t>
  </si>
  <si>
    <t>COUNTY</t>
  </si>
  <si>
    <t>105</t>
  </si>
  <si>
    <t>106</t>
  </si>
  <si>
    <t>101</t>
  </si>
  <si>
    <t>107</t>
  </si>
  <si>
    <t>108</t>
  </si>
  <si>
    <t>110</t>
  </si>
  <si>
    <t>111</t>
  </si>
  <si>
    <t>NCAS ACCOUNT NUMBER</t>
  </si>
  <si>
    <t>COS NUMBER</t>
  </si>
  <si>
    <t>CATEGORY OF SERVICE DESCRIPTION</t>
  </si>
  <si>
    <t>STATE
FP RATE</t>
  </si>
  <si>
    <t>CHECK COLUMN</t>
  </si>
  <si>
    <t>Double Click above for the Word file</t>
  </si>
  <si>
    <t>CAP AIDS</t>
  </si>
  <si>
    <t>HIV CASE MANAGEMENT</t>
  </si>
  <si>
    <t>HEALTH CHECK-INDIAN HEALTH</t>
  </si>
  <si>
    <t>HEALTH CHECK-RURAL HLTH CTR</t>
  </si>
  <si>
    <t>HEALTH CHECK-OTHER PROV</t>
  </si>
  <si>
    <t>FAMILY PLAN-RURAL HLTH CTR</t>
  </si>
  <si>
    <t>CASE MANAGEMENT-NFP</t>
  </si>
  <si>
    <t>HOSP INPT-LONG TERM CARE</t>
  </si>
  <si>
    <t>HOSP INPT-GENERAL-XOVERS</t>
  </si>
  <si>
    <t>HOSP OUTPT-GENERAL-XOVERS</t>
  </si>
  <si>
    <t>LOCAL EDUCATION AGENCIES-FSO</t>
  </si>
  <si>
    <t>DURABLE MED EQUIPMENT</t>
  </si>
  <si>
    <t>HOSP INPT-VENT CARE</t>
  </si>
  <si>
    <t>CLINICS-DHS IMMUNIZATIONS</t>
  </si>
  <si>
    <t>PHYSICAL MED-NON PHYSICIAN</t>
  </si>
  <si>
    <t>CLINICS-FQHC, CORE &amp; AMBULATORY</t>
  </si>
  <si>
    <t>FAMILY PLANNING-FQHC</t>
  </si>
  <si>
    <t>ACH - PCS BASIC</t>
  </si>
  <si>
    <t>ACH - PCS ENHANCED</t>
  </si>
  <si>
    <t>HOME HEALTH-INDIAN HEALTH</t>
  </si>
  <si>
    <t>TRANSPORTATION-CNTY ADMIN</t>
  </si>
  <si>
    <t>ACF-TRANSPORTATION</t>
  </si>
  <si>
    <t>PROVIDER TAX</t>
  </si>
  <si>
    <t>CAP CHOICE</t>
  </si>
  <si>
    <t>DEPARTMENT OF HEALTH AND HUMAN SERVICES DIVISION OF MEDICAL ASSISTANCE</t>
  </si>
  <si>
    <t>PART D PAYMENTS</t>
  </si>
  <si>
    <t>TOTALS</t>
  </si>
  <si>
    <t>RATIOS</t>
  </si>
  <si>
    <t>HOSPITAL INPATIENT GENERAL</t>
  </si>
  <si>
    <t>HOSPITAL INPATIENT SPECIALTY</t>
  </si>
  <si>
    <t>HOSPITAL INPT MENTAL SO &lt; 21</t>
  </si>
  <si>
    <t>HOSPITAL OUTPT MENTAL SO &lt;21</t>
  </si>
  <si>
    <t>HOSPITAL INPT MENTAL NSO &lt; 21</t>
  </si>
  <si>
    <t>LTC NURSING FACILITY</t>
  </si>
  <si>
    <t>NF SNF SWING BEDS</t>
  </si>
  <si>
    <t>NF ICF SWING BEDS</t>
  </si>
  <si>
    <t>LTC ICF MRC  NSO</t>
  </si>
  <si>
    <t>LTC ICF MRC  SO</t>
  </si>
  <si>
    <t>HOSPITAL OUTPATIENT GENERAL</t>
  </si>
  <si>
    <t>HOSPITAL OUTPATIENT SPECIALITY</t>
  </si>
  <si>
    <t>CLINICS MENTAL HEALTH</t>
  </si>
  <si>
    <t>CLINICS HEALTH DEPT</t>
  </si>
  <si>
    <t>CLINICS FREE STANDING</t>
  </si>
  <si>
    <t>CLINICS RURAL HEALTH</t>
  </si>
  <si>
    <t>LABORATORY AND RADIOLOGY</t>
  </si>
  <si>
    <t>FAMILY PLANNING STERILIZATION</t>
  </si>
  <si>
    <t>FAMILY PLANNING HOSPITAL INPT</t>
  </si>
  <si>
    <t>FAMILY PLANNING HOSPITAL OUTPT</t>
  </si>
  <si>
    <t>FAMILY PLANNING PHYSICIAN</t>
  </si>
  <si>
    <t>FAMILY PLANNING HEALTH DEPT</t>
  </si>
  <si>
    <t>FAMILY PLANNING FREE STANDING</t>
  </si>
  <si>
    <t>HEALTH CHECK HEALTH DEPT</t>
  </si>
  <si>
    <t>PERSONAL CARE SERVICES</t>
  </si>
  <si>
    <t>HEALTH CHECK RURAL HEALTH CTR</t>
  </si>
  <si>
    <t>HEALTH CHECK OTHER PROVIDER</t>
  </si>
  <si>
    <t>FAMILY PLANNING RURAL HLTH CTR</t>
  </si>
  <si>
    <t>FAMILY PLANNING DRUGS</t>
  </si>
  <si>
    <t>CASE MANAGEMENT  NFP</t>
  </si>
  <si>
    <t>HOSPITAL INPT  LONG TERM CARE</t>
  </si>
  <si>
    <t>HOSPITAL EMERGENCY ROOM</t>
  </si>
  <si>
    <t>NF HEAD LEVEL OF CARE</t>
  </si>
  <si>
    <t>HOSPITAL INPATIENT CROSSOVERS</t>
  </si>
  <si>
    <t>NF VENT LEVEL OF CARE</t>
  </si>
  <si>
    <t>HOSPITAL OUTPATIENT CROSSOVERS</t>
  </si>
  <si>
    <t>CAP DISABLED</t>
  </si>
  <si>
    <t>CAP MENTALLY RETARDED</t>
  </si>
  <si>
    <t>CAP CHILDREN</t>
  </si>
  <si>
    <t>CASE MANAGEMENT  FSO</t>
  </si>
  <si>
    <t>LOCAL EDUCATION AGENCIES  FSO</t>
  </si>
  <si>
    <t>GROUP HEALTH PLANS</t>
  </si>
  <si>
    <t>DURABLE MEDICAL EQUIPMENT</t>
  </si>
  <si>
    <t>NF SNF SWING VENT CARE</t>
  </si>
  <si>
    <t>HOSPITAL INPATIENT VENT CARE</t>
  </si>
  <si>
    <t>PRACTITIONER NOT PHYSICIAN</t>
  </si>
  <si>
    <t>CLINICS FQHC CORE &amp; AMBULATORY</t>
  </si>
  <si>
    <t>FAMILY PLANNING FQHC</t>
  </si>
  <si>
    <t>HEALTH CHECK FQHC</t>
  </si>
  <si>
    <t>PARTIAL RATE INCREASES (SFY 2008)</t>
  </si>
  <si>
    <t>HOSP INPATIENT INDIAN HEALTH</t>
  </si>
  <si>
    <t>HOSP OUTPATIENT INDIAN HEALTH</t>
  </si>
  <si>
    <t>NF INDIAN HEALTH</t>
  </si>
  <si>
    <t>ACF PCS  BASIC</t>
  </si>
  <si>
    <t>ACF PCS  ENHANCED</t>
  </si>
  <si>
    <t>HOME HEALTH INDIAN HEALTH</t>
  </si>
  <si>
    <t>AMBULATORY SURGERY CENTER</t>
  </si>
  <si>
    <t>COUNTY TRANSPORTATION</t>
  </si>
  <si>
    <t>ACF TRANSPORTATION</t>
  </si>
  <si>
    <t xml:space="preserve">PART B MQBE BUYIN </t>
  </si>
  <si>
    <t>TOTAL REQUIREMENTS</t>
  </si>
  <si>
    <r>
      <t>MEDICAID</t>
    </r>
    <r>
      <rPr>
        <b/>
        <sz val="10"/>
        <color indexed="61"/>
        <rFont val="Arial"/>
        <family val="2"/>
      </rPr>
      <t xml:space="preserve"> ADMINISTRATIVE </t>
    </r>
    <r>
      <rPr>
        <b/>
        <sz val="10"/>
        <color indexed="12"/>
        <rFont val="Arial"/>
        <family val="2"/>
      </rPr>
      <t>EXPENDITURES</t>
    </r>
  </si>
  <si>
    <t>FEDERAL SHARE</t>
  </si>
  <si>
    <t>COUNTY SHARE</t>
  </si>
  <si>
    <t xml:space="preserve">(THESE ARE THE RATES THAT RESULT FROM THE BLENDING OF DIFFERENT MATCH RATES FOR </t>
  </si>
  <si>
    <t>NORMAL PROGRAM AID CATEGORIES AND THOSE WITH SPECIAL OR ENHANCED FMAP)</t>
  </si>
  <si>
    <t xml:space="preserve">COUNTY </t>
  </si>
  <si>
    <t>STATE SHARE</t>
  </si>
  <si>
    <t xml:space="preserve">  1. Alamance</t>
  </si>
  <si>
    <t xml:space="preserve">  2. Alexander</t>
  </si>
  <si>
    <t xml:space="preserve">  3. Alleghany</t>
  </si>
  <si>
    <t xml:space="preserve">  4. Anson</t>
  </si>
  <si>
    <t xml:space="preserve">  5. Ashe</t>
  </si>
  <si>
    <t xml:space="preserve">  6. Avery</t>
  </si>
  <si>
    <t xml:space="preserve">  7. Beaufort</t>
  </si>
  <si>
    <t xml:space="preserve">  8. Bertie</t>
  </si>
  <si>
    <t xml:space="preserve">  9. Bladen</t>
  </si>
  <si>
    <t xml:space="preserve"> 10. Brunswick</t>
  </si>
  <si>
    <t xml:space="preserve"> 11. Buncombe</t>
  </si>
  <si>
    <t xml:space="preserve"> 12. Burke</t>
  </si>
  <si>
    <t xml:space="preserve"> 13. Cabarrus</t>
  </si>
  <si>
    <t xml:space="preserve"> 14. Caldwell</t>
  </si>
  <si>
    <t xml:space="preserve"> 15. Camden</t>
  </si>
  <si>
    <t xml:space="preserve"> 16. Carteret</t>
  </si>
  <si>
    <t xml:space="preserve"> 17. Caswell</t>
  </si>
  <si>
    <t xml:space="preserve"> 18. Catawba</t>
  </si>
  <si>
    <t xml:space="preserve"> 19. Chatham</t>
  </si>
  <si>
    <t xml:space="preserve"> 20. Cherokee</t>
  </si>
  <si>
    <t xml:space="preserve"> 21. Chowan</t>
  </si>
  <si>
    <t xml:space="preserve"> 22. Clay</t>
  </si>
  <si>
    <t xml:space="preserve"> 23. Cleveland</t>
  </si>
  <si>
    <t xml:space="preserve"> 24. Columbus</t>
  </si>
  <si>
    <t xml:space="preserve"> 25. Craven</t>
  </si>
  <si>
    <t xml:space="preserve"> 26. Cumberland</t>
  </si>
  <si>
    <t xml:space="preserve"> 27. Currituck</t>
  </si>
  <si>
    <t xml:space="preserve"> 28. Dare</t>
  </si>
  <si>
    <t xml:space="preserve"> 29. Davidson</t>
  </si>
  <si>
    <t xml:space="preserve"> 30. Davie</t>
  </si>
  <si>
    <t xml:space="preserve"> 31. Duplin</t>
  </si>
  <si>
    <t xml:space="preserve"> 32. Durham</t>
  </si>
  <si>
    <t xml:space="preserve"> 33. Edgecombe</t>
  </si>
  <si>
    <t xml:space="preserve"> 34. Forsyth</t>
  </si>
  <si>
    <t xml:space="preserve"> 35. Franklin</t>
  </si>
  <si>
    <t xml:space="preserve"> 36. Gaston</t>
  </si>
  <si>
    <t xml:space="preserve"> 37. Gates</t>
  </si>
  <si>
    <t xml:space="preserve"> 38. Graham</t>
  </si>
  <si>
    <t xml:space="preserve"> 39. Granville</t>
  </si>
  <si>
    <t xml:space="preserve"> 40. Greene</t>
  </si>
  <si>
    <t xml:space="preserve"> 41. Guilford</t>
  </si>
  <si>
    <t xml:space="preserve"> 42. Halifax</t>
  </si>
  <si>
    <t xml:space="preserve"> 43. Harnett</t>
  </si>
  <si>
    <t xml:space="preserve"> 44. Haywood</t>
  </si>
  <si>
    <t xml:space="preserve"> 45. Henderson</t>
  </si>
  <si>
    <t xml:space="preserve"> 46. Hertford</t>
  </si>
  <si>
    <t xml:space="preserve"> 47. Hoke</t>
  </si>
  <si>
    <t xml:space="preserve"> 48. Hyde</t>
  </si>
  <si>
    <t xml:space="preserve"> 49. Iredell</t>
  </si>
  <si>
    <t xml:space="preserve"> 50. Jackson</t>
  </si>
  <si>
    <t xml:space="preserve"> 51. Johnston</t>
  </si>
  <si>
    <t xml:space="preserve"> 52. Jones</t>
  </si>
  <si>
    <t xml:space="preserve"> 53. Lee</t>
  </si>
  <si>
    <t xml:space="preserve"> 54. Lenoir</t>
  </si>
  <si>
    <t xml:space="preserve"> 55. Lincoln</t>
  </si>
  <si>
    <t xml:space="preserve"> 56. Macon</t>
  </si>
  <si>
    <t xml:space="preserve"> 57. Madison</t>
  </si>
  <si>
    <t xml:space="preserve"> 58. Martin</t>
  </si>
  <si>
    <t xml:space="preserve"> 59. McDowell</t>
  </si>
  <si>
    <t xml:space="preserve"> 60. Mecklenburg</t>
  </si>
  <si>
    <t xml:space="preserve"> 61. Mitchell</t>
  </si>
  <si>
    <t xml:space="preserve"> 62. Montgomery</t>
  </si>
  <si>
    <t xml:space="preserve"> 63. Moore</t>
  </si>
  <si>
    <t xml:space="preserve"> 64. Nash</t>
  </si>
  <si>
    <t xml:space="preserve"> 65. New Hanover</t>
  </si>
  <si>
    <t xml:space="preserve"> 66. Northampton</t>
  </si>
  <si>
    <t xml:space="preserve"> 67. Onslow</t>
  </si>
  <si>
    <t xml:space="preserve"> 68. Orange</t>
  </si>
  <si>
    <t xml:space="preserve"> 69. Pamlico</t>
  </si>
  <si>
    <t xml:space="preserve"> 70. Pasquotank</t>
  </si>
  <si>
    <t xml:space="preserve"> 71. Pender</t>
  </si>
  <si>
    <t xml:space="preserve"> 72. Perquimans</t>
  </si>
  <si>
    <t xml:space="preserve"> 73. Person</t>
  </si>
  <si>
    <t xml:space="preserve"> 74. Pitt</t>
  </si>
  <si>
    <t xml:space="preserve"> 75. Polk</t>
  </si>
  <si>
    <t xml:space="preserve"> 76. Randolph</t>
  </si>
  <si>
    <t xml:space="preserve"> 77. Richmond</t>
  </si>
  <si>
    <t xml:space="preserve"> 78. Robeson</t>
  </si>
  <si>
    <t xml:space="preserve"> 79. Rockingham</t>
  </si>
  <si>
    <t xml:space="preserve"> 80. Rowan</t>
  </si>
  <si>
    <t xml:space="preserve"> 81. Rutherford</t>
  </si>
  <si>
    <t xml:space="preserve"> 82. Sampson</t>
  </si>
  <si>
    <t xml:space="preserve"> 83. Scotland</t>
  </si>
  <si>
    <t xml:space="preserve"> 84. Stanly</t>
  </si>
  <si>
    <t xml:space="preserve"> 85. Stokes</t>
  </si>
  <si>
    <t xml:space="preserve"> 86. Surry</t>
  </si>
  <si>
    <t xml:space="preserve"> 87. Swain</t>
  </si>
  <si>
    <t xml:space="preserve"> 88. Transylvania</t>
  </si>
  <si>
    <t xml:space="preserve"> 89. Tyrrell</t>
  </si>
  <si>
    <t xml:space="preserve"> 90. Union</t>
  </si>
  <si>
    <t xml:space="preserve"> 91. Vance</t>
  </si>
  <si>
    <t xml:space="preserve"> 92. Wake</t>
  </si>
  <si>
    <t xml:space="preserve"> 93. Warren</t>
  </si>
  <si>
    <t xml:space="preserve"> 94. Washington</t>
  </si>
  <si>
    <t xml:space="preserve"> 95. Watauga</t>
  </si>
  <si>
    <t xml:space="preserve"> 96. Wayne</t>
  </si>
  <si>
    <t xml:space="preserve"> 97. Wilkes</t>
  </si>
  <si>
    <t xml:space="preserve"> 98. Wilson</t>
  </si>
  <si>
    <t xml:space="preserve"> 99. Yadkin</t>
  </si>
  <si>
    <t>100. Yancey</t>
  </si>
  <si>
    <t>ENHANCED FEDERAL
FP RATE</t>
  </si>
  <si>
    <t>REGULAR FEDERAL
FP RATE</t>
  </si>
  <si>
    <t>PARTIAL PAYMENTS</t>
  </si>
  <si>
    <t>SFY 2013 COUNTY ADMINISTERED TRANSPORTATION</t>
  </si>
  <si>
    <t>EDS-A/R INELIGIB CLAIMS</t>
  </si>
  <si>
    <t>Administrative $ From Monthly County Transportation Files</t>
  </si>
  <si>
    <t>5361CM085</t>
  </si>
  <si>
    <t>CARE MGMT PHYS CCNC NTWRK</t>
  </si>
  <si>
    <t>5361CM086</t>
  </si>
  <si>
    <t>5361CM087</t>
  </si>
  <si>
    <t>5361CM088</t>
  </si>
  <si>
    <t>5361PP070</t>
  </si>
  <si>
    <t>5361PP071</t>
  </si>
  <si>
    <t>5361PP072</t>
  </si>
  <si>
    <t>5361PP073</t>
  </si>
  <si>
    <t>5361PP074</t>
  </si>
  <si>
    <t>5361PP075</t>
  </si>
  <si>
    <t>5361PP076</t>
  </si>
  <si>
    <t>5361PP077</t>
  </si>
  <si>
    <t>Fund 1310</t>
  </si>
  <si>
    <t>Fund 1311</t>
  </si>
  <si>
    <t>Requirements</t>
  </si>
  <si>
    <t>CARE MGMT PHYSICIAN PMH</t>
  </si>
  <si>
    <t>CARE MGMT PHY PRG CASE MT</t>
  </si>
  <si>
    <t>CARE MGMT PHYS CHILD SV CRD</t>
  </si>
  <si>
    <t>PRV PYMTS - PH CAI&amp;CCNC PCP</t>
  </si>
  <si>
    <t>PR PT-PH CCNC ACD PCP MGT</t>
  </si>
  <si>
    <t>PR PMTS-CLIN HD PRIM CARE</t>
  </si>
  <si>
    <t>PP-CL HD CCNC ACD PCP MGT</t>
  </si>
  <si>
    <t>PR P-CLIN RH CAI&amp;CCNC PCP</t>
  </si>
  <si>
    <t>PP-CL RH CCNC ACD PCP MGT</t>
  </si>
  <si>
    <t>PR PMTS-FQHC CAI&amp;CCNC PCP</t>
  </si>
  <si>
    <t>PP-FQHC CCNC ACD PCP MGT</t>
  </si>
  <si>
    <t>State Share</t>
  </si>
  <si>
    <t>Fed Receipts</t>
  </si>
  <si>
    <t>PROJECTED COST FOR SFY 2016</t>
  </si>
  <si>
    <t>YEAR TO DATE DECEMBER 31, 2014</t>
  </si>
  <si>
    <t>SFY 2017 FINANCIAL PARTICIPATION RATES</t>
  </si>
  <si>
    <t>SFY 2017</t>
  </si>
  <si>
    <t>Federal Percentages Averaged From Fund 1310/1311 Certified Budget (BD307 SFY2016-17)</t>
  </si>
  <si>
    <t>SFY 2018 PROJECTED MEDICAID PROGRAM SERVICES EXPENDITURES (BC 14445, FUND 1310 &amp; 1311)</t>
  </si>
  <si>
    <t>SFY 2018 REQUIREMENTS</t>
  </si>
  <si>
    <t>SFY 2018 FEDERAL SHARE</t>
  </si>
  <si>
    <t>SFY 2018 STATE SHARE</t>
  </si>
  <si>
    <t>SFY 2018 COUNTY SHARE</t>
  </si>
  <si>
    <t>Funds 1310/1311 -- SFY 2018 WSI Budget Tie-Out (as of 01/06/2018):</t>
  </si>
  <si>
    <t>Total Funds 1310/1311</t>
  </si>
  <si>
    <t>Medicaid WSI Projected Budget</t>
  </si>
  <si>
    <t xml:space="preserve">COUNTIES SFY 2018 PROJECTED PORTION OF MEDICAID PROGRAM SERVICES EXPENDITURES </t>
  </si>
  <si>
    <t>COUNTY PROJECTED EXPENDITURES ON MEDICAID'S WSI SFY 2018 PROJECTED BUDGET</t>
  </si>
  <si>
    <t>Percentages by county calculated by DMA Budget from info received from DMA BIO on SFY2016 claim dollars.</t>
  </si>
  <si>
    <t>COUNTY PERCENTAGE OF TOTAL SFY 2016 CLAIMS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</si>
</sst>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_(&quot;$&quot;* #,##0_);_(&quot;$&quot;* \(#,##0\);_(&quot;$&quot;* &quot;-&quot;??_);_(@_)"/>
    <numFmt numFmtId="167" formatCode="0.00000000"/>
    <numFmt numFmtId="168" formatCode="0.0000000"/>
    <numFmt numFmtId="169" formatCode="#,##0.000000_);\(#,##0.000000\)"/>
    <numFmt numFmtId="170" formatCode="#,##0.0000_);\(#,##0.0000\)"/>
    <numFmt numFmtId="171" formatCode="[$-409]mmm\-yy;@"/>
    <numFmt numFmtId="172" formatCode="[$-409]mmmm\-yy;@"/>
    <numFmt numFmtId="173" formatCode="#,##0.00000_);\(#,##0.00000\)"/>
    <numFmt numFmtId="174" formatCode="0.0000000000"/>
    <numFmt numFmtId="175" formatCode="0.00000000000"/>
    <numFmt numFmtId="176" formatCode=";;;"/>
    <numFmt numFmtId="177" formatCode="0.0000000%"/>
    <numFmt numFmtId="178" formatCode="0.0000000000%"/>
  </numFmts>
  <fonts count="20" x14ac:knownFonts="1">
    <font>
      <sz val="10"/>
      <name val="System"/>
    </font>
    <font>
      <i/>
      <sz val="10"/>
      <name val="System"/>
      <family val="2"/>
    </font>
    <font>
      <sz val="10"/>
      <name val="Arial"/>
      <family val="2"/>
    </font>
    <font>
      <sz val="12"/>
      <name val="Helv"/>
    </font>
    <font>
      <b/>
      <sz val="14"/>
      <name val="Helv"/>
    </font>
    <font>
      <sz val="24"/>
      <color indexed="13"/>
      <name val="Helv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61"/>
      <name val="Arial"/>
      <family val="2"/>
    </font>
    <font>
      <sz val="10"/>
      <color indexed="12"/>
      <name val="Arial"/>
      <family val="2"/>
    </font>
    <font>
      <sz val="10"/>
      <color indexed="20"/>
      <name val="Arial"/>
      <family val="2"/>
    </font>
    <font>
      <b/>
      <sz val="10"/>
      <color indexed="20"/>
      <name val="Arial"/>
      <family val="2"/>
    </font>
    <font>
      <sz val="10"/>
      <color indexed="20"/>
      <name val="System"/>
      <family val="2"/>
    </font>
    <font>
      <b/>
      <sz val="9"/>
      <color indexed="20"/>
      <name val="Arial"/>
      <family val="2"/>
    </font>
    <font>
      <sz val="8"/>
      <color indexed="20"/>
      <name val="Arial"/>
      <family val="2"/>
    </font>
    <font>
      <sz val="9"/>
      <color indexed="20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u val="singleAccounting"/>
      <sz val="10"/>
      <color indexed="12"/>
      <name val="Arial"/>
      <family val="2"/>
    </font>
    <font>
      <b/>
      <sz val="10"/>
      <color rgb="FF8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12"/>
      </patternFill>
    </fill>
  </fills>
  <borders count="6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1"/>
    <xf numFmtId="0" fontId="4" fillId="2" borderId="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1"/>
    <xf numFmtId="0" fontId="5" fillId="3" borderId="0"/>
    <xf numFmtId="0" fontId="4" fillId="0" borderId="2"/>
    <xf numFmtId="0" fontId="4" fillId="0" borderId="1"/>
  </cellStyleXfs>
  <cellXfs count="212">
    <xf numFmtId="0" fontId="0" fillId="0" borderId="0" xfId="0"/>
    <xf numFmtId="0" fontId="7" fillId="0" borderId="3" xfId="0" applyFont="1" applyBorder="1"/>
    <xf numFmtId="0" fontId="6" fillId="0" borderId="0" xfId="0" applyFont="1"/>
    <xf numFmtId="0" fontId="7" fillId="0" borderId="4" xfId="0" applyFont="1" applyBorder="1"/>
    <xf numFmtId="0" fontId="7" fillId="0" borderId="5" xfId="0" applyFont="1" applyBorder="1"/>
    <xf numFmtId="37" fontId="6" fillId="0" borderId="0" xfId="0" applyNumberFormat="1" applyFont="1"/>
    <xf numFmtId="0" fontId="9" fillId="0" borderId="0" xfId="0" applyFont="1"/>
    <xf numFmtId="1" fontId="7" fillId="0" borderId="7" xfId="17" applyNumberFormat="1" applyFont="1" applyBorder="1" applyAlignment="1">
      <alignment horizontal="center"/>
    </xf>
    <xf numFmtId="1" fontId="7" fillId="0" borderId="9" xfId="17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6" xfId="0" applyFont="1" applyBorder="1"/>
    <xf numFmtId="0" fontId="9" fillId="0" borderId="0" xfId="0" applyFont="1" applyBorder="1"/>
    <xf numFmtId="164" fontId="9" fillId="0" borderId="0" xfId="1" applyNumberFormat="1" applyFont="1" applyBorder="1"/>
    <xf numFmtId="0" fontId="11" fillId="0" borderId="0" xfId="0" applyFont="1"/>
    <xf numFmtId="0" fontId="10" fillId="0" borderId="0" xfId="0" applyFont="1"/>
    <xf numFmtId="0" fontId="12" fillId="0" borderId="0" xfId="0" applyFont="1"/>
    <xf numFmtId="0" fontId="11" fillId="0" borderId="11" xfId="0" applyFont="1" applyBorder="1"/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Fill="1"/>
    <xf numFmtId="0" fontId="11" fillId="0" borderId="0" xfId="0" applyFont="1" applyAlignment="1">
      <alignment horizontal="center"/>
    </xf>
    <xf numFmtId="0" fontId="11" fillId="0" borderId="9" xfId="0" applyFont="1" applyBorder="1" applyAlignment="1">
      <alignment horizontal="center" wrapText="1"/>
    </xf>
    <xf numFmtId="10" fontId="10" fillId="0" borderId="9" xfId="0" applyNumberFormat="1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 wrapText="1"/>
    </xf>
    <xf numFmtId="42" fontId="9" fillId="0" borderId="0" xfId="1" applyNumberFormat="1" applyFont="1" applyFill="1" applyBorder="1"/>
    <xf numFmtId="42" fontId="9" fillId="0" borderId="0" xfId="0" applyNumberFormat="1" applyFont="1" applyFill="1" applyBorder="1"/>
    <xf numFmtId="164" fontId="9" fillId="0" borderId="0" xfId="1" applyNumberFormat="1" applyFont="1" applyFill="1" applyBorder="1"/>
    <xf numFmtId="0" fontId="11" fillId="0" borderId="12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Continuous" wrapText="1"/>
    </xf>
    <xf numFmtId="10" fontId="10" fillId="0" borderId="9" xfId="0" applyNumberFormat="1" applyFont="1" applyFill="1" applyBorder="1" applyAlignment="1">
      <alignment wrapText="1"/>
    </xf>
    <xf numFmtId="0" fontId="12" fillId="0" borderId="0" xfId="0" applyFont="1" applyFill="1"/>
    <xf numFmtId="37" fontId="10" fillId="0" borderId="0" xfId="0" applyNumberFormat="1" applyFont="1" applyFill="1"/>
    <xf numFmtId="37" fontId="15" fillId="0" borderId="0" xfId="0" applyNumberFormat="1" applyFont="1" applyFill="1"/>
    <xf numFmtId="169" fontId="10" fillId="0" borderId="0" xfId="0" applyNumberFormat="1" applyFont="1"/>
    <xf numFmtId="164" fontId="7" fillId="0" borderId="15" xfId="1" applyNumberFormat="1" applyFont="1" applyFill="1" applyBorder="1" applyAlignment="1">
      <alignment horizontal="center" wrapText="1"/>
    </xf>
    <xf numFmtId="42" fontId="9" fillId="0" borderId="17" xfId="0" applyNumberFormat="1" applyFont="1" applyFill="1" applyBorder="1"/>
    <xf numFmtId="0" fontId="0" fillId="0" borderId="0" xfId="0" applyAlignment="1"/>
    <xf numFmtId="164" fontId="7" fillId="0" borderId="6" xfId="1" applyNumberFormat="1" applyFont="1" applyFill="1" applyBorder="1" applyAlignment="1">
      <alignment horizontal="center" wrapText="1"/>
    </xf>
    <xf numFmtId="164" fontId="7" fillId="0" borderId="7" xfId="1" applyNumberFormat="1" applyFont="1" applyFill="1" applyBorder="1" applyAlignment="1">
      <alignment horizontal="center" wrapText="1"/>
    </xf>
    <xf numFmtId="164" fontId="7" fillId="0" borderId="18" xfId="1" applyNumberFormat="1" applyFont="1" applyFill="1" applyBorder="1" applyAlignment="1">
      <alignment horizontal="center" wrapText="1"/>
    </xf>
    <xf numFmtId="42" fontId="9" fillId="0" borderId="10" xfId="1" applyNumberFormat="1" applyFont="1" applyFill="1" applyBorder="1" applyAlignment="1">
      <alignment horizontal="center"/>
    </xf>
    <xf numFmtId="42" fontId="9" fillId="0" borderId="19" xfId="1" applyNumberFormat="1" applyFont="1" applyFill="1" applyBorder="1" applyAlignment="1">
      <alignment horizontal="center"/>
    </xf>
    <xf numFmtId="42" fontId="9" fillId="0" borderId="17" xfId="1" applyNumberFormat="1" applyFont="1" applyFill="1" applyBorder="1" applyAlignment="1">
      <alignment horizontal="center"/>
    </xf>
    <xf numFmtId="0" fontId="11" fillId="0" borderId="20" xfId="0" applyFont="1" applyFill="1" applyBorder="1"/>
    <xf numFmtId="0" fontId="13" fillId="0" borderId="21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wrapText="1"/>
    </xf>
    <xf numFmtId="0" fontId="11" fillId="0" borderId="22" xfId="0" applyFont="1" applyFill="1" applyBorder="1" applyAlignment="1">
      <alignment horizontal="center"/>
    </xf>
    <xf numFmtId="10" fontId="10" fillId="0" borderId="23" xfId="0" applyNumberFormat="1" applyFont="1" applyFill="1" applyBorder="1" applyAlignment="1">
      <alignment horizontal="center"/>
    </xf>
    <xf numFmtId="0" fontId="9" fillId="0" borderId="24" xfId="0" applyFont="1" applyBorder="1" applyAlignment="1">
      <alignment horizontal="center"/>
    </xf>
    <xf numFmtId="42" fontId="9" fillId="0" borderId="25" xfId="1" applyNumberFormat="1" applyFont="1" applyFill="1" applyBorder="1" applyAlignment="1">
      <alignment horizontal="center"/>
    </xf>
    <xf numFmtId="42" fontId="9" fillId="0" borderId="26" xfId="1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Continuous" wrapText="1"/>
    </xf>
    <xf numFmtId="171" fontId="7" fillId="0" borderId="6" xfId="0" applyNumberFormat="1" applyFont="1" applyFill="1" applyBorder="1" applyAlignment="1">
      <alignment horizontal="center"/>
    </xf>
    <xf numFmtId="0" fontId="7" fillId="0" borderId="27" xfId="0" applyFont="1" applyBorder="1"/>
    <xf numFmtId="0" fontId="7" fillId="0" borderId="27" xfId="0" applyFont="1" applyFill="1" applyBorder="1" applyAlignment="1">
      <alignment horizontal="center"/>
    </xf>
    <xf numFmtId="0" fontId="6" fillId="0" borderId="27" xfId="0" applyFont="1" applyBorder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18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/>
    <xf numFmtId="0" fontId="7" fillId="0" borderId="30" xfId="0" applyFont="1" applyBorder="1"/>
    <xf numFmtId="167" fontId="10" fillId="0" borderId="0" xfId="0" applyNumberFormat="1" applyFont="1"/>
    <xf numFmtId="168" fontId="10" fillId="0" borderId="0" xfId="0" applyNumberFormat="1" applyFont="1"/>
    <xf numFmtId="172" fontId="7" fillId="0" borderId="7" xfId="0" applyNumberFormat="1" applyFont="1" applyFill="1" applyBorder="1" applyAlignment="1">
      <alignment horizontal="center"/>
    </xf>
    <xf numFmtId="0" fontId="11" fillId="0" borderId="10" xfId="15" applyFont="1" applyBorder="1" applyAlignment="1">
      <alignment horizontal="center"/>
    </xf>
    <xf numFmtId="0" fontId="11" fillId="0" borderId="31" xfId="15" applyFont="1" applyBorder="1"/>
    <xf numFmtId="0" fontId="11" fillId="0" borderId="10" xfId="15" applyFont="1" applyFill="1" applyBorder="1" applyAlignment="1">
      <alignment horizontal="center"/>
    </xf>
    <xf numFmtId="0" fontId="11" fillId="0" borderId="31" xfId="15" applyFont="1" applyFill="1" applyBorder="1"/>
    <xf numFmtId="0" fontId="11" fillId="0" borderId="24" xfId="15" applyFont="1" applyBorder="1" applyAlignment="1">
      <alignment horizontal="center"/>
    </xf>
    <xf numFmtId="0" fontId="11" fillId="0" borderId="32" xfId="15" applyFont="1" applyBorder="1"/>
    <xf numFmtId="0" fontId="11" fillId="0" borderId="17" xfId="15" applyFont="1" applyBorder="1"/>
    <xf numFmtId="170" fontId="10" fillId="0" borderId="10" xfId="15" applyNumberFormat="1" applyFont="1" applyBorder="1" applyAlignment="1">
      <alignment horizontal="center"/>
    </xf>
    <xf numFmtId="170" fontId="10" fillId="0" borderId="19" xfId="15" applyNumberFormat="1" applyFont="1" applyBorder="1" applyAlignment="1">
      <alignment horizontal="center"/>
    </xf>
    <xf numFmtId="170" fontId="10" fillId="0" borderId="17" xfId="15" applyNumberFormat="1" applyFont="1" applyBorder="1" applyAlignment="1">
      <alignment horizontal="center"/>
    </xf>
    <xf numFmtId="0" fontId="11" fillId="0" borderId="33" xfId="0" applyFont="1" applyBorder="1"/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wrapText="1"/>
    </xf>
    <xf numFmtId="2" fontId="10" fillId="0" borderId="36" xfId="0" applyNumberFormat="1" applyFont="1" applyFill="1" applyBorder="1"/>
    <xf numFmtId="49" fontId="11" fillId="0" borderId="37" xfId="14" applyNumberFormat="1" applyFont="1" applyFill="1" applyBorder="1" applyAlignment="1">
      <alignment horizontal="center"/>
    </xf>
    <xf numFmtId="49" fontId="11" fillId="0" borderId="37" xfId="14" quotePrefix="1" applyNumberFormat="1" applyFont="1" applyFill="1" applyBorder="1" applyAlignment="1">
      <alignment horizontal="center"/>
    </xf>
    <xf numFmtId="2" fontId="10" fillId="0" borderId="38" xfId="0" applyNumberFormat="1" applyFont="1" applyFill="1" applyBorder="1"/>
    <xf numFmtId="0" fontId="7" fillId="0" borderId="10" xfId="0" applyFont="1" applyBorder="1" applyAlignment="1">
      <alignment horizontal="center"/>
    </xf>
    <xf numFmtId="0" fontId="7" fillId="0" borderId="19" xfId="0" applyFont="1" applyBorder="1"/>
    <xf numFmtId="0" fontId="7" fillId="0" borderId="10" xfId="0" applyFont="1" applyFill="1" applyBorder="1" applyAlignment="1">
      <alignment horizontal="center"/>
    </xf>
    <xf numFmtId="0" fontId="7" fillId="0" borderId="19" xfId="0" applyFont="1" applyFill="1" applyBorder="1"/>
    <xf numFmtId="0" fontId="7" fillId="0" borderId="6" xfId="0" applyFont="1" applyBorder="1" applyAlignment="1"/>
    <xf numFmtId="42" fontId="9" fillId="0" borderId="17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165" fontId="10" fillId="0" borderId="19" xfId="0" applyNumberFormat="1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41" xfId="0" applyFont="1" applyFill="1" applyBorder="1" applyAlignment="1">
      <alignment horizontal="center" wrapText="1"/>
    </xf>
    <xf numFmtId="165" fontId="6" fillId="0" borderId="42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28" xfId="0" applyFont="1" applyBorder="1" applyAlignment="1">
      <alignment horizontal="center" wrapText="1"/>
    </xf>
    <xf numFmtId="42" fontId="6" fillId="0" borderId="9" xfId="0" applyNumberFormat="1" applyFont="1" applyBorder="1"/>
    <xf numFmtId="42" fontId="6" fillId="0" borderId="44" xfId="0" applyNumberFormat="1" applyFont="1" applyBorder="1"/>
    <xf numFmtId="42" fontId="6" fillId="0" borderId="45" xfId="0" applyNumberFormat="1" applyFont="1" applyBorder="1"/>
    <xf numFmtId="42" fontId="6" fillId="0" borderId="46" xfId="0" applyNumberFormat="1" applyFont="1" applyBorder="1"/>
    <xf numFmtId="0" fontId="7" fillId="0" borderId="28" xfId="0" applyFont="1" applyBorder="1" applyAlignment="1">
      <alignment wrapText="1"/>
    </xf>
    <xf numFmtId="0" fontId="6" fillId="0" borderId="20" xfId="0" applyFont="1" applyBorder="1"/>
    <xf numFmtId="0" fontId="6" fillId="0" borderId="47" xfId="0" applyFont="1" applyBorder="1"/>
    <xf numFmtId="0" fontId="6" fillId="0" borderId="43" xfId="0" applyFont="1" applyBorder="1"/>
    <xf numFmtId="0" fontId="6" fillId="0" borderId="21" xfId="0" applyFont="1" applyBorder="1"/>
    <xf numFmtId="0" fontId="7" fillId="0" borderId="43" xfId="0" applyFont="1" applyBorder="1" applyAlignment="1">
      <alignment horizontal="center" wrapText="1"/>
    </xf>
    <xf numFmtId="0" fontId="0" fillId="0" borderId="43" xfId="0" applyBorder="1" applyAlignment="1"/>
    <xf numFmtId="0" fontId="0" fillId="0" borderId="0" xfId="0" applyBorder="1" applyAlignment="1"/>
    <xf numFmtId="0" fontId="7" fillId="0" borderId="28" xfId="16" applyFont="1" applyBorder="1" applyAlignment="1">
      <alignment horizontal="center"/>
    </xf>
    <xf numFmtId="0" fontId="7" fillId="0" borderId="28" xfId="16" applyFont="1" applyBorder="1" applyAlignment="1">
      <alignment horizontal="center" wrapText="1"/>
    </xf>
    <xf numFmtId="166" fontId="7" fillId="0" borderId="28" xfId="2" applyNumberFormat="1" applyFont="1" applyBorder="1" applyAlignment="1">
      <alignment horizontal="center" wrapText="1"/>
    </xf>
    <xf numFmtId="0" fontId="7" fillId="0" borderId="0" xfId="16" applyFont="1"/>
    <xf numFmtId="166" fontId="7" fillId="0" borderId="0" xfId="2" applyNumberFormat="1" applyFont="1"/>
    <xf numFmtId="0" fontId="7" fillId="0" borderId="3" xfId="16" applyFont="1" applyBorder="1"/>
    <xf numFmtId="166" fontId="7" fillId="0" borderId="27" xfId="2" applyNumberFormat="1" applyFont="1" applyBorder="1"/>
    <xf numFmtId="42" fontId="7" fillId="0" borderId="27" xfId="16" applyNumberFormat="1" applyFont="1" applyBorder="1"/>
    <xf numFmtId="42" fontId="7" fillId="0" borderId="20" xfId="16" applyNumberFormat="1" applyFont="1" applyBorder="1"/>
    <xf numFmtId="0" fontId="7" fillId="0" borderId="4" xfId="16" applyFont="1" applyBorder="1"/>
    <xf numFmtId="166" fontId="7" fillId="0" borderId="0" xfId="2" applyNumberFormat="1" applyFont="1" applyBorder="1"/>
    <xf numFmtId="166" fontId="7" fillId="0" borderId="0" xfId="16" applyNumberFormat="1" applyFont="1" applyBorder="1"/>
    <xf numFmtId="42" fontId="7" fillId="0" borderId="0" xfId="16" applyNumberFormat="1" applyFont="1" applyBorder="1"/>
    <xf numFmtId="42" fontId="7" fillId="0" borderId="47" xfId="16" applyNumberFormat="1" applyFont="1" applyBorder="1"/>
    <xf numFmtId="0" fontId="7" fillId="0" borderId="0" xfId="16" applyFont="1" applyBorder="1"/>
    <xf numFmtId="0" fontId="7" fillId="0" borderId="47" xfId="16" applyFont="1" applyBorder="1"/>
    <xf numFmtId="0" fontId="7" fillId="0" borderId="48" xfId="16" applyFont="1" applyBorder="1"/>
    <xf numFmtId="0" fontId="7" fillId="0" borderId="43" xfId="16" applyFont="1" applyBorder="1"/>
    <xf numFmtId="166" fontId="7" fillId="0" borderId="21" xfId="16" applyNumberFormat="1" applyFont="1" applyBorder="1"/>
    <xf numFmtId="10" fontId="7" fillId="0" borderId="27" xfId="16" applyNumberFormat="1" applyFont="1" applyBorder="1" applyAlignment="1">
      <alignment horizontal="center"/>
    </xf>
    <xf numFmtId="10" fontId="7" fillId="0" borderId="0" xfId="16" applyNumberFormat="1" applyFont="1" applyBorder="1" applyAlignment="1">
      <alignment horizontal="center"/>
    </xf>
    <xf numFmtId="170" fontId="10" fillId="0" borderId="0" xfId="0" applyNumberFormat="1" applyFont="1"/>
    <xf numFmtId="42" fontId="6" fillId="0" borderId="49" xfId="0" applyNumberFormat="1" applyFont="1" applyBorder="1"/>
    <xf numFmtId="42" fontId="6" fillId="0" borderId="39" xfId="0" applyNumberFormat="1" applyFont="1" applyBorder="1"/>
    <xf numFmtId="165" fontId="6" fillId="0" borderId="50" xfId="0" applyNumberFormat="1" applyFont="1" applyBorder="1" applyAlignment="1">
      <alignment horizontal="center"/>
    </xf>
    <xf numFmtId="42" fontId="6" fillId="0" borderId="51" xfId="0" applyNumberFormat="1" applyFont="1" applyBorder="1"/>
    <xf numFmtId="42" fontId="6" fillId="0" borderId="19" xfId="0" applyNumberFormat="1" applyFont="1" applyBorder="1"/>
    <xf numFmtId="165" fontId="6" fillId="0" borderId="19" xfId="0" applyNumberFormat="1" applyFont="1" applyBorder="1" applyAlignment="1">
      <alignment horizontal="center"/>
    </xf>
    <xf numFmtId="166" fontId="7" fillId="0" borderId="43" xfId="16" applyNumberFormat="1" applyFont="1" applyFill="1" applyBorder="1"/>
    <xf numFmtId="42" fontId="6" fillId="0" borderId="0" xfId="0" applyNumberFormat="1" applyFont="1"/>
    <xf numFmtId="44" fontId="6" fillId="0" borderId="0" xfId="0" applyNumberFormat="1" applyFont="1"/>
    <xf numFmtId="42" fontId="7" fillId="0" borderId="0" xfId="0" applyNumberFormat="1" applyFont="1" applyBorder="1"/>
    <xf numFmtId="0" fontId="7" fillId="0" borderId="52" xfId="0" applyFont="1" applyBorder="1"/>
    <xf numFmtId="173" fontId="10" fillId="0" borderId="10" xfId="15" applyNumberFormat="1" applyFont="1" applyBorder="1" applyAlignment="1">
      <alignment horizontal="center"/>
    </xf>
    <xf numFmtId="172" fontId="7" fillId="0" borderId="18" xfId="0" applyNumberFormat="1" applyFont="1" applyFill="1" applyBorder="1" applyAlignment="1">
      <alignment horizontal="center"/>
    </xf>
    <xf numFmtId="172" fontId="7" fillId="0" borderId="6" xfId="0" applyNumberFormat="1" applyFont="1" applyFill="1" applyBorder="1" applyAlignment="1">
      <alignment horizontal="center"/>
    </xf>
    <xf numFmtId="42" fontId="6" fillId="0" borderId="54" xfId="0" applyNumberFormat="1" applyFont="1" applyBorder="1"/>
    <xf numFmtId="165" fontId="6" fillId="0" borderId="31" xfId="0" applyNumberFormat="1" applyFont="1" applyBorder="1" applyAlignment="1">
      <alignment horizontal="center"/>
    </xf>
    <xf numFmtId="42" fontId="6" fillId="0" borderId="55" xfId="0" applyNumberFormat="1" applyFont="1" applyBorder="1"/>
    <xf numFmtId="42" fontId="6" fillId="0" borderId="53" xfId="0" applyNumberFormat="1" applyFont="1" applyBorder="1"/>
    <xf numFmtId="165" fontId="6" fillId="0" borderId="32" xfId="0" applyNumberFormat="1" applyFont="1" applyBorder="1" applyAlignment="1">
      <alignment horizontal="center"/>
    </xf>
    <xf numFmtId="42" fontId="6" fillId="0" borderId="56" xfId="0" applyNumberFormat="1" applyFont="1" applyBorder="1"/>
    <xf numFmtId="42" fontId="6" fillId="0" borderId="40" xfId="0" applyNumberFormat="1" applyFont="1" applyBorder="1"/>
    <xf numFmtId="42" fontId="6" fillId="0" borderId="57" xfId="0" applyNumberFormat="1" applyFont="1" applyBorder="1"/>
    <xf numFmtId="42" fontId="6" fillId="0" borderId="58" xfId="0" applyNumberFormat="1" applyFont="1" applyBorder="1"/>
    <xf numFmtId="42" fontId="9" fillId="0" borderId="18" xfId="1" applyNumberFormat="1" applyFont="1" applyFill="1" applyBorder="1"/>
    <xf numFmtId="37" fontId="7" fillId="0" borderId="35" xfId="18" applyNumberFormat="1" applyFont="1" applyFill="1" applyBorder="1" applyAlignment="1">
      <alignment horizontal="center" wrapText="1"/>
    </xf>
    <xf numFmtId="9" fontId="7" fillId="0" borderId="9" xfId="18" applyFont="1" applyFill="1" applyBorder="1" applyAlignment="1">
      <alignment horizontal="center" wrapText="1"/>
    </xf>
    <xf numFmtId="0" fontId="9" fillId="0" borderId="59" xfId="0" applyFont="1" applyBorder="1"/>
    <xf numFmtId="1" fontId="7" fillId="0" borderId="8" xfId="17" applyNumberFormat="1" applyFont="1" applyBorder="1" applyAlignment="1">
      <alignment horizontal="center" wrapText="1"/>
    </xf>
    <xf numFmtId="1" fontId="7" fillId="0" borderId="60" xfId="17" applyNumberFormat="1" applyFont="1" applyBorder="1" applyAlignment="1">
      <alignment horizontal="center"/>
    </xf>
    <xf numFmtId="1" fontId="7" fillId="0" borderId="8" xfId="17" applyNumberFormat="1" applyFont="1" applyBorder="1" applyAlignment="1">
      <alignment horizontal="center"/>
    </xf>
    <xf numFmtId="0" fontId="7" fillId="0" borderId="61" xfId="0" applyFont="1" applyBorder="1" applyAlignment="1">
      <alignment horizontal="center" wrapText="1"/>
    </xf>
    <xf numFmtId="1" fontId="7" fillId="0" borderId="6" xfId="17" applyNumberFormat="1" applyFont="1" applyBorder="1" applyAlignment="1">
      <alignment horizontal="center" wrapText="1"/>
    </xf>
    <xf numFmtId="166" fontId="6" fillId="0" borderId="49" xfId="0" applyNumberFormat="1" applyFont="1" applyFill="1" applyBorder="1"/>
    <xf numFmtId="166" fontId="6" fillId="0" borderId="19" xfId="0" applyNumberFormat="1" applyFont="1" applyFill="1" applyBorder="1"/>
    <xf numFmtId="0" fontId="7" fillId="0" borderId="0" xfId="0" applyFont="1"/>
    <xf numFmtId="174" fontId="7" fillId="0" borderId="0" xfId="16" applyNumberFormat="1" applyFont="1"/>
    <xf numFmtId="42" fontId="9" fillId="0" borderId="0" xfId="0" applyNumberFormat="1" applyFont="1"/>
    <xf numFmtId="175" fontId="7" fillId="0" borderId="0" xfId="16" applyNumberFormat="1" applyFont="1"/>
    <xf numFmtId="0" fontId="9" fillId="0" borderId="39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62" xfId="0" applyFont="1" applyBorder="1"/>
    <xf numFmtId="42" fontId="6" fillId="0" borderId="43" xfId="0" applyNumberFormat="1" applyFont="1" applyBorder="1"/>
    <xf numFmtId="42" fontId="9" fillId="0" borderId="62" xfId="1" applyNumberFormat="1" applyFont="1" applyFill="1" applyBorder="1" applyAlignment="1">
      <alignment horizontal="center"/>
    </xf>
    <xf numFmtId="42" fontId="9" fillId="0" borderId="47" xfId="1" applyNumberFormat="1" applyFont="1" applyFill="1" applyBorder="1" applyAlignment="1">
      <alignment horizontal="center"/>
    </xf>
    <xf numFmtId="42" fontId="6" fillId="0" borderId="0" xfId="0" applyNumberFormat="1" applyFont="1" applyBorder="1"/>
    <xf numFmtId="0" fontId="17" fillId="0" borderId="0" xfId="0" applyFont="1" applyBorder="1" applyAlignment="1">
      <alignment horizontal="center"/>
    </xf>
    <xf numFmtId="42" fontId="18" fillId="0" borderId="0" xfId="0" applyNumberFormat="1" applyFont="1" applyBorder="1"/>
    <xf numFmtId="49" fontId="11" fillId="0" borderId="0" xfId="14" applyNumberFormat="1" applyFont="1" applyFill="1" applyBorder="1" applyAlignment="1">
      <alignment horizontal="center"/>
    </xf>
    <xf numFmtId="0" fontId="11" fillId="0" borderId="0" xfId="15" applyFont="1" applyBorder="1" applyAlignment="1">
      <alignment horizontal="center"/>
    </xf>
    <xf numFmtId="0" fontId="11" fillId="0" borderId="0" xfId="15" applyFont="1" applyBorder="1"/>
    <xf numFmtId="170" fontId="10" fillId="0" borderId="0" xfId="15" applyNumberFormat="1" applyFont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/>
    <xf numFmtId="0" fontId="19" fillId="0" borderId="10" xfId="0" applyFont="1" applyFill="1" applyBorder="1" applyAlignment="1">
      <alignment horizontal="center"/>
    </xf>
    <xf numFmtId="0" fontId="19" fillId="0" borderId="19" xfId="0" applyFont="1" applyFill="1" applyBorder="1"/>
    <xf numFmtId="0" fontId="6" fillId="0" borderId="10" xfId="0" quotePrefix="1" applyFont="1" applyBorder="1" applyAlignment="1">
      <alignment horizontal="center"/>
    </xf>
    <xf numFmtId="176" fontId="9" fillId="0" borderId="0" xfId="18" applyNumberFormat="1" applyFont="1" applyBorder="1"/>
    <xf numFmtId="42" fontId="9" fillId="0" borderId="63" xfId="1" applyNumberFormat="1" applyFont="1" applyFill="1" applyBorder="1" applyAlignment="1">
      <alignment horizontal="center"/>
    </xf>
    <xf numFmtId="37" fontId="7" fillId="0" borderId="23" xfId="18" applyNumberFormat="1" applyFont="1" applyFill="1" applyBorder="1" applyAlignment="1">
      <alignment horizontal="center" wrapText="1"/>
    </xf>
    <xf numFmtId="42" fontId="9" fillId="0" borderId="28" xfId="1" applyNumberFormat="1" applyFont="1" applyFill="1" applyBorder="1" applyAlignment="1">
      <alignment horizontal="center"/>
    </xf>
    <xf numFmtId="0" fontId="9" fillId="0" borderId="38" xfId="0" applyFont="1" applyBorder="1" applyAlignment="1">
      <alignment horizontal="center"/>
    </xf>
    <xf numFmtId="42" fontId="7" fillId="0" borderId="43" xfId="0" applyNumberFormat="1" applyFont="1" applyBorder="1"/>
    <xf numFmtId="42" fontId="9" fillId="0" borderId="64" xfId="1" applyNumberFormat="1" applyFont="1" applyFill="1" applyBorder="1" applyAlignment="1">
      <alignment horizontal="center"/>
    </xf>
    <xf numFmtId="42" fontId="7" fillId="0" borderId="18" xfId="0" applyNumberFormat="1" applyFont="1" applyBorder="1"/>
    <xf numFmtId="42" fontId="7" fillId="0" borderId="7" xfId="0" applyNumberFormat="1" applyFont="1" applyBorder="1"/>
    <xf numFmtId="42" fontId="9" fillId="0" borderId="0" xfId="0" applyNumberFormat="1" applyFont="1" applyBorder="1"/>
    <xf numFmtId="177" fontId="9" fillId="0" borderId="0" xfId="18" applyNumberFormat="1" applyFont="1" applyBorder="1"/>
    <xf numFmtId="178" fontId="9" fillId="0" borderId="0" xfId="18" applyNumberFormat="1" applyFont="1" applyBorder="1"/>
    <xf numFmtId="42" fontId="6" fillId="0" borderId="10" xfId="1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0" fillId="0" borderId="0" xfId="0" applyAlignment="1"/>
    <xf numFmtId="0" fontId="7" fillId="0" borderId="43" xfId="0" applyFont="1" applyBorder="1" applyAlignment="1">
      <alignment horizontal="center" wrapText="1"/>
    </xf>
    <xf numFmtId="0" fontId="0" fillId="0" borderId="43" xfId="0" applyBorder="1" applyAlignment="1"/>
    <xf numFmtId="169" fontId="14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169" fontId="14" fillId="0" borderId="43" xfId="0" applyNumberFormat="1" applyFont="1" applyBorder="1" applyAlignment="1">
      <alignment horizontal="center"/>
    </xf>
    <xf numFmtId="0" fontId="0" fillId="0" borderId="0" xfId="0" applyBorder="1" applyAlignment="1"/>
  </cellXfs>
  <cellStyles count="24">
    <cellStyle name="Comma" xfId="1" builtinId="3"/>
    <cellStyle name="Currency" xfId="2" builtinId="4"/>
    <cellStyle name="Custom - Style8" xfId="3"/>
    <cellStyle name="Data   - Style2" xfId="4"/>
    <cellStyle name="Labels - Style3" xfId="5"/>
    <cellStyle name="Normal" xfId="0" builtinId="0"/>
    <cellStyle name="Normal - Style1" xfId="6"/>
    <cellStyle name="Normal - Style2" xfId="7"/>
    <cellStyle name="Normal - Style3" xfId="8"/>
    <cellStyle name="Normal - Style4" xfId="9"/>
    <cellStyle name="Normal - Style5" xfId="10"/>
    <cellStyle name="Normal - Style6" xfId="11"/>
    <cellStyle name="Normal - Style7" xfId="12"/>
    <cellStyle name="Normal - Style8" xfId="13"/>
    <cellStyle name="Normal_New PERDATA Format" xfId="14"/>
    <cellStyle name="Normal_SFY 2009 BLENDED SHARES" xfId="15"/>
    <cellStyle name="Normal_SFY+2010+GOVERNOR+BUDGET+COUNTY+ESTIMATES(1)" xfId="16"/>
    <cellStyle name="Normal_Sheet1" xfId="17"/>
    <cellStyle name="Percent" xfId="18" builtinId="5"/>
    <cellStyle name="Reset  - Style7" xfId="19"/>
    <cellStyle name="Table  - Style6" xfId="20"/>
    <cellStyle name="Title  - Style1" xfId="21"/>
    <cellStyle name="TotCol - Style5" xfId="22"/>
    <cellStyle name="TotRow - Style4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800080"/>
      <color rgb="FF624B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3</xdr:row>
          <xdr:rowOff>123825</xdr:rowOff>
        </xdr:from>
        <xdr:to>
          <xdr:col>7</xdr:col>
          <xdr:colOff>123825</xdr:colOff>
          <xdr:row>15</xdr:row>
          <xdr:rowOff>28575</xdr:rowOff>
        </xdr:to>
        <xdr:sp macro="" textlink="">
          <xdr:nvSpPr>
            <xdr:cNvPr id="10244" name="Object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BBFILE\XL5FILES\1997-98.BUD\TRAC9798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CKELIG"/>
      <sheetName val="AVE_ELIG_COST"/>
      <sheetName val="ALL ELIG_98-99 (2)"/>
      <sheetName val="SUMMARY"/>
      <sheetName val="TRACK SNF"/>
      <sheetName val="TRACK ICF"/>
      <sheetName val="TRACK ICF-MR,NS"/>
      <sheetName val="NLTC"/>
      <sheetName val="ALL ELIG_97-98"/>
      <sheetName val="AGED_97-98"/>
      <sheetName val="BLIND_97-98"/>
      <sheetName val="DISABLED_97-98"/>
      <sheetName val="AFDC&lt;21_97-98"/>
      <sheetName val="AFDC&gt;21_97-98"/>
      <sheetName val="AFDC_97-98"/>
      <sheetName val="OTHERCHILD_97-98"/>
      <sheetName val="MPW_97-98"/>
      <sheetName val="MIC_97-98"/>
      <sheetName val="MQBQ_97-98"/>
      <sheetName val="MQBB_97-98"/>
      <sheetName val="ALL ELIG_98-99"/>
      <sheetName val="AGED_98-99"/>
      <sheetName val="BLIND_98-99"/>
      <sheetName val="DISABLED_98-99"/>
      <sheetName val="AFDC&lt;21_98-99"/>
      <sheetName val="AFDC&gt;21_98-99"/>
      <sheetName val="AFDC_98-99"/>
      <sheetName val="OTHERCHILD_98-99"/>
      <sheetName val="MPW_98-99"/>
      <sheetName val="MIC_98-99"/>
      <sheetName val="MQBQ_98-99"/>
      <sheetName val="MQBB_98-99"/>
      <sheetName val="INTENSITY"/>
      <sheetName val="INFLATION"/>
      <sheetName val="ELIGIBLES"/>
      <sheetName val="SHARES"/>
      <sheetName val="ADJUSTMENTS"/>
      <sheetName val="FFP RATE CHANGE"/>
      <sheetName val="FFP_96-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</sheetPr>
  <dimension ref="D18"/>
  <sheetViews>
    <sheetView topLeftCell="C1" workbookViewId="0">
      <selection activeCell="F21" sqref="F21"/>
    </sheetView>
  </sheetViews>
  <sheetFormatPr defaultRowHeight="12.75" x14ac:dyDescent="0.2"/>
  <sheetData>
    <row r="18" spans="4:4" x14ac:dyDescent="0.2">
      <c r="D18" t="s">
        <v>261</v>
      </c>
    </row>
  </sheetData>
  <phoneticPr fontId="0" type="noConversion"/>
  <printOptions horizontalCentered="1"/>
  <pageMargins left="1" right="1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44" r:id="rId4">
          <objectPr defaultSize="0" autoPict="0" r:id="rId5">
            <anchor moveWithCells="1">
              <from>
                <xdr:col>2</xdr:col>
                <xdr:colOff>485775</xdr:colOff>
                <xdr:row>3</xdr:row>
                <xdr:rowOff>123825</xdr:rowOff>
              </from>
              <to>
                <xdr:col>7</xdr:col>
                <xdr:colOff>123825</xdr:colOff>
                <xdr:row>15</xdr:row>
                <xdr:rowOff>28575</xdr:rowOff>
              </to>
            </anchor>
          </objectPr>
        </oleObject>
      </mc:Choice>
      <mc:Fallback>
        <oleObject progId="Document" dvAspect="DVASPECT_ICON" shapeId="1024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BQ122"/>
  <sheetViews>
    <sheetView showGridLines="0" workbookViewId="0">
      <pane xSplit="3" ySplit="4" topLeftCell="D92" activePane="bottomRight" state="frozen"/>
      <selection activeCell="B107" sqref="B107"/>
      <selection pane="topRight" activeCell="B107" sqref="B107"/>
      <selection pane="bottomLeft" activeCell="B107" sqref="B107"/>
      <selection pane="bottomRight" activeCell="A115" sqref="A115"/>
    </sheetView>
  </sheetViews>
  <sheetFormatPr defaultColWidth="9" defaultRowHeight="12.75" x14ac:dyDescent="0.2"/>
  <cols>
    <col min="1" max="1" width="9" style="6" customWidth="1"/>
    <col min="2" max="2" width="12.25" style="11" customWidth="1"/>
    <col min="3" max="3" width="36.625" style="11" customWidth="1"/>
    <col min="4" max="4" width="16.625" style="11" customWidth="1"/>
    <col min="5" max="5" width="16.125" style="11" customWidth="1"/>
    <col min="6" max="6" width="14.75" style="12" customWidth="1"/>
    <col min="7" max="7" width="14" style="29" customWidth="1"/>
    <col min="8" max="8" width="15.75" style="29" hidden="1" customWidth="1"/>
    <col min="9" max="16384" width="9" style="6"/>
  </cols>
  <sheetData>
    <row r="1" spans="1:69" ht="14.1" customHeight="1" x14ac:dyDescent="0.2">
      <c r="A1" s="204" t="s">
        <v>286</v>
      </c>
      <c r="B1" s="205"/>
      <c r="C1" s="205"/>
      <c r="D1" s="205"/>
      <c r="E1" s="205"/>
      <c r="F1" s="205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</row>
    <row r="2" spans="1:69" ht="14.1" customHeight="1" thickBot="1" x14ac:dyDescent="0.25">
      <c r="A2" s="206" t="s">
        <v>498</v>
      </c>
      <c r="B2" s="207"/>
      <c r="C2" s="207"/>
      <c r="D2" s="207"/>
      <c r="E2" s="207"/>
      <c r="F2" s="207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</row>
    <row r="3" spans="1:69" ht="49.9" customHeight="1" thickBot="1" x14ac:dyDescent="0.25">
      <c r="A3" s="165" t="s">
        <v>257</v>
      </c>
      <c r="B3" s="166" t="s">
        <v>256</v>
      </c>
      <c r="C3" s="7" t="s">
        <v>245</v>
      </c>
      <c r="D3" s="37" t="s">
        <v>499</v>
      </c>
      <c r="E3" s="40" t="s">
        <v>500</v>
      </c>
      <c r="F3" s="41" t="s">
        <v>501</v>
      </c>
      <c r="G3" s="41" t="s">
        <v>502</v>
      </c>
      <c r="H3" s="42" t="s">
        <v>260</v>
      </c>
    </row>
    <row r="4" spans="1:69" ht="14.1" customHeight="1" x14ac:dyDescent="0.2">
      <c r="A4" s="161"/>
      <c r="B4" s="162"/>
      <c r="C4" s="8"/>
      <c r="D4" s="163"/>
      <c r="E4" s="164"/>
      <c r="F4" s="160"/>
      <c r="G4" s="159"/>
      <c r="H4" s="193"/>
    </row>
    <row r="5" spans="1:69" ht="14.1" customHeight="1" x14ac:dyDescent="0.2">
      <c r="A5" s="9" t="s">
        <v>1</v>
      </c>
      <c r="B5" s="86">
        <v>536101</v>
      </c>
      <c r="C5" s="87" t="s">
        <v>290</v>
      </c>
      <c r="D5" s="91">
        <f>924823173</f>
        <v>924823173</v>
      </c>
      <c r="E5" s="43">
        <v>620845101.56711137</v>
      </c>
      <c r="F5" s="44">
        <v>303978071.43288863</v>
      </c>
      <c r="G5" s="44">
        <v>0</v>
      </c>
      <c r="H5" s="45">
        <f>D5-E5-F5-G5</f>
        <v>0</v>
      </c>
      <c r="I5" s="171"/>
    </row>
    <row r="6" spans="1:69" ht="14.1" customHeight="1" x14ac:dyDescent="0.2">
      <c r="A6" s="9" t="s">
        <v>3</v>
      </c>
      <c r="B6" s="86">
        <v>536102</v>
      </c>
      <c r="C6" s="87" t="s">
        <v>291</v>
      </c>
      <c r="D6" s="91">
        <f>12461490</f>
        <v>12461490</v>
      </c>
      <c r="E6" s="43">
        <v>8365550.5729067009</v>
      </c>
      <c r="F6" s="44">
        <v>4095939.4270932991</v>
      </c>
      <c r="G6" s="44">
        <v>0</v>
      </c>
      <c r="H6" s="45">
        <f t="shared" ref="H6:H69" si="0">D6-E6-F6-G6</f>
        <v>0</v>
      </c>
      <c r="I6" s="171"/>
    </row>
    <row r="7" spans="1:69" ht="14.1" customHeight="1" x14ac:dyDescent="0.2">
      <c r="A7" s="9" t="s">
        <v>5</v>
      </c>
      <c r="B7" s="86">
        <v>536103</v>
      </c>
      <c r="C7" s="87" t="s">
        <v>292</v>
      </c>
      <c r="D7" s="38"/>
      <c r="E7" s="43">
        <v>0</v>
      </c>
      <c r="F7" s="44">
        <v>0</v>
      </c>
      <c r="G7" s="44">
        <v>0</v>
      </c>
      <c r="H7" s="45">
        <f t="shared" si="0"/>
        <v>0</v>
      </c>
      <c r="I7" s="171"/>
    </row>
    <row r="8" spans="1:69" ht="14.1" customHeight="1" x14ac:dyDescent="0.2">
      <c r="A8" s="9" t="s">
        <v>7</v>
      </c>
      <c r="B8" s="86">
        <v>536104</v>
      </c>
      <c r="C8" s="87" t="s">
        <v>293</v>
      </c>
      <c r="D8" s="91"/>
      <c r="E8" s="43">
        <v>0</v>
      </c>
      <c r="F8" s="44">
        <v>0</v>
      </c>
      <c r="G8" s="44">
        <v>0</v>
      </c>
      <c r="H8" s="45">
        <f t="shared" si="0"/>
        <v>0</v>
      </c>
      <c r="I8" s="171"/>
    </row>
    <row r="9" spans="1:69" ht="14.1" customHeight="1" x14ac:dyDescent="0.2">
      <c r="A9" s="9" t="s">
        <v>9</v>
      </c>
      <c r="B9" s="86">
        <v>536105001</v>
      </c>
      <c r="C9" s="87" t="s">
        <v>294</v>
      </c>
      <c r="D9" s="91"/>
      <c r="E9" s="43">
        <v>0</v>
      </c>
      <c r="F9" s="44">
        <v>0</v>
      </c>
      <c r="G9" s="44">
        <v>0</v>
      </c>
      <c r="H9" s="45">
        <f t="shared" si="0"/>
        <v>0</v>
      </c>
      <c r="I9" s="171"/>
    </row>
    <row r="10" spans="1:69" ht="14.1" customHeight="1" x14ac:dyDescent="0.2">
      <c r="A10" s="9" t="s">
        <v>11</v>
      </c>
      <c r="B10" s="86">
        <v>536105002</v>
      </c>
      <c r="C10" s="87" t="s">
        <v>12</v>
      </c>
      <c r="D10" s="91"/>
      <c r="E10" s="43">
        <v>0</v>
      </c>
      <c r="F10" s="44">
        <v>0</v>
      </c>
      <c r="G10" s="44">
        <v>0</v>
      </c>
      <c r="H10" s="45">
        <f t="shared" si="0"/>
        <v>0</v>
      </c>
      <c r="I10" s="171"/>
    </row>
    <row r="11" spans="1:69" ht="14.1" customHeight="1" x14ac:dyDescent="0.2">
      <c r="A11" s="9" t="s">
        <v>13</v>
      </c>
      <c r="B11" s="86">
        <v>536106</v>
      </c>
      <c r="C11" s="87" t="s">
        <v>14</v>
      </c>
      <c r="D11" s="91"/>
      <c r="E11" s="43">
        <v>0</v>
      </c>
      <c r="F11" s="44">
        <v>0</v>
      </c>
      <c r="G11" s="44">
        <v>0</v>
      </c>
      <c r="H11" s="45">
        <f t="shared" si="0"/>
        <v>0</v>
      </c>
      <c r="I11" s="171"/>
    </row>
    <row r="12" spans="1:69" ht="14.1" customHeight="1" x14ac:dyDescent="0.2">
      <c r="A12" s="9" t="s">
        <v>15</v>
      </c>
      <c r="B12" s="86">
        <v>536107</v>
      </c>
      <c r="C12" s="87" t="s">
        <v>16</v>
      </c>
      <c r="D12" s="91"/>
      <c r="E12" s="43">
        <v>0</v>
      </c>
      <c r="F12" s="44">
        <v>0</v>
      </c>
      <c r="G12" s="44">
        <v>0</v>
      </c>
      <c r="H12" s="45">
        <f t="shared" si="0"/>
        <v>0</v>
      </c>
      <c r="I12" s="171"/>
    </row>
    <row r="13" spans="1:69" ht="14.1" customHeight="1" x14ac:dyDescent="0.2">
      <c r="A13" s="9" t="s">
        <v>17</v>
      </c>
      <c r="B13" s="86">
        <v>536108</v>
      </c>
      <c r="C13" s="87" t="s">
        <v>18</v>
      </c>
      <c r="D13" s="91"/>
      <c r="E13" s="43">
        <v>0</v>
      </c>
      <c r="F13" s="44">
        <v>0</v>
      </c>
      <c r="G13" s="44">
        <v>0</v>
      </c>
      <c r="H13" s="45">
        <f t="shared" si="0"/>
        <v>0</v>
      </c>
      <c r="I13" s="171"/>
    </row>
    <row r="14" spans="1:69" ht="14.1" customHeight="1" x14ac:dyDescent="0.2">
      <c r="A14" s="9" t="s">
        <v>19</v>
      </c>
      <c r="B14" s="86">
        <v>536109</v>
      </c>
      <c r="C14" s="87" t="s">
        <v>295</v>
      </c>
      <c r="D14" s="91">
        <f>1198711956</f>
        <v>1198711956</v>
      </c>
      <c r="E14" s="43">
        <v>804709989.75771856</v>
      </c>
      <c r="F14" s="44">
        <v>394001966.24228144</v>
      </c>
      <c r="G14" s="44">
        <v>0</v>
      </c>
      <c r="H14" s="45">
        <f t="shared" si="0"/>
        <v>0</v>
      </c>
      <c r="I14" s="171"/>
    </row>
    <row r="15" spans="1:69" ht="14.1" customHeight="1" x14ac:dyDescent="0.2">
      <c r="A15" s="9" t="s">
        <v>21</v>
      </c>
      <c r="B15" s="86">
        <v>536110</v>
      </c>
      <c r="C15" s="87" t="s">
        <v>296</v>
      </c>
      <c r="D15" s="91"/>
      <c r="E15" s="43">
        <v>0</v>
      </c>
      <c r="F15" s="44">
        <v>0</v>
      </c>
      <c r="G15" s="44">
        <v>0</v>
      </c>
      <c r="H15" s="45">
        <f t="shared" si="0"/>
        <v>0</v>
      </c>
      <c r="I15" s="171"/>
    </row>
    <row r="16" spans="1:69" ht="14.1" customHeight="1" x14ac:dyDescent="0.2">
      <c r="A16" s="9" t="s">
        <v>23</v>
      </c>
      <c r="B16" s="86">
        <v>536111</v>
      </c>
      <c r="C16" s="87" t="s">
        <v>24</v>
      </c>
      <c r="D16" s="91"/>
      <c r="E16" s="43">
        <v>0</v>
      </c>
      <c r="F16" s="44">
        <v>0</v>
      </c>
      <c r="G16" s="44">
        <v>0</v>
      </c>
      <c r="H16" s="45">
        <f t="shared" si="0"/>
        <v>0</v>
      </c>
      <c r="I16" s="171"/>
    </row>
    <row r="17" spans="1:9" ht="14.1" customHeight="1" x14ac:dyDescent="0.2">
      <c r="A17" s="9" t="s">
        <v>25</v>
      </c>
      <c r="B17" s="86">
        <v>536112</v>
      </c>
      <c r="C17" s="87" t="s">
        <v>297</v>
      </c>
      <c r="D17" s="91"/>
      <c r="E17" s="43">
        <v>0</v>
      </c>
      <c r="F17" s="44">
        <v>0</v>
      </c>
      <c r="G17" s="44">
        <v>0</v>
      </c>
      <c r="H17" s="45">
        <f t="shared" si="0"/>
        <v>0</v>
      </c>
      <c r="I17" s="171"/>
    </row>
    <row r="18" spans="1:9" ht="14.1" customHeight="1" x14ac:dyDescent="0.2">
      <c r="A18" s="9" t="s">
        <v>27</v>
      </c>
      <c r="B18" s="86">
        <v>536113</v>
      </c>
      <c r="C18" s="87" t="s">
        <v>298</v>
      </c>
      <c r="D18" s="91"/>
      <c r="E18" s="43">
        <v>0</v>
      </c>
      <c r="F18" s="44">
        <v>0</v>
      </c>
      <c r="G18" s="44">
        <v>0</v>
      </c>
      <c r="H18" s="45">
        <f t="shared" si="0"/>
        <v>0</v>
      </c>
      <c r="I18" s="171"/>
    </row>
    <row r="19" spans="1:9" ht="14.1" customHeight="1" x14ac:dyDescent="0.2">
      <c r="A19" s="9" t="s">
        <v>29</v>
      </c>
      <c r="B19" s="86">
        <v>536114</v>
      </c>
      <c r="C19" s="87" t="s">
        <v>299</v>
      </c>
      <c r="D19" s="91">
        <f>15129</f>
        <v>15129</v>
      </c>
      <c r="E19" s="43">
        <v>10156.282644973071</v>
      </c>
      <c r="F19" s="44">
        <v>4972.717355026929</v>
      </c>
      <c r="G19" s="44">
        <v>0</v>
      </c>
      <c r="H19" s="45">
        <f t="shared" si="0"/>
        <v>0</v>
      </c>
      <c r="I19" s="171"/>
    </row>
    <row r="20" spans="1:9" ht="14.1" customHeight="1" x14ac:dyDescent="0.2">
      <c r="A20" s="9" t="s">
        <v>31</v>
      </c>
      <c r="B20" s="86">
        <v>536115</v>
      </c>
      <c r="C20" s="87" t="s">
        <v>32</v>
      </c>
      <c r="D20" s="91">
        <f>1024248784</f>
        <v>1024248784</v>
      </c>
      <c r="E20" s="43">
        <v>687590729.66316164</v>
      </c>
      <c r="F20" s="44">
        <v>336658054.33683836</v>
      </c>
      <c r="G20" s="44">
        <v>0</v>
      </c>
      <c r="H20" s="45">
        <f t="shared" si="0"/>
        <v>0</v>
      </c>
      <c r="I20" s="171"/>
    </row>
    <row r="21" spans="1:9" ht="14.1" customHeight="1" x14ac:dyDescent="0.2">
      <c r="A21" s="9" t="s">
        <v>33</v>
      </c>
      <c r="B21" s="88">
        <v>536116</v>
      </c>
      <c r="C21" s="89" t="s">
        <v>34</v>
      </c>
      <c r="D21" s="38">
        <v>361643609</v>
      </c>
      <c r="E21" s="43">
        <v>242775775.64625072</v>
      </c>
      <c r="F21" s="44">
        <v>118867833.35374928</v>
      </c>
      <c r="G21" s="44">
        <v>0</v>
      </c>
      <c r="H21" s="45">
        <f t="shared" si="0"/>
        <v>0</v>
      </c>
      <c r="I21" s="171"/>
    </row>
    <row r="22" spans="1:9" ht="14.1" customHeight="1" x14ac:dyDescent="0.2">
      <c r="A22" s="9" t="s">
        <v>35</v>
      </c>
      <c r="B22" s="86">
        <v>536117</v>
      </c>
      <c r="C22" s="87" t="s">
        <v>36</v>
      </c>
      <c r="D22" s="91">
        <f>7268599</f>
        <v>7268599</v>
      </c>
      <c r="E22" s="43">
        <v>4879499.3639347358</v>
      </c>
      <c r="F22" s="44">
        <v>2389099.6360652642</v>
      </c>
      <c r="G22" s="44">
        <v>0</v>
      </c>
      <c r="H22" s="45">
        <f t="shared" si="0"/>
        <v>0</v>
      </c>
      <c r="I22" s="171"/>
    </row>
    <row r="23" spans="1:9" ht="14.1" customHeight="1" x14ac:dyDescent="0.2">
      <c r="A23" s="9" t="s">
        <v>37</v>
      </c>
      <c r="B23" s="86">
        <v>536118</v>
      </c>
      <c r="C23" s="87" t="s">
        <v>38</v>
      </c>
      <c r="D23" s="91">
        <f>1245301</f>
        <v>1245301</v>
      </c>
      <c r="E23" s="43">
        <v>835985.78452426533</v>
      </c>
      <c r="F23" s="44">
        <v>409315.21547573467</v>
      </c>
      <c r="G23" s="44">
        <v>0</v>
      </c>
      <c r="H23" s="45">
        <f t="shared" si="0"/>
        <v>0</v>
      </c>
      <c r="I23" s="171"/>
    </row>
    <row r="24" spans="1:9" ht="14.1" customHeight="1" x14ac:dyDescent="0.2">
      <c r="A24" s="9" t="s">
        <v>39</v>
      </c>
      <c r="B24" s="86">
        <v>536119</v>
      </c>
      <c r="C24" s="87" t="s">
        <v>40</v>
      </c>
      <c r="D24" s="91">
        <f>18797151</f>
        <v>18797151</v>
      </c>
      <c r="E24" s="43">
        <v>12618757.252709249</v>
      </c>
      <c r="F24" s="44">
        <v>6178393.747290751</v>
      </c>
      <c r="G24" s="44">
        <v>0</v>
      </c>
      <c r="H24" s="45">
        <f t="shared" si="0"/>
        <v>0</v>
      </c>
      <c r="I24" s="171"/>
    </row>
    <row r="25" spans="1:9" ht="14.1" customHeight="1" x14ac:dyDescent="0.2">
      <c r="A25" s="9" t="s">
        <v>41</v>
      </c>
      <c r="B25" s="86">
        <v>536120</v>
      </c>
      <c r="C25" s="87" t="s">
        <v>42</v>
      </c>
      <c r="D25" s="91">
        <f>4408626</f>
        <v>4408626</v>
      </c>
      <c r="E25" s="43">
        <v>2959564.5271979016</v>
      </c>
      <c r="F25" s="44">
        <v>1449061.4728020984</v>
      </c>
      <c r="G25" s="44">
        <v>0</v>
      </c>
      <c r="H25" s="45">
        <f t="shared" si="0"/>
        <v>0</v>
      </c>
      <c r="I25" s="171"/>
    </row>
    <row r="26" spans="1:9" ht="14.1" customHeight="1" x14ac:dyDescent="0.2">
      <c r="A26" s="9" t="s">
        <v>43</v>
      </c>
      <c r="B26" s="86">
        <v>536121</v>
      </c>
      <c r="C26" s="87" t="s">
        <v>300</v>
      </c>
      <c r="D26" s="91">
        <f>574852395</f>
        <v>574852395</v>
      </c>
      <c r="E26" s="43">
        <v>385905440.06607872</v>
      </c>
      <c r="F26" s="44">
        <v>188946954.93392128</v>
      </c>
      <c r="G26" s="44">
        <v>0</v>
      </c>
      <c r="H26" s="45">
        <f t="shared" si="0"/>
        <v>0</v>
      </c>
      <c r="I26" s="171"/>
    </row>
    <row r="27" spans="1:9" ht="14.1" customHeight="1" x14ac:dyDescent="0.2">
      <c r="A27" s="9" t="s">
        <v>45</v>
      </c>
      <c r="B27" s="86">
        <v>536122</v>
      </c>
      <c r="C27" s="87" t="s">
        <v>301</v>
      </c>
      <c r="D27" s="91">
        <f>5100740</f>
        <v>5100740</v>
      </c>
      <c r="E27" s="43">
        <v>3424189.1161689432</v>
      </c>
      <c r="F27" s="44">
        <v>1676550.8838310568</v>
      </c>
      <c r="G27" s="44">
        <v>0</v>
      </c>
      <c r="H27" s="45">
        <f t="shared" si="0"/>
        <v>0</v>
      </c>
      <c r="I27" s="171"/>
    </row>
    <row r="28" spans="1:9" ht="14.1" customHeight="1" x14ac:dyDescent="0.2">
      <c r="A28" s="9" t="s">
        <v>47</v>
      </c>
      <c r="B28" s="88">
        <v>536123</v>
      </c>
      <c r="C28" s="89" t="s">
        <v>302</v>
      </c>
      <c r="D28" s="38"/>
      <c r="E28" s="43">
        <v>0</v>
      </c>
      <c r="F28" s="44">
        <v>0</v>
      </c>
      <c r="G28" s="44">
        <v>0</v>
      </c>
      <c r="H28" s="45">
        <f t="shared" si="0"/>
        <v>0</v>
      </c>
      <c r="I28" s="171"/>
    </row>
    <row r="29" spans="1:9" ht="14.1" customHeight="1" x14ac:dyDescent="0.2">
      <c r="A29" s="9" t="s">
        <v>48</v>
      </c>
      <c r="B29" s="86">
        <v>536124</v>
      </c>
      <c r="C29" s="87" t="s">
        <v>303</v>
      </c>
      <c r="D29" s="91">
        <f>23914962</f>
        <v>23914962</v>
      </c>
      <c r="E29" s="43">
        <v>16054406.339863209</v>
      </c>
      <c r="F29" s="44">
        <v>7860555.6601367909</v>
      </c>
      <c r="G29" s="44">
        <v>0</v>
      </c>
      <c r="H29" s="45">
        <f t="shared" si="0"/>
        <v>0</v>
      </c>
      <c r="I29" s="171"/>
    </row>
    <row r="30" spans="1:9" ht="14.1" customHeight="1" x14ac:dyDescent="0.2">
      <c r="A30" s="9" t="s">
        <v>50</v>
      </c>
      <c r="B30" s="86">
        <v>536125</v>
      </c>
      <c r="C30" s="87" t="s">
        <v>304</v>
      </c>
      <c r="D30" s="91">
        <f>43258466</f>
        <v>43258466</v>
      </c>
      <c r="E30" s="43">
        <v>29039937.040383216</v>
      </c>
      <c r="F30" s="44">
        <v>14218528.959616784</v>
      </c>
      <c r="G30" s="44">
        <v>0</v>
      </c>
      <c r="H30" s="45">
        <f t="shared" si="0"/>
        <v>0</v>
      </c>
      <c r="I30" s="171"/>
    </row>
    <row r="31" spans="1:9" ht="14.1" customHeight="1" x14ac:dyDescent="0.2">
      <c r="A31" s="9" t="s">
        <v>52</v>
      </c>
      <c r="B31" s="86">
        <v>536126</v>
      </c>
      <c r="C31" s="87" t="s">
        <v>305</v>
      </c>
      <c r="D31" s="91">
        <f>16092586</f>
        <v>16092586</v>
      </c>
      <c r="E31" s="43">
        <v>10803149.706162775</v>
      </c>
      <c r="F31" s="44">
        <v>5289436.2938372251</v>
      </c>
      <c r="G31" s="44">
        <v>0</v>
      </c>
      <c r="H31" s="45">
        <f t="shared" si="0"/>
        <v>0</v>
      </c>
      <c r="I31" s="171"/>
    </row>
    <row r="32" spans="1:9" ht="14.1" customHeight="1" x14ac:dyDescent="0.2">
      <c r="A32" s="9" t="s">
        <v>54</v>
      </c>
      <c r="B32" s="86">
        <v>536127</v>
      </c>
      <c r="C32" s="87" t="s">
        <v>262</v>
      </c>
      <c r="D32" s="91">
        <f>147433887</f>
        <v>147433887</v>
      </c>
      <c r="E32" s="43">
        <v>98974170.653646708</v>
      </c>
      <c r="F32" s="44">
        <v>48459716.346353292</v>
      </c>
      <c r="G32" s="44">
        <v>0</v>
      </c>
      <c r="H32" s="45">
        <f t="shared" si="0"/>
        <v>0</v>
      </c>
      <c r="I32" s="171"/>
    </row>
    <row r="33" spans="1:9" ht="14.1" customHeight="1" x14ac:dyDescent="0.2">
      <c r="A33" s="9" t="s">
        <v>55</v>
      </c>
      <c r="B33" s="86">
        <v>536128</v>
      </c>
      <c r="C33" s="87" t="s">
        <v>306</v>
      </c>
      <c r="D33" s="91"/>
      <c r="E33" s="43">
        <v>0</v>
      </c>
      <c r="F33" s="44">
        <v>0</v>
      </c>
      <c r="G33" s="44">
        <v>0</v>
      </c>
      <c r="H33" s="45">
        <f t="shared" si="0"/>
        <v>0</v>
      </c>
      <c r="I33" s="171"/>
    </row>
    <row r="34" spans="1:9" ht="14.1" customHeight="1" x14ac:dyDescent="0.2">
      <c r="A34" s="9" t="s">
        <v>57</v>
      </c>
      <c r="B34" s="86">
        <v>536129</v>
      </c>
      <c r="C34" s="87" t="s">
        <v>58</v>
      </c>
      <c r="D34" s="91">
        <f>126524832</f>
        <v>126524832</v>
      </c>
      <c r="E34" s="43">
        <v>84937666.428695455</v>
      </c>
      <c r="F34" s="44">
        <v>41587165.571304545</v>
      </c>
      <c r="G34" s="44">
        <v>0</v>
      </c>
      <c r="H34" s="45">
        <f t="shared" si="0"/>
        <v>0</v>
      </c>
      <c r="I34" s="171"/>
    </row>
    <row r="35" spans="1:9" ht="14.1" customHeight="1" x14ac:dyDescent="0.2">
      <c r="A35" s="9" t="s">
        <v>59</v>
      </c>
      <c r="B35" s="86">
        <v>536130</v>
      </c>
      <c r="C35" s="87" t="s">
        <v>60</v>
      </c>
      <c r="D35" s="91">
        <f>2009586698</f>
        <v>2009586698</v>
      </c>
      <c r="E35" s="43">
        <v>1349060116.6280746</v>
      </c>
      <c r="F35" s="44">
        <v>660526581.37192535</v>
      </c>
      <c r="G35" s="44">
        <v>0</v>
      </c>
      <c r="H35" s="45">
        <f t="shared" si="0"/>
        <v>0</v>
      </c>
      <c r="I35" s="171"/>
    </row>
    <row r="36" spans="1:9" ht="14.1" customHeight="1" x14ac:dyDescent="0.2">
      <c r="A36" s="9" t="s">
        <v>61</v>
      </c>
      <c r="B36" s="86">
        <v>536132</v>
      </c>
      <c r="C36" s="87" t="s">
        <v>307</v>
      </c>
      <c r="D36" s="91">
        <f>6777088</f>
        <v>6777088</v>
      </c>
      <c r="E36" s="203">
        <v>6099379.2000000002</v>
      </c>
      <c r="F36" s="44">
        <v>677708.79999999981</v>
      </c>
      <c r="G36" s="44">
        <v>0</v>
      </c>
      <c r="H36" s="45">
        <f t="shared" si="0"/>
        <v>0</v>
      </c>
      <c r="I36" s="171"/>
    </row>
    <row r="37" spans="1:9" ht="14.1" customHeight="1" x14ac:dyDescent="0.2">
      <c r="A37" s="9" t="s">
        <v>63</v>
      </c>
      <c r="B37" s="86">
        <v>536133</v>
      </c>
      <c r="C37" s="87" t="s">
        <v>308</v>
      </c>
      <c r="D37" s="91"/>
      <c r="E37" s="43">
        <v>0</v>
      </c>
      <c r="F37" s="44">
        <v>0</v>
      </c>
      <c r="G37" s="44">
        <v>0</v>
      </c>
      <c r="H37" s="45">
        <f t="shared" si="0"/>
        <v>0</v>
      </c>
      <c r="I37" s="171"/>
    </row>
    <row r="38" spans="1:9" ht="14.1" customHeight="1" x14ac:dyDescent="0.2">
      <c r="A38" s="9" t="s">
        <v>65</v>
      </c>
      <c r="B38" s="86">
        <v>536134</v>
      </c>
      <c r="C38" s="87" t="s">
        <v>309</v>
      </c>
      <c r="D38" s="91"/>
      <c r="E38" s="43">
        <v>0</v>
      </c>
      <c r="F38" s="44">
        <v>0</v>
      </c>
      <c r="G38" s="44">
        <v>0</v>
      </c>
      <c r="H38" s="45">
        <f t="shared" si="0"/>
        <v>0</v>
      </c>
      <c r="I38" s="171"/>
    </row>
    <row r="39" spans="1:9" ht="14.1" customHeight="1" x14ac:dyDescent="0.2">
      <c r="A39" s="9" t="s">
        <v>67</v>
      </c>
      <c r="B39" s="86">
        <v>536135</v>
      </c>
      <c r="C39" s="87" t="s">
        <v>310</v>
      </c>
      <c r="D39" s="91"/>
      <c r="E39" s="43">
        <v>0</v>
      </c>
      <c r="F39" s="44">
        <v>0</v>
      </c>
      <c r="G39" s="44">
        <v>0</v>
      </c>
      <c r="H39" s="45">
        <f t="shared" si="0"/>
        <v>0</v>
      </c>
      <c r="I39" s="171"/>
    </row>
    <row r="40" spans="1:9" ht="14.1" customHeight="1" x14ac:dyDescent="0.2">
      <c r="A40" s="9" t="s">
        <v>69</v>
      </c>
      <c r="B40" s="86">
        <v>536136</v>
      </c>
      <c r="C40" s="87" t="s">
        <v>311</v>
      </c>
      <c r="D40" s="91"/>
      <c r="E40" s="43">
        <v>0</v>
      </c>
      <c r="F40" s="44">
        <v>0</v>
      </c>
      <c r="G40" s="44">
        <v>0</v>
      </c>
      <c r="H40" s="45">
        <f t="shared" si="0"/>
        <v>0</v>
      </c>
      <c r="I40" s="171"/>
    </row>
    <row r="41" spans="1:9" ht="14.1" customHeight="1" x14ac:dyDescent="0.2">
      <c r="A41" s="9" t="s">
        <v>71</v>
      </c>
      <c r="B41" s="86">
        <v>536137</v>
      </c>
      <c r="C41" s="87" t="s">
        <v>312</v>
      </c>
      <c r="D41" s="91"/>
      <c r="E41" s="43">
        <v>0</v>
      </c>
      <c r="F41" s="44">
        <v>0</v>
      </c>
      <c r="G41" s="44">
        <v>0</v>
      </c>
      <c r="H41" s="45">
        <f t="shared" si="0"/>
        <v>0</v>
      </c>
      <c r="I41" s="171"/>
    </row>
    <row r="42" spans="1:9" ht="14.1" customHeight="1" x14ac:dyDescent="0.2">
      <c r="A42" s="9" t="s">
        <v>73</v>
      </c>
      <c r="B42" s="86">
        <v>536138</v>
      </c>
      <c r="C42" s="87" t="s">
        <v>263</v>
      </c>
      <c r="D42" s="91">
        <f>1580326</f>
        <v>1580326</v>
      </c>
      <c r="E42" s="43">
        <v>1060892.1625487285</v>
      </c>
      <c r="F42" s="44">
        <v>519433.83745127148</v>
      </c>
      <c r="G42" s="44">
        <v>0</v>
      </c>
      <c r="H42" s="45">
        <f t="shared" si="0"/>
        <v>0</v>
      </c>
      <c r="I42" s="171"/>
    </row>
    <row r="43" spans="1:9" ht="14.1" customHeight="1" x14ac:dyDescent="0.2">
      <c r="A43" s="9" t="s">
        <v>74</v>
      </c>
      <c r="B43" s="86">
        <v>536139</v>
      </c>
      <c r="C43" s="87" t="s">
        <v>313</v>
      </c>
      <c r="D43" s="91">
        <f>113487178</f>
        <v>113487178</v>
      </c>
      <c r="E43" s="43">
        <v>76185329.919252411</v>
      </c>
      <c r="F43" s="44">
        <v>37301848.080747589</v>
      </c>
      <c r="G43" s="44">
        <v>0</v>
      </c>
      <c r="H43" s="45">
        <f t="shared" si="0"/>
        <v>0</v>
      </c>
      <c r="I43" s="171"/>
    </row>
    <row r="44" spans="1:9" ht="14.1" customHeight="1" x14ac:dyDescent="0.2">
      <c r="A44" s="9" t="s">
        <v>249</v>
      </c>
      <c r="B44" s="86">
        <v>536140</v>
      </c>
      <c r="C44" s="87" t="s">
        <v>76</v>
      </c>
      <c r="D44" s="91">
        <f>81797015</f>
        <v>81797015</v>
      </c>
      <c r="E44" s="203">
        <v>0</v>
      </c>
      <c r="F44" s="44">
        <v>81797015</v>
      </c>
      <c r="G44" s="44">
        <v>0</v>
      </c>
      <c r="H44" s="45">
        <f t="shared" si="0"/>
        <v>0</v>
      </c>
      <c r="I44" s="171"/>
    </row>
    <row r="45" spans="1:9" ht="14.1" customHeight="1" x14ac:dyDescent="0.2">
      <c r="A45" s="9" t="s">
        <v>250</v>
      </c>
      <c r="B45" s="86">
        <v>536141</v>
      </c>
      <c r="C45" s="87" t="s">
        <v>77</v>
      </c>
      <c r="D45" s="91"/>
      <c r="E45" s="43">
        <v>0</v>
      </c>
      <c r="F45" s="44">
        <v>0</v>
      </c>
      <c r="G45" s="44">
        <v>0</v>
      </c>
      <c r="H45" s="45">
        <f t="shared" si="0"/>
        <v>0</v>
      </c>
      <c r="I45" s="171"/>
    </row>
    <row r="46" spans="1:9" ht="14.1" customHeight="1" x14ac:dyDescent="0.2">
      <c r="A46" s="9" t="s">
        <v>0</v>
      </c>
      <c r="B46" s="86">
        <v>536142</v>
      </c>
      <c r="C46" s="87" t="s">
        <v>78</v>
      </c>
      <c r="D46" s="91">
        <f>33573432</f>
        <v>33573432</v>
      </c>
      <c r="E46" s="43">
        <v>22538255.321156953</v>
      </c>
      <c r="F46" s="44">
        <v>11035176.678843047</v>
      </c>
      <c r="G46" s="44">
        <v>0</v>
      </c>
      <c r="H46" s="45">
        <f t="shared" si="0"/>
        <v>0</v>
      </c>
      <c r="I46" s="171"/>
    </row>
    <row r="47" spans="1:9" ht="14.1" customHeight="1" x14ac:dyDescent="0.2">
      <c r="A47" s="9" t="s">
        <v>79</v>
      </c>
      <c r="B47" s="86">
        <v>536143</v>
      </c>
      <c r="C47" s="87" t="s">
        <v>80</v>
      </c>
      <c r="D47" s="91">
        <f>770965</f>
        <v>770965</v>
      </c>
      <c r="E47" s="43">
        <v>517558.22918776283</v>
      </c>
      <c r="F47" s="44">
        <v>253406.77081223717</v>
      </c>
      <c r="G47" s="44">
        <v>0</v>
      </c>
      <c r="H47" s="45">
        <f t="shared" si="0"/>
        <v>0</v>
      </c>
      <c r="I47" s="171"/>
    </row>
    <row r="48" spans="1:9" ht="14.1" customHeight="1" x14ac:dyDescent="0.2">
      <c r="A48" s="9" t="s">
        <v>81</v>
      </c>
      <c r="B48" s="86">
        <v>536144</v>
      </c>
      <c r="C48" s="87" t="s">
        <v>314</v>
      </c>
      <c r="D48" s="91">
        <f>433232830</f>
        <v>433232830</v>
      </c>
      <c r="E48" s="43">
        <v>290834494.84840828</v>
      </c>
      <c r="F48" s="44">
        <v>142398335.15159172</v>
      </c>
      <c r="G48" s="44">
        <v>0</v>
      </c>
      <c r="H48" s="45">
        <f t="shared" si="0"/>
        <v>0</v>
      </c>
      <c r="I48" s="171"/>
    </row>
    <row r="49" spans="1:9" ht="14.1" customHeight="1" x14ac:dyDescent="0.2">
      <c r="A49" s="9" t="s">
        <v>83</v>
      </c>
      <c r="B49" s="86">
        <v>536145</v>
      </c>
      <c r="C49" s="87" t="s">
        <v>264</v>
      </c>
      <c r="D49" s="91"/>
      <c r="E49" s="43">
        <v>0</v>
      </c>
      <c r="F49" s="44">
        <v>0</v>
      </c>
      <c r="G49" s="44">
        <v>0</v>
      </c>
      <c r="H49" s="45">
        <f t="shared" si="0"/>
        <v>0</v>
      </c>
      <c r="I49" s="171"/>
    </row>
    <row r="50" spans="1:9" ht="14.1" customHeight="1" x14ac:dyDescent="0.2">
      <c r="A50" s="9" t="s">
        <v>84</v>
      </c>
      <c r="B50" s="86">
        <v>536146</v>
      </c>
      <c r="C50" s="87" t="s">
        <v>315</v>
      </c>
      <c r="D50" s="91"/>
      <c r="E50" s="43">
        <v>0</v>
      </c>
      <c r="F50" s="44">
        <v>0</v>
      </c>
      <c r="G50" s="44">
        <v>0</v>
      </c>
      <c r="H50" s="45">
        <f t="shared" si="0"/>
        <v>0</v>
      </c>
      <c r="I50" s="171"/>
    </row>
    <row r="51" spans="1:9" ht="14.1" customHeight="1" x14ac:dyDescent="0.2">
      <c r="A51" s="9" t="s">
        <v>85</v>
      </c>
      <c r="B51" s="86">
        <v>536147</v>
      </c>
      <c r="C51" s="87" t="s">
        <v>316</v>
      </c>
      <c r="D51" s="91"/>
      <c r="E51" s="43">
        <v>0</v>
      </c>
      <c r="F51" s="44">
        <v>0</v>
      </c>
      <c r="G51" s="44">
        <v>0</v>
      </c>
      <c r="H51" s="45">
        <f t="shared" si="0"/>
        <v>0</v>
      </c>
      <c r="I51" s="171"/>
    </row>
    <row r="52" spans="1:9" ht="14.1" customHeight="1" x14ac:dyDescent="0.2">
      <c r="A52" s="9" t="s">
        <v>86</v>
      </c>
      <c r="B52" s="86">
        <v>536148</v>
      </c>
      <c r="C52" s="87" t="s">
        <v>317</v>
      </c>
      <c r="D52" s="91"/>
      <c r="E52" s="43">
        <v>0</v>
      </c>
      <c r="F52" s="44">
        <v>0</v>
      </c>
      <c r="G52" s="44">
        <v>0</v>
      </c>
      <c r="H52" s="45">
        <f t="shared" si="0"/>
        <v>0</v>
      </c>
      <c r="I52" s="171"/>
    </row>
    <row r="53" spans="1:9" ht="14.1" customHeight="1" x14ac:dyDescent="0.2">
      <c r="A53" s="9" t="s">
        <v>87</v>
      </c>
      <c r="B53" s="86">
        <v>536149</v>
      </c>
      <c r="C53" s="87" t="s">
        <v>318</v>
      </c>
      <c r="D53" s="91"/>
      <c r="E53" s="43">
        <v>0</v>
      </c>
      <c r="F53" s="44">
        <v>0</v>
      </c>
      <c r="G53" s="44">
        <v>0</v>
      </c>
      <c r="H53" s="45">
        <f t="shared" si="0"/>
        <v>0</v>
      </c>
      <c r="I53" s="171"/>
    </row>
    <row r="54" spans="1:9" ht="14.1" customHeight="1" x14ac:dyDescent="0.2">
      <c r="A54" s="9" t="s">
        <v>89</v>
      </c>
      <c r="B54" s="86">
        <v>536151</v>
      </c>
      <c r="C54" s="87" t="s">
        <v>319</v>
      </c>
      <c r="D54" s="91"/>
      <c r="E54" s="43">
        <v>0</v>
      </c>
      <c r="F54" s="44">
        <v>0</v>
      </c>
      <c r="G54" s="44">
        <v>0</v>
      </c>
      <c r="H54" s="45">
        <f t="shared" si="0"/>
        <v>0</v>
      </c>
      <c r="I54" s="171"/>
    </row>
    <row r="55" spans="1:9" ht="14.1" customHeight="1" x14ac:dyDescent="0.2">
      <c r="A55" s="9" t="s">
        <v>90</v>
      </c>
      <c r="B55" s="86">
        <v>536152</v>
      </c>
      <c r="C55" s="87" t="s">
        <v>320</v>
      </c>
      <c r="D55" s="91">
        <f>9335420</f>
        <v>9335420</v>
      </c>
      <c r="E55" s="43">
        <v>6266981.567158075</v>
      </c>
      <c r="F55" s="44">
        <v>3068438.432841925</v>
      </c>
      <c r="G55" s="44">
        <v>0</v>
      </c>
      <c r="H55" s="45">
        <f t="shared" si="0"/>
        <v>0</v>
      </c>
      <c r="I55" s="171"/>
    </row>
    <row r="56" spans="1:9" ht="14.1" customHeight="1" x14ac:dyDescent="0.2">
      <c r="A56" s="9" t="s">
        <v>91</v>
      </c>
      <c r="B56" s="86">
        <v>536153</v>
      </c>
      <c r="C56" s="87" t="s">
        <v>92</v>
      </c>
      <c r="D56" s="91">
        <f>91453</f>
        <v>91453</v>
      </c>
      <c r="E56" s="43">
        <v>61393.516870296931</v>
      </c>
      <c r="F56" s="44">
        <v>30059.483129703069</v>
      </c>
      <c r="G56" s="44">
        <v>0</v>
      </c>
      <c r="H56" s="45">
        <f t="shared" si="0"/>
        <v>0</v>
      </c>
      <c r="I56" s="171"/>
    </row>
    <row r="57" spans="1:9" ht="14.1" customHeight="1" x14ac:dyDescent="0.2">
      <c r="A57" s="9" t="s">
        <v>93</v>
      </c>
      <c r="B57" s="86">
        <v>536154</v>
      </c>
      <c r="C57" s="87" t="s">
        <v>321</v>
      </c>
      <c r="D57" s="91">
        <f>404409505</f>
        <v>404409505</v>
      </c>
      <c r="E57" s="43">
        <v>271485044.42419529</v>
      </c>
      <c r="F57" s="44">
        <v>132924460.57580471</v>
      </c>
      <c r="G57" s="44">
        <v>0</v>
      </c>
      <c r="H57" s="45">
        <f t="shared" si="0"/>
        <v>0</v>
      </c>
      <c r="I57" s="171"/>
    </row>
    <row r="58" spans="1:9" ht="14.1" customHeight="1" x14ac:dyDescent="0.2">
      <c r="A58" s="9" t="s">
        <v>95</v>
      </c>
      <c r="B58" s="86">
        <v>536155</v>
      </c>
      <c r="C58" s="87" t="s">
        <v>322</v>
      </c>
      <c r="D58" s="91">
        <f>1100386</f>
        <v>1100386</v>
      </c>
      <c r="E58" s="43">
        <v>738702.57350593817</v>
      </c>
      <c r="F58" s="44">
        <v>361683.42649406183</v>
      </c>
      <c r="G58" s="44">
        <v>0</v>
      </c>
      <c r="H58" s="45">
        <f t="shared" si="0"/>
        <v>0</v>
      </c>
      <c r="I58" s="171"/>
    </row>
    <row r="59" spans="1:9" ht="14.1" customHeight="1" x14ac:dyDescent="0.2">
      <c r="A59" s="9" t="s">
        <v>97</v>
      </c>
      <c r="B59" s="86">
        <v>536156</v>
      </c>
      <c r="C59" s="87" t="s">
        <v>323</v>
      </c>
      <c r="D59" s="91"/>
      <c r="E59" s="43">
        <v>0</v>
      </c>
      <c r="F59" s="44">
        <v>0</v>
      </c>
      <c r="G59" s="44">
        <v>0</v>
      </c>
      <c r="H59" s="45">
        <f t="shared" si="0"/>
        <v>0</v>
      </c>
      <c r="I59" s="171"/>
    </row>
    <row r="60" spans="1:9" ht="14.1" customHeight="1" x14ac:dyDescent="0.2">
      <c r="A60" s="9" t="s">
        <v>98</v>
      </c>
      <c r="B60" s="86">
        <v>536157</v>
      </c>
      <c r="C60" s="87" t="s">
        <v>324</v>
      </c>
      <c r="D60" s="91">
        <f>6139219</f>
        <v>6139219</v>
      </c>
      <c r="E60" s="43">
        <v>4121332.7637906629</v>
      </c>
      <c r="F60" s="44">
        <v>2017886.2362093371</v>
      </c>
      <c r="G60" s="44">
        <v>0</v>
      </c>
      <c r="H60" s="45">
        <f t="shared" si="0"/>
        <v>0</v>
      </c>
      <c r="I60" s="171"/>
    </row>
    <row r="61" spans="1:9" ht="14.1" customHeight="1" x14ac:dyDescent="0.2">
      <c r="A61" s="9" t="s">
        <v>100</v>
      </c>
      <c r="B61" s="86">
        <v>536158</v>
      </c>
      <c r="C61" s="87" t="s">
        <v>325</v>
      </c>
      <c r="D61" s="91"/>
      <c r="E61" s="43">
        <v>0</v>
      </c>
      <c r="F61" s="44">
        <v>0</v>
      </c>
      <c r="G61" s="44">
        <v>0</v>
      </c>
      <c r="H61" s="45">
        <f t="shared" si="0"/>
        <v>0</v>
      </c>
      <c r="I61" s="171"/>
    </row>
    <row r="62" spans="1:9" ht="14.1" customHeight="1" x14ac:dyDescent="0.2">
      <c r="A62" s="9" t="s">
        <v>101</v>
      </c>
      <c r="B62" s="86">
        <v>536159001</v>
      </c>
      <c r="C62" s="87" t="s">
        <v>326</v>
      </c>
      <c r="D62" s="91">
        <f>252590569</f>
        <v>252590569</v>
      </c>
      <c r="E62" s="43">
        <v>169567136.77166852</v>
      </c>
      <c r="F62" s="44">
        <v>83023432.228331476</v>
      </c>
      <c r="G62" s="44">
        <v>0</v>
      </c>
      <c r="H62" s="45">
        <f t="shared" si="0"/>
        <v>0</v>
      </c>
      <c r="I62" s="171"/>
    </row>
    <row r="63" spans="1:9" ht="14.1" customHeight="1" x14ac:dyDescent="0.2">
      <c r="A63" s="9" t="s">
        <v>144</v>
      </c>
      <c r="B63" s="86">
        <v>536159002</v>
      </c>
      <c r="C63" s="87" t="s">
        <v>285</v>
      </c>
      <c r="D63" s="91"/>
      <c r="E63" s="43">
        <v>0</v>
      </c>
      <c r="F63" s="44">
        <v>0</v>
      </c>
      <c r="G63" s="44">
        <v>0</v>
      </c>
      <c r="H63" s="45">
        <f t="shared" si="0"/>
        <v>0</v>
      </c>
      <c r="I63" s="171"/>
    </row>
    <row r="64" spans="1:9" ht="14.1" customHeight="1" x14ac:dyDescent="0.2">
      <c r="A64" s="9" t="s">
        <v>103</v>
      </c>
      <c r="B64" s="86">
        <v>536160</v>
      </c>
      <c r="C64" s="87" t="s">
        <v>327</v>
      </c>
      <c r="D64" s="91">
        <f>7444</f>
        <v>7444</v>
      </c>
      <c r="E64" s="43">
        <v>4997.2481994302034</v>
      </c>
      <c r="F64" s="44">
        <v>2446.7518005697966</v>
      </c>
      <c r="G64" s="44">
        <v>0</v>
      </c>
      <c r="H64" s="45">
        <f t="shared" si="0"/>
        <v>0</v>
      </c>
      <c r="I64" s="171"/>
    </row>
    <row r="65" spans="1:9" ht="14.1" customHeight="1" x14ac:dyDescent="0.2">
      <c r="A65" s="9" t="s">
        <v>105</v>
      </c>
      <c r="B65" s="86">
        <v>536161</v>
      </c>
      <c r="C65" s="87" t="s">
        <v>328</v>
      </c>
      <c r="D65" s="91">
        <f>134270887</f>
        <v>134270887</v>
      </c>
      <c r="E65" s="43">
        <v>90137687.842107236</v>
      </c>
      <c r="F65" s="44">
        <v>44133199.157892764</v>
      </c>
      <c r="G65" s="44">
        <v>0</v>
      </c>
      <c r="H65" s="45">
        <f t="shared" si="0"/>
        <v>0</v>
      </c>
      <c r="I65" s="171"/>
    </row>
    <row r="66" spans="1:9" ht="14.1" customHeight="1" x14ac:dyDescent="0.2">
      <c r="A66" s="9" t="s">
        <v>107</v>
      </c>
      <c r="B66" s="86">
        <v>536162</v>
      </c>
      <c r="C66" s="87" t="s">
        <v>329</v>
      </c>
      <c r="D66" s="91">
        <f>5210</f>
        <v>5210</v>
      </c>
      <c r="E66" s="43">
        <v>3497.5366898215152</v>
      </c>
      <c r="F66" s="44">
        <v>1712.4633101784848</v>
      </c>
      <c r="G66" s="44">
        <v>0</v>
      </c>
      <c r="H66" s="45">
        <f t="shared" si="0"/>
        <v>0</v>
      </c>
      <c r="I66" s="171"/>
    </row>
    <row r="67" spans="1:9" ht="14.1" customHeight="1" x14ac:dyDescent="0.2">
      <c r="A67" s="9" t="s">
        <v>109</v>
      </c>
      <c r="B67" s="86">
        <v>536163</v>
      </c>
      <c r="C67" s="87" t="s">
        <v>330</v>
      </c>
      <c r="D67" s="91">
        <f>22093746</f>
        <v>22093746</v>
      </c>
      <c r="E67" s="43">
        <v>14831801.775546515</v>
      </c>
      <c r="F67" s="44">
        <v>7261944.2244534846</v>
      </c>
      <c r="G67" s="44">
        <v>0</v>
      </c>
      <c r="H67" s="45">
        <f t="shared" si="0"/>
        <v>0</v>
      </c>
      <c r="I67" s="171"/>
    </row>
    <row r="68" spans="1:9" ht="14.1" customHeight="1" x14ac:dyDescent="0.2">
      <c r="A68" s="9"/>
      <c r="B68" s="86">
        <v>536164</v>
      </c>
      <c r="C68" s="87" t="s">
        <v>331</v>
      </c>
      <c r="D68" s="91"/>
      <c r="E68" s="43">
        <v>0</v>
      </c>
      <c r="F68" s="44">
        <v>0</v>
      </c>
      <c r="G68" s="44">
        <v>0</v>
      </c>
      <c r="H68" s="45">
        <f t="shared" si="0"/>
        <v>0</v>
      </c>
      <c r="I68" s="171"/>
    </row>
    <row r="69" spans="1:9" ht="14.1" customHeight="1" x14ac:dyDescent="0.2">
      <c r="A69" s="9" t="s">
        <v>110</v>
      </c>
      <c r="B69" s="86">
        <v>536165</v>
      </c>
      <c r="C69" s="87" t="s">
        <v>332</v>
      </c>
      <c r="D69" s="91">
        <f>208169579</f>
        <v>208169579</v>
      </c>
      <c r="E69" s="43">
        <v>139746783.15877128</v>
      </c>
      <c r="F69" s="44">
        <v>68422795.841228724</v>
      </c>
      <c r="G69" s="44">
        <v>0</v>
      </c>
      <c r="H69" s="45">
        <f t="shared" si="0"/>
        <v>0</v>
      </c>
      <c r="I69" s="171"/>
    </row>
    <row r="70" spans="1:9" ht="14.1" customHeight="1" x14ac:dyDescent="0.2">
      <c r="A70" s="9" t="s">
        <v>111</v>
      </c>
      <c r="B70" s="86">
        <v>536166</v>
      </c>
      <c r="C70" s="87" t="s">
        <v>333</v>
      </c>
      <c r="D70" s="91"/>
      <c r="E70" s="43">
        <v>0</v>
      </c>
      <c r="F70" s="44">
        <v>0</v>
      </c>
      <c r="G70" s="44">
        <v>0</v>
      </c>
      <c r="H70" s="45">
        <f t="shared" ref="H70:H110" si="1">D70-E70-F70-G70</f>
        <v>0</v>
      </c>
      <c r="I70" s="171"/>
    </row>
    <row r="71" spans="1:9" ht="14.1" customHeight="1" x14ac:dyDescent="0.2">
      <c r="A71" s="9" t="s">
        <v>113</v>
      </c>
      <c r="B71" s="86">
        <v>536167</v>
      </c>
      <c r="C71" s="87" t="s">
        <v>334</v>
      </c>
      <c r="D71" s="91"/>
      <c r="E71" s="43">
        <v>0</v>
      </c>
      <c r="F71" s="44">
        <v>0</v>
      </c>
      <c r="G71" s="44">
        <v>0</v>
      </c>
      <c r="H71" s="45">
        <f t="shared" si="1"/>
        <v>0</v>
      </c>
      <c r="I71" s="171"/>
    </row>
    <row r="72" spans="1:9" ht="14.1" customHeight="1" x14ac:dyDescent="0.2">
      <c r="A72" s="9" t="s">
        <v>114</v>
      </c>
      <c r="B72" s="86">
        <v>536168</v>
      </c>
      <c r="C72" s="87" t="s">
        <v>275</v>
      </c>
      <c r="D72" s="91"/>
      <c r="E72" s="43">
        <v>0</v>
      </c>
      <c r="F72" s="44">
        <v>0</v>
      </c>
      <c r="G72" s="44">
        <v>0</v>
      </c>
      <c r="H72" s="45">
        <f t="shared" si="1"/>
        <v>0</v>
      </c>
      <c r="I72" s="171"/>
    </row>
    <row r="73" spans="1:9" ht="14.1" customHeight="1" x14ac:dyDescent="0.2">
      <c r="A73" s="9" t="s">
        <v>115</v>
      </c>
      <c r="B73" s="88">
        <v>536169</v>
      </c>
      <c r="C73" s="89" t="s">
        <v>335</v>
      </c>
      <c r="D73" s="38">
        <f>127679155</f>
        <v>127679155</v>
      </c>
      <c r="E73" s="43">
        <v>85712577.569656074</v>
      </c>
      <c r="F73" s="44">
        <v>41966577.430343926</v>
      </c>
      <c r="G73" s="44">
        <v>0</v>
      </c>
      <c r="H73" s="45">
        <f t="shared" si="1"/>
        <v>0</v>
      </c>
      <c r="I73" s="171"/>
    </row>
    <row r="74" spans="1:9" ht="14.1" customHeight="1" x14ac:dyDescent="0.2">
      <c r="A74" s="9" t="s">
        <v>116</v>
      </c>
      <c r="B74" s="86">
        <v>536170</v>
      </c>
      <c r="C74" s="87" t="s">
        <v>117</v>
      </c>
      <c r="D74" s="91">
        <f>2970799635</f>
        <v>2970799635</v>
      </c>
      <c r="E74" s="43">
        <v>1994334111.6162889</v>
      </c>
      <c r="F74" s="44">
        <v>976465523.3837111</v>
      </c>
      <c r="G74" s="44">
        <v>0</v>
      </c>
      <c r="H74" s="45">
        <f t="shared" si="1"/>
        <v>0</v>
      </c>
      <c r="I74" s="171"/>
    </row>
    <row r="75" spans="1:9" ht="14.1" customHeight="1" x14ac:dyDescent="0.2">
      <c r="A75" s="9" t="s">
        <v>118</v>
      </c>
      <c r="B75" s="86">
        <v>536171</v>
      </c>
      <c r="C75" s="87" t="s">
        <v>119</v>
      </c>
      <c r="D75" s="91">
        <f>9138915</f>
        <v>9138915</v>
      </c>
      <c r="E75" s="43">
        <v>6135065.3584760446</v>
      </c>
      <c r="F75" s="44">
        <v>3003849.6415239554</v>
      </c>
      <c r="G75" s="44">
        <v>0</v>
      </c>
      <c r="H75" s="45">
        <f t="shared" si="1"/>
        <v>0</v>
      </c>
      <c r="I75" s="171"/>
    </row>
    <row r="76" spans="1:9" ht="14.1" customHeight="1" x14ac:dyDescent="0.2">
      <c r="A76" s="9" t="s">
        <v>120</v>
      </c>
      <c r="B76" s="86">
        <v>536172</v>
      </c>
      <c r="C76" s="87" t="s">
        <v>121</v>
      </c>
      <c r="D76" s="91">
        <f>69657689</f>
        <v>69657689</v>
      </c>
      <c r="E76" s="43">
        <v>46762058.158479184</v>
      </c>
      <c r="F76" s="44">
        <v>22895630.841520816</v>
      </c>
      <c r="G76" s="44">
        <v>0</v>
      </c>
      <c r="H76" s="45">
        <f t="shared" si="1"/>
        <v>0</v>
      </c>
      <c r="I76" s="171"/>
    </row>
    <row r="77" spans="1:9" ht="14.1" customHeight="1" x14ac:dyDescent="0.2">
      <c r="A77" s="9" t="s">
        <v>251</v>
      </c>
      <c r="B77" s="86">
        <v>536173</v>
      </c>
      <c r="C77" s="87" t="s">
        <v>122</v>
      </c>
      <c r="D77" s="91">
        <f>50849873</f>
        <v>50849873</v>
      </c>
      <c r="E77" s="43">
        <v>34136141.360895284</v>
      </c>
      <c r="F77" s="44">
        <v>16713731.639104716</v>
      </c>
      <c r="G77" s="44">
        <v>0</v>
      </c>
      <c r="H77" s="45">
        <f t="shared" si="1"/>
        <v>0</v>
      </c>
      <c r="I77" s="171"/>
    </row>
    <row r="78" spans="1:9" ht="14.1" customHeight="1" x14ac:dyDescent="0.2">
      <c r="A78" s="9" t="s">
        <v>252</v>
      </c>
      <c r="B78" s="86">
        <v>536174</v>
      </c>
      <c r="C78" s="87" t="s">
        <v>123</v>
      </c>
      <c r="D78" s="91"/>
      <c r="E78" s="43">
        <v>0</v>
      </c>
      <c r="F78" s="44">
        <v>0</v>
      </c>
      <c r="G78" s="44">
        <v>0</v>
      </c>
      <c r="H78" s="45">
        <f t="shared" si="1"/>
        <v>0</v>
      </c>
      <c r="I78" s="171"/>
    </row>
    <row r="79" spans="1:9" ht="14.1" customHeight="1" x14ac:dyDescent="0.2">
      <c r="A79" s="9" t="s">
        <v>253</v>
      </c>
      <c r="B79" s="86">
        <v>536175</v>
      </c>
      <c r="C79" s="87" t="s">
        <v>124</v>
      </c>
      <c r="D79" s="91">
        <f>389105136</f>
        <v>389105136</v>
      </c>
      <c r="E79" s="43">
        <v>261211034.42571795</v>
      </c>
      <c r="F79" s="44">
        <v>127894101.57428205</v>
      </c>
      <c r="G79" s="44">
        <v>0</v>
      </c>
      <c r="H79" s="45">
        <f t="shared" si="1"/>
        <v>0</v>
      </c>
      <c r="I79" s="171"/>
    </row>
    <row r="80" spans="1:9" ht="14.1" customHeight="1" x14ac:dyDescent="0.2">
      <c r="A80" s="9" t="s">
        <v>254</v>
      </c>
      <c r="B80" s="86">
        <v>536176001</v>
      </c>
      <c r="C80" s="87" t="s">
        <v>125</v>
      </c>
      <c r="D80" s="91"/>
      <c r="E80" s="43">
        <v>0</v>
      </c>
      <c r="F80" s="44">
        <v>0</v>
      </c>
      <c r="G80" s="44">
        <v>0</v>
      </c>
      <c r="H80" s="45">
        <f t="shared" si="1"/>
        <v>0</v>
      </c>
      <c r="I80" s="171"/>
    </row>
    <row r="81" spans="1:9" ht="14.1" customHeight="1" x14ac:dyDescent="0.2">
      <c r="A81" s="9" t="s">
        <v>255</v>
      </c>
      <c r="B81" s="86">
        <v>536176002</v>
      </c>
      <c r="C81" s="87" t="s">
        <v>126</v>
      </c>
      <c r="D81" s="91"/>
      <c r="E81" s="43">
        <v>0</v>
      </c>
      <c r="F81" s="44">
        <v>0</v>
      </c>
      <c r="G81" s="44">
        <v>0</v>
      </c>
      <c r="H81" s="45">
        <f t="shared" si="1"/>
        <v>0</v>
      </c>
      <c r="I81" s="171"/>
    </row>
    <row r="82" spans="1:9" ht="14.1" customHeight="1" x14ac:dyDescent="0.2">
      <c r="A82" s="190" t="s">
        <v>127</v>
      </c>
      <c r="B82" s="86">
        <v>536177</v>
      </c>
      <c r="C82" s="87" t="s">
        <v>336</v>
      </c>
      <c r="D82" s="91">
        <f>39909921</f>
        <v>39909921</v>
      </c>
      <c r="E82" s="43">
        <v>26792017.847481415</v>
      </c>
      <c r="F82" s="44">
        <v>13117903.152518585</v>
      </c>
      <c r="G82" s="44">
        <v>0</v>
      </c>
      <c r="H82" s="45">
        <f t="shared" si="1"/>
        <v>0</v>
      </c>
      <c r="I82" s="171"/>
    </row>
    <row r="83" spans="1:9" ht="14.1" customHeight="1" x14ac:dyDescent="0.2">
      <c r="A83" s="9" t="s">
        <v>127</v>
      </c>
      <c r="B83" s="86">
        <v>536178</v>
      </c>
      <c r="C83" s="87" t="s">
        <v>337</v>
      </c>
      <c r="D83" s="91"/>
      <c r="E83" s="43">
        <v>0</v>
      </c>
      <c r="F83" s="44">
        <v>0</v>
      </c>
      <c r="G83" s="44">
        <v>0</v>
      </c>
      <c r="H83" s="45">
        <f t="shared" si="1"/>
        <v>0</v>
      </c>
      <c r="I83" s="171"/>
    </row>
    <row r="84" spans="1:9" ht="14.1" customHeight="1" x14ac:dyDescent="0.2">
      <c r="A84" s="9" t="s">
        <v>128</v>
      </c>
      <c r="B84" s="86">
        <v>536179</v>
      </c>
      <c r="C84" s="87" t="s">
        <v>338</v>
      </c>
      <c r="D84" s="91"/>
      <c r="E84" s="43">
        <v>0</v>
      </c>
      <c r="F84" s="44">
        <v>0</v>
      </c>
      <c r="G84" s="44">
        <v>0</v>
      </c>
      <c r="H84" s="45">
        <f t="shared" si="1"/>
        <v>0</v>
      </c>
      <c r="I84" s="171"/>
    </row>
    <row r="85" spans="1:9" ht="14.1" customHeight="1" x14ac:dyDescent="0.2">
      <c r="A85" s="9" t="s">
        <v>129</v>
      </c>
      <c r="B85" s="86">
        <v>536180</v>
      </c>
      <c r="C85" s="87" t="s">
        <v>339</v>
      </c>
      <c r="D85" s="91"/>
      <c r="E85" s="43">
        <v>0</v>
      </c>
      <c r="F85" s="44">
        <v>0</v>
      </c>
      <c r="G85" s="44">
        <v>0</v>
      </c>
      <c r="H85" s="45">
        <f t="shared" si="1"/>
        <v>0</v>
      </c>
      <c r="I85" s="171"/>
    </row>
    <row r="86" spans="1:9" ht="14.1" customHeight="1" x14ac:dyDescent="0.2">
      <c r="A86" s="9" t="s">
        <v>131</v>
      </c>
      <c r="B86" s="86">
        <v>536181</v>
      </c>
      <c r="C86" s="87" t="s">
        <v>340</v>
      </c>
      <c r="D86" s="91"/>
      <c r="E86" s="43">
        <v>0</v>
      </c>
      <c r="F86" s="44">
        <v>0</v>
      </c>
      <c r="G86" s="44">
        <v>0</v>
      </c>
      <c r="H86" s="45">
        <f t="shared" si="1"/>
        <v>0</v>
      </c>
      <c r="I86" s="171"/>
    </row>
    <row r="87" spans="1:9" ht="14.1" customHeight="1" x14ac:dyDescent="0.2">
      <c r="A87" s="9" t="s">
        <v>132</v>
      </c>
      <c r="B87" s="86">
        <v>536182</v>
      </c>
      <c r="C87" s="87" t="s">
        <v>341</v>
      </c>
      <c r="D87" s="91"/>
      <c r="E87" s="43">
        <v>0</v>
      </c>
      <c r="F87" s="44">
        <v>0</v>
      </c>
      <c r="G87" s="44">
        <v>0</v>
      </c>
      <c r="H87" s="45">
        <f t="shared" si="1"/>
        <v>0</v>
      </c>
      <c r="I87" s="171"/>
    </row>
    <row r="88" spans="1:9" ht="14.1" customHeight="1" x14ac:dyDescent="0.2">
      <c r="A88" s="9" t="s">
        <v>134</v>
      </c>
      <c r="B88" s="86">
        <v>536183</v>
      </c>
      <c r="C88" s="87" t="s">
        <v>342</v>
      </c>
      <c r="D88" s="91"/>
      <c r="E88" s="43">
        <v>0</v>
      </c>
      <c r="F88" s="44">
        <v>0</v>
      </c>
      <c r="G88" s="44">
        <v>0</v>
      </c>
      <c r="H88" s="45">
        <f t="shared" si="1"/>
        <v>0</v>
      </c>
      <c r="I88" s="171"/>
    </row>
    <row r="89" spans="1:9" ht="14.1" customHeight="1" x14ac:dyDescent="0.2">
      <c r="A89" s="9" t="s">
        <v>136</v>
      </c>
      <c r="B89" s="86">
        <v>536184</v>
      </c>
      <c r="C89" s="87" t="s">
        <v>343</v>
      </c>
      <c r="D89" s="91"/>
      <c r="E89" s="43">
        <v>0</v>
      </c>
      <c r="F89" s="44">
        <v>0</v>
      </c>
      <c r="G89" s="44">
        <v>0</v>
      </c>
      <c r="H89" s="45">
        <f t="shared" si="1"/>
        <v>0</v>
      </c>
      <c r="I89" s="171"/>
    </row>
    <row r="90" spans="1:9" ht="14.1" customHeight="1" x14ac:dyDescent="0.2">
      <c r="A90" s="9" t="s">
        <v>138</v>
      </c>
      <c r="B90" s="86">
        <v>536185</v>
      </c>
      <c r="C90" s="87" t="s">
        <v>344</v>
      </c>
      <c r="D90" s="91"/>
      <c r="E90" s="43">
        <v>0</v>
      </c>
      <c r="F90" s="44">
        <v>0</v>
      </c>
      <c r="G90" s="44">
        <v>0</v>
      </c>
      <c r="H90" s="45">
        <f t="shared" si="1"/>
        <v>0</v>
      </c>
      <c r="I90" s="171"/>
    </row>
    <row r="91" spans="1:9" ht="14.1" customHeight="1" x14ac:dyDescent="0.2">
      <c r="A91" s="9" t="s">
        <v>139</v>
      </c>
      <c r="B91" s="86">
        <v>536186</v>
      </c>
      <c r="C91" s="87" t="s">
        <v>345</v>
      </c>
      <c r="D91" s="91"/>
      <c r="E91" s="43">
        <v>0</v>
      </c>
      <c r="F91" s="44">
        <v>0</v>
      </c>
      <c r="G91" s="44">
        <v>0</v>
      </c>
      <c r="H91" s="45">
        <f t="shared" si="1"/>
        <v>0</v>
      </c>
      <c r="I91" s="171"/>
    </row>
    <row r="92" spans="1:9" ht="14.1" customHeight="1" x14ac:dyDescent="0.2">
      <c r="A92" s="9" t="s">
        <v>140</v>
      </c>
      <c r="B92" s="86">
        <v>536187</v>
      </c>
      <c r="C92" s="87" t="s">
        <v>346</v>
      </c>
      <c r="D92" s="91">
        <f>15132761</f>
        <v>15132761</v>
      </c>
      <c r="E92" s="43">
        <v>10158807.450249543</v>
      </c>
      <c r="F92" s="44">
        <v>4973953.5497504566</v>
      </c>
      <c r="G92" s="44">
        <v>0</v>
      </c>
      <c r="H92" s="45">
        <f t="shared" si="1"/>
        <v>0</v>
      </c>
      <c r="I92" s="171"/>
    </row>
    <row r="93" spans="1:9" ht="14.1" customHeight="1" x14ac:dyDescent="0.2">
      <c r="A93" s="9"/>
      <c r="B93" s="86">
        <v>536188</v>
      </c>
      <c r="C93" s="87" t="s">
        <v>347</v>
      </c>
      <c r="D93" s="91">
        <f>61847028</f>
        <v>61847028</v>
      </c>
      <c r="E93" s="43">
        <v>41518665.947489165</v>
      </c>
      <c r="F93" s="44">
        <v>20328362.052510835</v>
      </c>
      <c r="G93" s="44">
        <v>0</v>
      </c>
      <c r="H93" s="45">
        <f t="shared" si="1"/>
        <v>0</v>
      </c>
      <c r="I93" s="171"/>
    </row>
    <row r="94" spans="1:9" ht="14.1" customHeight="1" x14ac:dyDescent="0.2">
      <c r="A94" s="190" t="s">
        <v>143</v>
      </c>
      <c r="B94" s="86">
        <v>536189</v>
      </c>
      <c r="C94" s="87" t="s">
        <v>348</v>
      </c>
      <c r="D94" s="91"/>
      <c r="E94" s="43">
        <v>0</v>
      </c>
      <c r="F94" s="44">
        <v>0</v>
      </c>
      <c r="G94" s="44">
        <v>0</v>
      </c>
      <c r="H94" s="45">
        <f t="shared" si="1"/>
        <v>0</v>
      </c>
      <c r="I94" s="171"/>
    </row>
    <row r="95" spans="1:9" ht="14.1" customHeight="1" x14ac:dyDescent="0.2">
      <c r="A95" s="51" t="s">
        <v>143</v>
      </c>
      <c r="B95" s="86">
        <v>536190</v>
      </c>
      <c r="C95" s="87" t="s">
        <v>287</v>
      </c>
      <c r="D95" s="91">
        <f>290529764</f>
        <v>290529764</v>
      </c>
      <c r="E95" s="203">
        <v>0</v>
      </c>
      <c r="F95" s="44">
        <v>290529764</v>
      </c>
      <c r="G95" s="52">
        <v>0</v>
      </c>
      <c r="H95" s="53">
        <f t="shared" si="1"/>
        <v>0</v>
      </c>
      <c r="I95" s="171"/>
    </row>
    <row r="96" spans="1:9" ht="14.1" customHeight="1" x14ac:dyDescent="0.2">
      <c r="A96" s="51"/>
      <c r="B96" s="86">
        <v>536191</v>
      </c>
      <c r="C96" s="87" t="s">
        <v>460</v>
      </c>
      <c r="D96" s="91"/>
      <c r="E96" s="43">
        <v>0</v>
      </c>
      <c r="F96" s="44">
        <v>0</v>
      </c>
      <c r="G96" s="52">
        <v>0</v>
      </c>
      <c r="H96" s="53">
        <f t="shared" si="1"/>
        <v>0</v>
      </c>
      <c r="I96" s="171"/>
    </row>
    <row r="97" spans="1:9" ht="14.1" customHeight="1" x14ac:dyDescent="0.2">
      <c r="A97" s="51"/>
      <c r="B97" s="86">
        <v>536194</v>
      </c>
      <c r="C97" s="87" t="s">
        <v>462</v>
      </c>
      <c r="D97" s="91"/>
      <c r="E97" s="43">
        <v>0</v>
      </c>
      <c r="F97" s="44">
        <v>0</v>
      </c>
      <c r="G97" s="52">
        <v>0</v>
      </c>
      <c r="H97" s="53">
        <f t="shared" si="1"/>
        <v>0</v>
      </c>
      <c r="I97" s="171"/>
    </row>
    <row r="98" spans="1:9" ht="14.1" customHeight="1" x14ac:dyDescent="0.2">
      <c r="A98" s="51"/>
      <c r="B98" s="86">
        <v>536195</v>
      </c>
      <c r="C98" s="87" t="s">
        <v>349</v>
      </c>
      <c r="D98" s="91">
        <f>38127695</f>
        <v>38127695</v>
      </c>
      <c r="E98" s="203">
        <v>38127695</v>
      </c>
      <c r="F98" s="44">
        <v>0</v>
      </c>
      <c r="G98" s="52">
        <v>0</v>
      </c>
      <c r="H98" s="53">
        <f t="shared" si="1"/>
        <v>0</v>
      </c>
      <c r="I98" s="171"/>
    </row>
    <row r="99" spans="1:9" ht="14.1" customHeight="1" x14ac:dyDescent="0.2">
      <c r="A99" s="51" t="s">
        <v>31</v>
      </c>
      <c r="B99" s="86" t="s">
        <v>464</v>
      </c>
      <c r="C99" s="87" t="s">
        <v>465</v>
      </c>
      <c r="D99" s="91">
        <f>150578733</f>
        <v>150578733</v>
      </c>
      <c r="E99" s="43">
        <v>101085344.21772318</v>
      </c>
      <c r="F99" s="44">
        <v>49493388.782276824</v>
      </c>
      <c r="G99" s="52">
        <v>0</v>
      </c>
      <c r="H99" s="53">
        <f t="shared" si="1"/>
        <v>0</v>
      </c>
      <c r="I99" s="171"/>
    </row>
    <row r="100" spans="1:9" ht="14.1" customHeight="1" x14ac:dyDescent="0.2">
      <c r="A100" s="51" t="s">
        <v>31</v>
      </c>
      <c r="B100" s="86" t="s">
        <v>466</v>
      </c>
      <c r="C100" s="87" t="s">
        <v>480</v>
      </c>
      <c r="D100" s="91"/>
      <c r="E100" s="43">
        <v>0</v>
      </c>
      <c r="F100" s="44">
        <v>0</v>
      </c>
      <c r="G100" s="52">
        <v>0</v>
      </c>
      <c r="H100" s="53">
        <f t="shared" si="1"/>
        <v>0</v>
      </c>
      <c r="I100" s="171"/>
    </row>
    <row r="101" spans="1:9" ht="14.1" customHeight="1" x14ac:dyDescent="0.2">
      <c r="A101" s="51" t="s">
        <v>31</v>
      </c>
      <c r="B101" s="86" t="s">
        <v>467</v>
      </c>
      <c r="C101" s="87" t="s">
        <v>481</v>
      </c>
      <c r="D101" s="91"/>
      <c r="E101" s="43">
        <v>0</v>
      </c>
      <c r="F101" s="44">
        <v>0</v>
      </c>
      <c r="G101" s="52">
        <v>0</v>
      </c>
      <c r="H101" s="53">
        <f t="shared" si="1"/>
        <v>0</v>
      </c>
      <c r="I101" s="171"/>
    </row>
    <row r="102" spans="1:9" ht="14.1" customHeight="1" x14ac:dyDescent="0.2">
      <c r="A102" s="51" t="s">
        <v>31</v>
      </c>
      <c r="B102" s="86" t="s">
        <v>468</v>
      </c>
      <c r="C102" s="87" t="s">
        <v>482</v>
      </c>
      <c r="D102" s="91"/>
      <c r="E102" s="43">
        <v>0</v>
      </c>
      <c r="F102" s="44">
        <v>0</v>
      </c>
      <c r="G102" s="52">
        <v>0</v>
      </c>
      <c r="H102" s="53">
        <f t="shared" si="1"/>
        <v>0</v>
      </c>
      <c r="I102" s="171"/>
    </row>
    <row r="103" spans="1:9" ht="14.1" customHeight="1" x14ac:dyDescent="0.2">
      <c r="A103" s="51" t="s">
        <v>31</v>
      </c>
      <c r="B103" s="86" t="s">
        <v>469</v>
      </c>
      <c r="C103" s="87" t="s">
        <v>483</v>
      </c>
      <c r="D103" s="91">
        <f>58093344</f>
        <v>58093344</v>
      </c>
      <c r="E103" s="43">
        <v>38998771.991251931</v>
      </c>
      <c r="F103" s="44">
        <v>19094572.008748069</v>
      </c>
      <c r="G103" s="52">
        <v>0</v>
      </c>
      <c r="H103" s="53">
        <f t="shared" si="1"/>
        <v>0</v>
      </c>
      <c r="I103" s="171"/>
    </row>
    <row r="104" spans="1:9" ht="14.1" customHeight="1" x14ac:dyDescent="0.2">
      <c r="A104" s="51" t="s">
        <v>31</v>
      </c>
      <c r="B104" s="86" t="s">
        <v>470</v>
      </c>
      <c r="C104" s="87" t="s">
        <v>484</v>
      </c>
      <c r="D104" s="91"/>
      <c r="E104" s="43">
        <v>0</v>
      </c>
      <c r="F104" s="44">
        <v>0</v>
      </c>
      <c r="G104" s="52">
        <v>0</v>
      </c>
      <c r="H104" s="53">
        <f t="shared" si="1"/>
        <v>0</v>
      </c>
      <c r="I104" s="171"/>
    </row>
    <row r="105" spans="1:9" ht="14.1" customHeight="1" x14ac:dyDescent="0.2">
      <c r="A105" s="51" t="s">
        <v>48</v>
      </c>
      <c r="B105" s="86" t="s">
        <v>471</v>
      </c>
      <c r="C105" s="87" t="s">
        <v>485</v>
      </c>
      <c r="D105" s="91"/>
      <c r="E105" s="43">
        <v>0</v>
      </c>
      <c r="F105" s="44">
        <v>0</v>
      </c>
      <c r="G105" s="52">
        <v>0</v>
      </c>
      <c r="H105" s="53">
        <f t="shared" si="1"/>
        <v>0</v>
      </c>
      <c r="I105" s="171"/>
    </row>
    <row r="106" spans="1:9" ht="14.1" customHeight="1" x14ac:dyDescent="0.2">
      <c r="A106" s="51" t="s">
        <v>48</v>
      </c>
      <c r="B106" s="86" t="s">
        <v>472</v>
      </c>
      <c r="C106" s="87" t="s">
        <v>486</v>
      </c>
      <c r="D106" s="91"/>
      <c r="E106" s="43">
        <v>0</v>
      </c>
      <c r="F106" s="44">
        <v>0</v>
      </c>
      <c r="G106" s="52">
        <v>0</v>
      </c>
      <c r="H106" s="53">
        <f t="shared" si="1"/>
        <v>0</v>
      </c>
      <c r="I106" s="171"/>
    </row>
    <row r="107" spans="1:9" ht="14.1" customHeight="1" x14ac:dyDescent="0.2">
      <c r="A107" s="51" t="s">
        <v>52</v>
      </c>
      <c r="B107" s="86" t="s">
        <v>473</v>
      </c>
      <c r="C107" s="87" t="s">
        <v>487</v>
      </c>
      <c r="D107" s="91"/>
      <c r="E107" s="43">
        <v>0</v>
      </c>
      <c r="F107" s="44">
        <v>0</v>
      </c>
      <c r="G107" s="52">
        <v>0</v>
      </c>
      <c r="H107" s="53">
        <f t="shared" si="1"/>
        <v>0</v>
      </c>
      <c r="I107" s="171"/>
    </row>
    <row r="108" spans="1:9" ht="14.1" customHeight="1" x14ac:dyDescent="0.2">
      <c r="A108" s="51" t="s">
        <v>52</v>
      </c>
      <c r="B108" s="86" t="s">
        <v>474</v>
      </c>
      <c r="C108" s="87" t="s">
        <v>488</v>
      </c>
      <c r="D108" s="91"/>
      <c r="E108" s="43">
        <v>0</v>
      </c>
      <c r="F108" s="44">
        <v>0</v>
      </c>
      <c r="G108" s="52">
        <v>0</v>
      </c>
      <c r="H108" s="53">
        <f t="shared" si="1"/>
        <v>0</v>
      </c>
      <c r="I108" s="171"/>
    </row>
    <row r="109" spans="1:9" ht="14.1" customHeight="1" x14ac:dyDescent="0.2">
      <c r="A109" s="51" t="s">
        <v>127</v>
      </c>
      <c r="B109" s="86" t="s">
        <v>475</v>
      </c>
      <c r="C109" s="87" t="s">
        <v>489</v>
      </c>
      <c r="D109" s="91"/>
      <c r="E109" s="43">
        <v>0</v>
      </c>
      <c r="F109" s="44">
        <v>0</v>
      </c>
      <c r="G109" s="52">
        <v>0</v>
      </c>
      <c r="H109" s="53">
        <f t="shared" si="1"/>
        <v>0</v>
      </c>
      <c r="I109" s="171"/>
    </row>
    <row r="110" spans="1:9" ht="14.1" customHeight="1" x14ac:dyDescent="0.2">
      <c r="A110" s="195" t="s">
        <v>127</v>
      </c>
      <c r="B110" s="86" t="s">
        <v>476</v>
      </c>
      <c r="C110" s="87" t="s">
        <v>490</v>
      </c>
      <c r="D110" s="91"/>
      <c r="E110" s="43">
        <v>0</v>
      </c>
      <c r="F110" s="44">
        <v>0</v>
      </c>
      <c r="G110" s="44">
        <v>0</v>
      </c>
      <c r="H110" s="45">
        <f t="shared" si="1"/>
        <v>0</v>
      </c>
      <c r="I110" s="171"/>
    </row>
    <row r="111" spans="1:9" s="11" customFormat="1" ht="14.1" customHeight="1" thickBot="1" x14ac:dyDescent="0.25">
      <c r="A111" s="173"/>
      <c r="B111" s="174"/>
      <c r="C111" s="175"/>
      <c r="D111" s="176"/>
      <c r="E111" s="197"/>
      <c r="F111" s="177"/>
      <c r="G111" s="192"/>
      <c r="H111" s="178"/>
      <c r="I111" s="171"/>
    </row>
    <row r="112" spans="1:9" ht="14.1" customHeight="1" thickBot="1" x14ac:dyDescent="0.25">
      <c r="A112" s="10"/>
      <c r="B112" s="90" t="s">
        <v>350</v>
      </c>
      <c r="C112" s="145"/>
      <c r="D112" s="198">
        <f>SUM(D5:D110)</f>
        <v>12481270285</v>
      </c>
      <c r="E112" s="196">
        <f>SUM(E5:E110)</f>
        <v>8142963746.1999998</v>
      </c>
      <c r="F112" s="199">
        <f>SUM(F5:F110)</f>
        <v>4338306538.8000002</v>
      </c>
      <c r="G112" s="158">
        <f>SUM(G5:G110)</f>
        <v>0</v>
      </c>
      <c r="H112" s="194">
        <f>SUM(H5:H110)</f>
        <v>0</v>
      </c>
      <c r="I112" s="171"/>
    </row>
    <row r="113" spans="1:7" s="11" customFormat="1" ht="14.1" customHeight="1" x14ac:dyDescent="0.2">
      <c r="B113" s="60"/>
      <c r="C113" s="59"/>
      <c r="D113" s="144"/>
      <c r="E113" s="27"/>
      <c r="F113" s="27"/>
      <c r="G113" s="27"/>
    </row>
    <row r="114" spans="1:7" s="11" customFormat="1" ht="14.1" customHeight="1" x14ac:dyDescent="0.2">
      <c r="A114" s="61"/>
      <c r="B114" s="60"/>
      <c r="C114" s="59"/>
      <c r="D114" s="28"/>
      <c r="E114" s="28"/>
      <c r="F114" s="28"/>
      <c r="G114" s="28"/>
    </row>
    <row r="115" spans="1:7" x14ac:dyDescent="0.2">
      <c r="A115" s="2" t="s">
        <v>503</v>
      </c>
      <c r="D115" s="180" t="s">
        <v>479</v>
      </c>
      <c r="E115" s="180" t="s">
        <v>492</v>
      </c>
      <c r="F115" s="180" t="s">
        <v>491</v>
      </c>
    </row>
    <row r="116" spans="1:7" x14ac:dyDescent="0.2">
      <c r="C116" s="61" t="s">
        <v>477</v>
      </c>
      <c r="D116" s="179">
        <f>12272598208</f>
        <v>12272598208</v>
      </c>
      <c r="E116" s="179">
        <f>8001603568</f>
        <v>8001603568</v>
      </c>
      <c r="F116" s="179">
        <f>D116-E116</f>
        <v>4270994640</v>
      </c>
    </row>
    <row r="117" spans="1:7" ht="15" x14ac:dyDescent="0.35">
      <c r="C117" s="61" t="s">
        <v>478</v>
      </c>
      <c r="D117" s="181">
        <f>208672077</f>
        <v>208672077</v>
      </c>
      <c r="E117" s="181">
        <f>141360178</f>
        <v>141360178</v>
      </c>
      <c r="F117" s="181">
        <f>D117-E117</f>
        <v>67311899</v>
      </c>
    </row>
    <row r="118" spans="1:7" x14ac:dyDescent="0.2">
      <c r="A118" s="61" t="s">
        <v>504</v>
      </c>
      <c r="C118" s="61"/>
      <c r="D118" s="179">
        <f>SUM(D116:D117)</f>
        <v>12481270285</v>
      </c>
      <c r="E118" s="179">
        <f t="shared" ref="E118:F118" si="2">SUM(E116:E117)</f>
        <v>8142963746</v>
      </c>
      <c r="F118" s="179">
        <f t="shared" si="2"/>
        <v>4338306539</v>
      </c>
    </row>
    <row r="119" spans="1:7" x14ac:dyDescent="0.2">
      <c r="E119" s="191">
        <f>E118/D118</f>
        <v>0.65241466293588879</v>
      </c>
    </row>
    <row r="121" spans="1:7" x14ac:dyDescent="0.2">
      <c r="A121" s="61"/>
      <c r="D121" s="200"/>
      <c r="E121" s="200"/>
      <c r="F121" s="201"/>
    </row>
    <row r="122" spans="1:7" x14ac:dyDescent="0.2">
      <c r="F122" s="202"/>
    </row>
  </sheetData>
  <mergeCells count="2">
    <mergeCell ref="A1:F1"/>
    <mergeCell ref="A2:F2"/>
  </mergeCells>
  <phoneticPr fontId="0" type="noConversion"/>
  <printOptions horizontalCentered="1"/>
  <pageMargins left="0.25" right="0.25" top="1" bottom="0.75" header="0.5" footer="0.5"/>
  <pageSetup scale="70" fitToHeight="2" orientation="portrait" r:id="rId1"/>
  <headerFooter alignWithMargins="0">
    <oddHeader>&amp;L&amp;"Arial,Regular"&amp;9DEPARTMENT OF HEALTH AND HUMAN SERVICES
DIVISION OF MEDICAL ASSISTANCE
BUDGET MANAGEMENT</oddHeader>
    <oddFooter>&amp;L&amp;"Arial,Regular"&amp;8&amp;F  &amp;A&amp;C&amp;"Arial,Regular"&amp;9Page &amp;P of &amp;N&amp;R&amp;"Arial,Regular"&amp;8&amp;D  &amp;T  rhc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L107"/>
  <sheetViews>
    <sheetView showGridLines="0" workbookViewId="0">
      <pane xSplit="1" ySplit="4" topLeftCell="B5" activePane="bottomRight" state="frozen"/>
      <selection activeCell="B107" sqref="B107"/>
      <selection pane="topRight" activeCell="B107" sqref="B107"/>
      <selection pane="bottomLeft" activeCell="B107" sqref="B107"/>
      <selection pane="bottomRight" activeCell="C14" sqref="C14"/>
    </sheetView>
  </sheetViews>
  <sheetFormatPr defaultColWidth="7.875" defaultRowHeight="12.75" x14ac:dyDescent="0.2"/>
  <cols>
    <col min="1" max="3" width="12.5" style="2" customWidth="1"/>
    <col min="4" max="4" width="14.5" style="2" customWidth="1"/>
    <col min="5" max="7" width="12.5" style="2" customWidth="1"/>
    <col min="8" max="8" width="12.875" style="2" customWidth="1"/>
    <col min="9" max="9" width="14.125" style="2" customWidth="1"/>
    <col min="10" max="10" width="12" style="2" customWidth="1"/>
    <col min="11" max="11" width="10.875" style="2" bestFit="1" customWidth="1"/>
    <col min="12" max="12" width="11" style="2" customWidth="1"/>
    <col min="13" max="16384" width="7.875" style="2"/>
  </cols>
  <sheetData>
    <row r="1" spans="1:12" x14ac:dyDescent="0.2">
      <c r="A1" s="1"/>
      <c r="B1" s="56"/>
      <c r="C1" s="56"/>
      <c r="D1" s="57" t="s">
        <v>461</v>
      </c>
      <c r="E1" s="56"/>
      <c r="F1" s="56"/>
      <c r="G1" s="56"/>
      <c r="H1" s="58"/>
      <c r="I1" s="98"/>
      <c r="J1" s="58"/>
      <c r="K1" s="58"/>
      <c r="L1" s="106"/>
    </row>
    <row r="2" spans="1:12" x14ac:dyDescent="0.2">
      <c r="A2" s="3"/>
      <c r="B2" s="59"/>
      <c r="C2" s="59"/>
      <c r="D2" s="60" t="s">
        <v>351</v>
      </c>
      <c r="E2" s="59"/>
      <c r="F2" s="59"/>
      <c r="G2" s="59"/>
      <c r="H2" s="61"/>
      <c r="I2" s="60"/>
      <c r="J2" s="61"/>
      <c r="K2" s="61"/>
      <c r="L2" s="107"/>
    </row>
    <row r="3" spans="1:12" ht="13.5" thickBot="1" x14ac:dyDescent="0.25">
      <c r="A3" s="3"/>
      <c r="B3" s="59"/>
      <c r="C3" s="59"/>
      <c r="D3" s="60" t="s">
        <v>494</v>
      </c>
      <c r="E3" s="59"/>
      <c r="F3" s="59"/>
      <c r="G3" s="59"/>
      <c r="H3" s="108"/>
      <c r="I3" s="99"/>
      <c r="J3" s="108"/>
      <c r="K3" s="108"/>
      <c r="L3" s="109"/>
    </row>
    <row r="4" spans="1:12" ht="44.45" customHeight="1" thickBot="1" x14ac:dyDescent="0.25">
      <c r="A4" s="63" t="s">
        <v>248</v>
      </c>
      <c r="B4" s="147">
        <v>41821</v>
      </c>
      <c r="C4" s="68">
        <v>41852</v>
      </c>
      <c r="D4" s="68">
        <v>41883</v>
      </c>
      <c r="E4" s="68">
        <v>41913</v>
      </c>
      <c r="F4" s="68">
        <v>41944</v>
      </c>
      <c r="G4" s="148">
        <v>41974</v>
      </c>
      <c r="H4" s="55" t="s">
        <v>288</v>
      </c>
      <c r="I4" s="62" t="s">
        <v>289</v>
      </c>
      <c r="J4" s="100" t="s">
        <v>493</v>
      </c>
      <c r="K4" s="105" t="s">
        <v>352</v>
      </c>
      <c r="L4" s="105" t="s">
        <v>353</v>
      </c>
    </row>
    <row r="5" spans="1:12" ht="14.1" customHeight="1" x14ac:dyDescent="0.2">
      <c r="A5" s="4" t="s">
        <v>145</v>
      </c>
      <c r="B5" s="167"/>
      <c r="C5" s="167"/>
      <c r="D5" s="167"/>
      <c r="E5" s="167"/>
      <c r="F5" s="167"/>
      <c r="G5" s="167"/>
      <c r="H5" s="149">
        <f t="shared" ref="H5:H68" si="0">SUM(B5:G5)</f>
        <v>0</v>
      </c>
      <c r="I5" s="150" t="e">
        <f t="shared" ref="I5:I68" si="1">H5/H$105</f>
        <v>#DIV/0!</v>
      </c>
      <c r="J5" s="101">
        <f>H5/6*12</f>
        <v>0</v>
      </c>
      <c r="K5" s="151">
        <f>J5*0.5</f>
        <v>0</v>
      </c>
      <c r="L5" s="135">
        <f>J5-K5</f>
        <v>0</v>
      </c>
    </row>
    <row r="6" spans="1:12" ht="14.1" customHeight="1" x14ac:dyDescent="0.2">
      <c r="A6" s="4" t="s">
        <v>146</v>
      </c>
      <c r="B6" s="168"/>
      <c r="C6" s="168"/>
      <c r="D6" s="168"/>
      <c r="E6" s="168"/>
      <c r="F6" s="168"/>
      <c r="G6" s="168"/>
      <c r="H6" s="149">
        <f t="shared" si="0"/>
        <v>0</v>
      </c>
      <c r="I6" s="150" t="e">
        <f t="shared" si="1"/>
        <v>#DIV/0!</v>
      </c>
      <c r="J6" s="139">
        <f t="shared" ref="J6:J69" si="2">H6/6*12</f>
        <v>0</v>
      </c>
      <c r="K6" s="151">
        <f t="shared" ref="K6:K69" si="3">J6*0.5</f>
        <v>0</v>
      </c>
      <c r="L6" s="135">
        <f t="shared" ref="L6:L69" si="4">J6-K6</f>
        <v>0</v>
      </c>
    </row>
    <row r="7" spans="1:12" ht="14.1" customHeight="1" x14ac:dyDescent="0.2">
      <c r="A7" s="4" t="s">
        <v>147</v>
      </c>
      <c r="B7" s="168"/>
      <c r="C7" s="168"/>
      <c r="D7" s="168"/>
      <c r="E7" s="168"/>
      <c r="F7" s="168"/>
      <c r="G7" s="168"/>
      <c r="H7" s="152">
        <f t="shared" si="0"/>
        <v>0</v>
      </c>
      <c r="I7" s="153" t="e">
        <f t="shared" si="1"/>
        <v>#DIV/0!</v>
      </c>
      <c r="J7" s="139">
        <f t="shared" si="2"/>
        <v>0</v>
      </c>
      <c r="K7" s="154">
        <f t="shared" si="3"/>
        <v>0</v>
      </c>
      <c r="L7" s="155">
        <f t="shared" si="4"/>
        <v>0</v>
      </c>
    </row>
    <row r="8" spans="1:12" ht="14.1" customHeight="1" x14ac:dyDescent="0.2">
      <c r="A8" s="4" t="s">
        <v>148</v>
      </c>
      <c r="B8" s="168"/>
      <c r="C8" s="168"/>
      <c r="D8" s="168"/>
      <c r="E8" s="168"/>
      <c r="F8" s="168"/>
      <c r="G8" s="168"/>
      <c r="H8" s="149">
        <f t="shared" si="0"/>
        <v>0</v>
      </c>
      <c r="I8" s="140" t="e">
        <f t="shared" si="1"/>
        <v>#DIV/0!</v>
      </c>
      <c r="J8" s="139">
        <f t="shared" si="2"/>
        <v>0</v>
      </c>
      <c r="K8" s="139">
        <f t="shared" si="3"/>
        <v>0</v>
      </c>
      <c r="L8" s="139">
        <f t="shared" si="4"/>
        <v>0</v>
      </c>
    </row>
    <row r="9" spans="1:12" ht="14.1" customHeight="1" x14ac:dyDescent="0.2">
      <c r="A9" s="4" t="s">
        <v>149</v>
      </c>
      <c r="B9" s="168"/>
      <c r="C9" s="168"/>
      <c r="D9" s="168"/>
      <c r="E9" s="168"/>
      <c r="F9" s="168"/>
      <c r="G9" s="168"/>
      <c r="H9" s="149">
        <f t="shared" si="0"/>
        <v>0</v>
      </c>
      <c r="I9" s="140" t="e">
        <f t="shared" si="1"/>
        <v>#DIV/0!</v>
      </c>
      <c r="J9" s="139">
        <f t="shared" si="2"/>
        <v>0</v>
      </c>
      <c r="K9" s="139">
        <f t="shared" si="3"/>
        <v>0</v>
      </c>
      <c r="L9" s="139">
        <f t="shared" si="4"/>
        <v>0</v>
      </c>
    </row>
    <row r="10" spans="1:12" ht="14.1" customHeight="1" x14ac:dyDescent="0.2">
      <c r="A10" s="4" t="s">
        <v>150</v>
      </c>
      <c r="B10" s="168"/>
      <c r="C10" s="168"/>
      <c r="D10" s="168"/>
      <c r="E10" s="168"/>
      <c r="F10" s="168"/>
      <c r="G10" s="168"/>
      <c r="H10" s="149">
        <f t="shared" si="0"/>
        <v>0</v>
      </c>
      <c r="I10" s="140" t="e">
        <f t="shared" si="1"/>
        <v>#DIV/0!</v>
      </c>
      <c r="J10" s="139">
        <f t="shared" si="2"/>
        <v>0</v>
      </c>
      <c r="K10" s="139">
        <f t="shared" si="3"/>
        <v>0</v>
      </c>
      <c r="L10" s="139">
        <f t="shared" si="4"/>
        <v>0</v>
      </c>
    </row>
    <row r="11" spans="1:12" ht="14.1" customHeight="1" x14ac:dyDescent="0.2">
      <c r="A11" s="4" t="s">
        <v>151</v>
      </c>
      <c r="B11" s="168"/>
      <c r="C11" s="168"/>
      <c r="D11" s="168"/>
      <c r="E11" s="168"/>
      <c r="F11" s="168"/>
      <c r="G11" s="168"/>
      <c r="H11" s="149">
        <f t="shared" si="0"/>
        <v>0</v>
      </c>
      <c r="I11" s="140" t="e">
        <f t="shared" si="1"/>
        <v>#DIV/0!</v>
      </c>
      <c r="J11" s="139">
        <f t="shared" si="2"/>
        <v>0</v>
      </c>
      <c r="K11" s="139">
        <f t="shared" si="3"/>
        <v>0</v>
      </c>
      <c r="L11" s="139">
        <f t="shared" si="4"/>
        <v>0</v>
      </c>
    </row>
    <row r="12" spans="1:12" ht="14.1" customHeight="1" x14ac:dyDescent="0.2">
      <c r="A12" s="4" t="s">
        <v>152</v>
      </c>
      <c r="B12" s="168"/>
      <c r="C12" s="168"/>
      <c r="D12" s="168"/>
      <c r="E12" s="168"/>
      <c r="F12" s="168"/>
      <c r="G12" s="168"/>
      <c r="H12" s="149">
        <f t="shared" si="0"/>
        <v>0</v>
      </c>
      <c r="I12" s="140" t="e">
        <f t="shared" si="1"/>
        <v>#DIV/0!</v>
      </c>
      <c r="J12" s="139">
        <f t="shared" si="2"/>
        <v>0</v>
      </c>
      <c r="K12" s="139">
        <f t="shared" si="3"/>
        <v>0</v>
      </c>
      <c r="L12" s="139">
        <f t="shared" si="4"/>
        <v>0</v>
      </c>
    </row>
    <row r="13" spans="1:12" ht="14.1" customHeight="1" x14ac:dyDescent="0.2">
      <c r="A13" s="4" t="s">
        <v>153</v>
      </c>
      <c r="B13" s="168"/>
      <c r="C13" s="168"/>
      <c r="D13" s="168"/>
      <c r="E13" s="168"/>
      <c r="F13" s="168"/>
      <c r="G13" s="168"/>
      <c r="H13" s="149">
        <f t="shared" si="0"/>
        <v>0</v>
      </c>
      <c r="I13" s="140" t="e">
        <f t="shared" si="1"/>
        <v>#DIV/0!</v>
      </c>
      <c r="J13" s="139">
        <f t="shared" si="2"/>
        <v>0</v>
      </c>
      <c r="K13" s="139">
        <f t="shared" si="3"/>
        <v>0</v>
      </c>
      <c r="L13" s="139">
        <f t="shared" si="4"/>
        <v>0</v>
      </c>
    </row>
    <row r="14" spans="1:12" ht="14.1" customHeight="1" x14ac:dyDescent="0.2">
      <c r="A14" s="4" t="s">
        <v>154</v>
      </c>
      <c r="B14" s="168"/>
      <c r="C14" s="168"/>
      <c r="D14" s="168"/>
      <c r="E14" s="168"/>
      <c r="F14" s="168"/>
      <c r="G14" s="168"/>
      <c r="H14" s="149">
        <f t="shared" si="0"/>
        <v>0</v>
      </c>
      <c r="I14" s="140" t="e">
        <f t="shared" si="1"/>
        <v>#DIV/0!</v>
      </c>
      <c r="J14" s="139">
        <f t="shared" si="2"/>
        <v>0</v>
      </c>
      <c r="K14" s="139">
        <f t="shared" si="3"/>
        <v>0</v>
      </c>
      <c r="L14" s="139">
        <f t="shared" si="4"/>
        <v>0</v>
      </c>
    </row>
    <row r="15" spans="1:12" ht="14.1" customHeight="1" x14ac:dyDescent="0.2">
      <c r="A15" s="4" t="s">
        <v>155</v>
      </c>
      <c r="B15" s="168"/>
      <c r="C15" s="168"/>
      <c r="D15" s="168"/>
      <c r="E15" s="168"/>
      <c r="F15" s="168"/>
      <c r="G15" s="168"/>
      <c r="H15" s="149">
        <f t="shared" si="0"/>
        <v>0</v>
      </c>
      <c r="I15" s="140" t="e">
        <f t="shared" si="1"/>
        <v>#DIV/0!</v>
      </c>
      <c r="J15" s="139">
        <f t="shared" si="2"/>
        <v>0</v>
      </c>
      <c r="K15" s="139">
        <f t="shared" si="3"/>
        <v>0</v>
      </c>
      <c r="L15" s="139">
        <f t="shared" si="4"/>
        <v>0</v>
      </c>
    </row>
    <row r="16" spans="1:12" ht="14.1" customHeight="1" x14ac:dyDescent="0.2">
      <c r="A16" s="4" t="s">
        <v>156</v>
      </c>
      <c r="B16" s="168"/>
      <c r="C16" s="168"/>
      <c r="D16" s="168"/>
      <c r="E16" s="168"/>
      <c r="F16" s="168"/>
      <c r="G16" s="168"/>
      <c r="H16" s="149">
        <f t="shared" si="0"/>
        <v>0</v>
      </c>
      <c r="I16" s="140" t="e">
        <f t="shared" si="1"/>
        <v>#DIV/0!</v>
      </c>
      <c r="J16" s="139">
        <f t="shared" si="2"/>
        <v>0</v>
      </c>
      <c r="K16" s="139">
        <f t="shared" si="3"/>
        <v>0</v>
      </c>
      <c r="L16" s="139">
        <f t="shared" si="4"/>
        <v>0</v>
      </c>
    </row>
    <row r="17" spans="1:12" ht="14.1" customHeight="1" x14ac:dyDescent="0.2">
      <c r="A17" s="4" t="s">
        <v>157</v>
      </c>
      <c r="B17" s="168"/>
      <c r="C17" s="168"/>
      <c r="D17" s="168"/>
      <c r="E17" s="168"/>
      <c r="F17" s="168"/>
      <c r="G17" s="168"/>
      <c r="H17" s="149">
        <f t="shared" si="0"/>
        <v>0</v>
      </c>
      <c r="I17" s="140" t="e">
        <f t="shared" si="1"/>
        <v>#DIV/0!</v>
      </c>
      <c r="J17" s="139">
        <f t="shared" si="2"/>
        <v>0</v>
      </c>
      <c r="K17" s="139">
        <f t="shared" si="3"/>
        <v>0</v>
      </c>
      <c r="L17" s="139">
        <f t="shared" si="4"/>
        <v>0</v>
      </c>
    </row>
    <row r="18" spans="1:12" ht="14.1" customHeight="1" x14ac:dyDescent="0.2">
      <c r="A18" s="4" t="s">
        <v>158</v>
      </c>
      <c r="B18" s="168"/>
      <c r="C18" s="168"/>
      <c r="D18" s="168"/>
      <c r="E18" s="168"/>
      <c r="F18" s="168"/>
      <c r="G18" s="168"/>
      <c r="H18" s="149">
        <f t="shared" si="0"/>
        <v>0</v>
      </c>
      <c r="I18" s="140" t="e">
        <f t="shared" si="1"/>
        <v>#DIV/0!</v>
      </c>
      <c r="J18" s="139">
        <f t="shared" si="2"/>
        <v>0</v>
      </c>
      <c r="K18" s="139">
        <f t="shared" si="3"/>
        <v>0</v>
      </c>
      <c r="L18" s="139">
        <f t="shared" si="4"/>
        <v>0</v>
      </c>
    </row>
    <row r="19" spans="1:12" ht="14.1" customHeight="1" x14ac:dyDescent="0.2">
      <c r="A19" s="4" t="s">
        <v>159</v>
      </c>
      <c r="B19" s="168"/>
      <c r="C19" s="168"/>
      <c r="D19" s="168"/>
      <c r="E19" s="168"/>
      <c r="F19" s="168"/>
      <c r="G19" s="168"/>
      <c r="H19" s="149">
        <f t="shared" si="0"/>
        <v>0</v>
      </c>
      <c r="I19" s="140" t="e">
        <f t="shared" si="1"/>
        <v>#DIV/0!</v>
      </c>
      <c r="J19" s="139">
        <f t="shared" si="2"/>
        <v>0</v>
      </c>
      <c r="K19" s="139">
        <f t="shared" si="3"/>
        <v>0</v>
      </c>
      <c r="L19" s="139">
        <f t="shared" si="4"/>
        <v>0</v>
      </c>
    </row>
    <row r="20" spans="1:12" ht="14.1" customHeight="1" x14ac:dyDescent="0.2">
      <c r="A20" s="4" t="s">
        <v>160</v>
      </c>
      <c r="B20" s="168"/>
      <c r="C20" s="168"/>
      <c r="D20" s="168"/>
      <c r="E20" s="168"/>
      <c r="F20" s="168"/>
      <c r="G20" s="168"/>
      <c r="H20" s="149">
        <f t="shared" si="0"/>
        <v>0</v>
      </c>
      <c r="I20" s="140" t="e">
        <f t="shared" si="1"/>
        <v>#DIV/0!</v>
      </c>
      <c r="J20" s="139">
        <f t="shared" si="2"/>
        <v>0</v>
      </c>
      <c r="K20" s="139">
        <f t="shared" si="3"/>
        <v>0</v>
      </c>
      <c r="L20" s="139">
        <f t="shared" si="4"/>
        <v>0</v>
      </c>
    </row>
    <row r="21" spans="1:12" ht="14.1" customHeight="1" x14ac:dyDescent="0.2">
      <c r="A21" s="4" t="s">
        <v>161</v>
      </c>
      <c r="B21" s="168"/>
      <c r="C21" s="168"/>
      <c r="D21" s="168"/>
      <c r="E21" s="168"/>
      <c r="F21" s="168"/>
      <c r="G21" s="168"/>
      <c r="H21" s="149">
        <f t="shared" si="0"/>
        <v>0</v>
      </c>
      <c r="I21" s="140" t="e">
        <f t="shared" si="1"/>
        <v>#DIV/0!</v>
      </c>
      <c r="J21" s="139">
        <f t="shared" si="2"/>
        <v>0</v>
      </c>
      <c r="K21" s="139">
        <f t="shared" si="3"/>
        <v>0</v>
      </c>
      <c r="L21" s="139">
        <f t="shared" si="4"/>
        <v>0</v>
      </c>
    </row>
    <row r="22" spans="1:12" ht="14.1" customHeight="1" x14ac:dyDescent="0.2">
      <c r="A22" s="4" t="s">
        <v>162</v>
      </c>
      <c r="B22" s="168"/>
      <c r="C22" s="168"/>
      <c r="D22" s="168"/>
      <c r="E22" s="168"/>
      <c r="F22" s="168"/>
      <c r="G22" s="168"/>
      <c r="H22" s="139">
        <f t="shared" si="0"/>
        <v>0</v>
      </c>
      <c r="I22" s="140" t="e">
        <f t="shared" si="1"/>
        <v>#DIV/0!</v>
      </c>
      <c r="J22" s="139">
        <f t="shared" si="2"/>
        <v>0</v>
      </c>
      <c r="K22" s="139">
        <f t="shared" si="3"/>
        <v>0</v>
      </c>
      <c r="L22" s="139">
        <f t="shared" si="4"/>
        <v>0</v>
      </c>
    </row>
    <row r="23" spans="1:12" ht="14.1" customHeight="1" x14ac:dyDescent="0.2">
      <c r="A23" s="4" t="s">
        <v>163</v>
      </c>
      <c r="B23" s="168"/>
      <c r="C23" s="168"/>
      <c r="D23" s="168"/>
      <c r="E23" s="168"/>
      <c r="F23" s="168"/>
      <c r="G23" s="168"/>
      <c r="H23" s="139">
        <f t="shared" si="0"/>
        <v>0</v>
      </c>
      <c r="I23" s="140" t="e">
        <f t="shared" si="1"/>
        <v>#DIV/0!</v>
      </c>
      <c r="J23" s="139">
        <f t="shared" si="2"/>
        <v>0</v>
      </c>
      <c r="K23" s="139">
        <f t="shared" si="3"/>
        <v>0</v>
      </c>
      <c r="L23" s="139">
        <f t="shared" si="4"/>
        <v>0</v>
      </c>
    </row>
    <row r="24" spans="1:12" ht="14.1" customHeight="1" x14ac:dyDescent="0.2">
      <c r="A24" s="4" t="s">
        <v>164</v>
      </c>
      <c r="B24" s="168"/>
      <c r="C24" s="168"/>
      <c r="D24" s="168"/>
      <c r="E24" s="168"/>
      <c r="F24" s="168"/>
      <c r="G24" s="168"/>
      <c r="H24" s="139">
        <f t="shared" si="0"/>
        <v>0</v>
      </c>
      <c r="I24" s="140" t="e">
        <f t="shared" si="1"/>
        <v>#DIV/0!</v>
      </c>
      <c r="J24" s="139">
        <f t="shared" si="2"/>
        <v>0</v>
      </c>
      <c r="K24" s="139">
        <f t="shared" si="3"/>
        <v>0</v>
      </c>
      <c r="L24" s="139">
        <f t="shared" si="4"/>
        <v>0</v>
      </c>
    </row>
    <row r="25" spans="1:12" ht="14.1" customHeight="1" x14ac:dyDescent="0.2">
      <c r="A25" s="4" t="s">
        <v>165</v>
      </c>
      <c r="B25" s="168"/>
      <c r="C25" s="168"/>
      <c r="D25" s="168"/>
      <c r="E25" s="168"/>
      <c r="F25" s="168"/>
      <c r="G25" s="168"/>
      <c r="H25" s="139">
        <f t="shared" si="0"/>
        <v>0</v>
      </c>
      <c r="I25" s="140" t="e">
        <f t="shared" si="1"/>
        <v>#DIV/0!</v>
      </c>
      <c r="J25" s="139">
        <f t="shared" si="2"/>
        <v>0</v>
      </c>
      <c r="K25" s="139">
        <f t="shared" si="3"/>
        <v>0</v>
      </c>
      <c r="L25" s="139">
        <f t="shared" si="4"/>
        <v>0</v>
      </c>
    </row>
    <row r="26" spans="1:12" ht="14.1" customHeight="1" x14ac:dyDescent="0.2">
      <c r="A26" s="4" t="s">
        <v>166</v>
      </c>
      <c r="B26" s="168"/>
      <c r="C26" s="168"/>
      <c r="D26" s="168"/>
      <c r="E26" s="168"/>
      <c r="F26" s="168"/>
      <c r="G26" s="168"/>
      <c r="H26" s="139">
        <f t="shared" si="0"/>
        <v>0</v>
      </c>
      <c r="I26" s="140" t="e">
        <f t="shared" si="1"/>
        <v>#DIV/0!</v>
      </c>
      <c r="J26" s="139">
        <f t="shared" si="2"/>
        <v>0</v>
      </c>
      <c r="K26" s="139">
        <f t="shared" si="3"/>
        <v>0</v>
      </c>
      <c r="L26" s="139">
        <f t="shared" si="4"/>
        <v>0</v>
      </c>
    </row>
    <row r="27" spans="1:12" ht="14.1" customHeight="1" x14ac:dyDescent="0.2">
      <c r="A27" s="4" t="s">
        <v>167</v>
      </c>
      <c r="B27" s="168"/>
      <c r="C27" s="168"/>
      <c r="D27" s="168"/>
      <c r="E27" s="168"/>
      <c r="F27" s="168"/>
      <c r="G27" s="168"/>
      <c r="H27" s="139">
        <f t="shared" si="0"/>
        <v>0</v>
      </c>
      <c r="I27" s="140" t="e">
        <f t="shared" si="1"/>
        <v>#DIV/0!</v>
      </c>
      <c r="J27" s="139">
        <f t="shared" si="2"/>
        <v>0</v>
      </c>
      <c r="K27" s="139">
        <f t="shared" si="3"/>
        <v>0</v>
      </c>
      <c r="L27" s="139">
        <f t="shared" si="4"/>
        <v>0</v>
      </c>
    </row>
    <row r="28" spans="1:12" ht="14.1" customHeight="1" x14ac:dyDescent="0.2">
      <c r="A28" s="4" t="s">
        <v>168</v>
      </c>
      <c r="B28" s="168"/>
      <c r="C28" s="168"/>
      <c r="D28" s="168"/>
      <c r="E28" s="168"/>
      <c r="F28" s="168"/>
      <c r="G28" s="168"/>
      <c r="H28" s="139">
        <f t="shared" si="0"/>
        <v>0</v>
      </c>
      <c r="I28" s="140" t="e">
        <f t="shared" si="1"/>
        <v>#DIV/0!</v>
      </c>
      <c r="J28" s="139">
        <f t="shared" si="2"/>
        <v>0</v>
      </c>
      <c r="K28" s="139">
        <f t="shared" si="3"/>
        <v>0</v>
      </c>
      <c r="L28" s="139">
        <f t="shared" si="4"/>
        <v>0</v>
      </c>
    </row>
    <row r="29" spans="1:12" ht="14.1" customHeight="1" x14ac:dyDescent="0.2">
      <c r="A29" s="4" t="s">
        <v>169</v>
      </c>
      <c r="B29" s="168"/>
      <c r="C29" s="168"/>
      <c r="D29" s="168"/>
      <c r="E29" s="168"/>
      <c r="F29" s="168"/>
      <c r="G29" s="168"/>
      <c r="H29" s="139">
        <f t="shared" si="0"/>
        <v>0</v>
      </c>
      <c r="I29" s="140" t="e">
        <f t="shared" si="1"/>
        <v>#DIV/0!</v>
      </c>
      <c r="J29" s="139">
        <f t="shared" si="2"/>
        <v>0</v>
      </c>
      <c r="K29" s="139">
        <f t="shared" si="3"/>
        <v>0</v>
      </c>
      <c r="L29" s="139">
        <f t="shared" si="4"/>
        <v>0</v>
      </c>
    </row>
    <row r="30" spans="1:12" ht="14.1" customHeight="1" x14ac:dyDescent="0.2">
      <c r="A30" s="4" t="s">
        <v>170</v>
      </c>
      <c r="B30" s="168"/>
      <c r="C30" s="168"/>
      <c r="D30" s="168"/>
      <c r="E30" s="168"/>
      <c r="F30" s="168"/>
      <c r="G30" s="168"/>
      <c r="H30" s="139">
        <f t="shared" si="0"/>
        <v>0</v>
      </c>
      <c r="I30" s="140" t="e">
        <f t="shared" si="1"/>
        <v>#DIV/0!</v>
      </c>
      <c r="J30" s="139">
        <f t="shared" si="2"/>
        <v>0</v>
      </c>
      <c r="K30" s="139">
        <f t="shared" si="3"/>
        <v>0</v>
      </c>
      <c r="L30" s="139">
        <f t="shared" si="4"/>
        <v>0</v>
      </c>
    </row>
    <row r="31" spans="1:12" ht="14.1" customHeight="1" x14ac:dyDescent="0.2">
      <c r="A31" s="4" t="s">
        <v>171</v>
      </c>
      <c r="B31" s="168"/>
      <c r="C31" s="168"/>
      <c r="D31" s="168"/>
      <c r="E31" s="168"/>
      <c r="F31" s="168"/>
      <c r="G31" s="168"/>
      <c r="H31" s="139">
        <f t="shared" si="0"/>
        <v>0</v>
      </c>
      <c r="I31" s="140" t="e">
        <f t="shared" si="1"/>
        <v>#DIV/0!</v>
      </c>
      <c r="J31" s="139">
        <f t="shared" si="2"/>
        <v>0</v>
      </c>
      <c r="K31" s="139">
        <f t="shared" si="3"/>
        <v>0</v>
      </c>
      <c r="L31" s="139">
        <f t="shared" si="4"/>
        <v>0</v>
      </c>
    </row>
    <row r="32" spans="1:12" ht="14.1" customHeight="1" x14ac:dyDescent="0.2">
      <c r="A32" s="4" t="s">
        <v>172</v>
      </c>
      <c r="B32" s="168"/>
      <c r="C32" s="168"/>
      <c r="D32" s="168"/>
      <c r="E32" s="168"/>
      <c r="F32" s="168"/>
      <c r="G32" s="168"/>
      <c r="H32" s="139">
        <f t="shared" si="0"/>
        <v>0</v>
      </c>
      <c r="I32" s="140" t="e">
        <f t="shared" si="1"/>
        <v>#DIV/0!</v>
      </c>
      <c r="J32" s="139">
        <f t="shared" si="2"/>
        <v>0</v>
      </c>
      <c r="K32" s="139">
        <f t="shared" si="3"/>
        <v>0</v>
      </c>
      <c r="L32" s="139">
        <f t="shared" si="4"/>
        <v>0</v>
      </c>
    </row>
    <row r="33" spans="1:12" ht="14.1" customHeight="1" x14ac:dyDescent="0.2">
      <c r="A33" s="4" t="s">
        <v>173</v>
      </c>
      <c r="B33" s="168"/>
      <c r="C33" s="168"/>
      <c r="D33" s="168"/>
      <c r="E33" s="168"/>
      <c r="F33" s="168"/>
      <c r="G33" s="168"/>
      <c r="H33" s="139">
        <f t="shared" si="0"/>
        <v>0</v>
      </c>
      <c r="I33" s="140" t="e">
        <f t="shared" si="1"/>
        <v>#DIV/0!</v>
      </c>
      <c r="J33" s="139">
        <f t="shared" si="2"/>
        <v>0</v>
      </c>
      <c r="K33" s="139">
        <f t="shared" si="3"/>
        <v>0</v>
      </c>
      <c r="L33" s="139">
        <f t="shared" si="4"/>
        <v>0</v>
      </c>
    </row>
    <row r="34" spans="1:12" ht="14.1" customHeight="1" x14ac:dyDescent="0.2">
      <c r="A34" s="4" t="s">
        <v>174</v>
      </c>
      <c r="B34" s="168"/>
      <c r="C34" s="168"/>
      <c r="D34" s="168"/>
      <c r="E34" s="168"/>
      <c r="F34" s="168"/>
      <c r="G34" s="168"/>
      <c r="H34" s="139">
        <f t="shared" si="0"/>
        <v>0</v>
      </c>
      <c r="I34" s="140" t="e">
        <f t="shared" si="1"/>
        <v>#DIV/0!</v>
      </c>
      <c r="J34" s="139">
        <f t="shared" si="2"/>
        <v>0</v>
      </c>
      <c r="K34" s="139">
        <f t="shared" si="3"/>
        <v>0</v>
      </c>
      <c r="L34" s="139">
        <f t="shared" si="4"/>
        <v>0</v>
      </c>
    </row>
    <row r="35" spans="1:12" ht="14.1" customHeight="1" x14ac:dyDescent="0.2">
      <c r="A35" s="4" t="s">
        <v>175</v>
      </c>
      <c r="B35" s="168"/>
      <c r="C35" s="168"/>
      <c r="D35" s="168"/>
      <c r="E35" s="168"/>
      <c r="F35" s="168"/>
      <c r="G35" s="168"/>
      <c r="H35" s="139">
        <f t="shared" si="0"/>
        <v>0</v>
      </c>
      <c r="I35" s="140" t="e">
        <f t="shared" si="1"/>
        <v>#DIV/0!</v>
      </c>
      <c r="J35" s="139">
        <f t="shared" si="2"/>
        <v>0</v>
      </c>
      <c r="K35" s="139">
        <f t="shared" si="3"/>
        <v>0</v>
      </c>
      <c r="L35" s="139">
        <f t="shared" si="4"/>
        <v>0</v>
      </c>
    </row>
    <row r="36" spans="1:12" ht="14.1" customHeight="1" x14ac:dyDescent="0.2">
      <c r="A36" s="4" t="s">
        <v>176</v>
      </c>
      <c r="B36" s="168"/>
      <c r="C36" s="168"/>
      <c r="D36" s="168"/>
      <c r="E36" s="168"/>
      <c r="F36" s="168"/>
      <c r="G36" s="168"/>
      <c r="H36" s="139">
        <f t="shared" si="0"/>
        <v>0</v>
      </c>
      <c r="I36" s="140" t="e">
        <f t="shared" si="1"/>
        <v>#DIV/0!</v>
      </c>
      <c r="J36" s="139">
        <f t="shared" si="2"/>
        <v>0</v>
      </c>
      <c r="K36" s="139">
        <f t="shared" si="3"/>
        <v>0</v>
      </c>
      <c r="L36" s="139">
        <f t="shared" si="4"/>
        <v>0</v>
      </c>
    </row>
    <row r="37" spans="1:12" ht="14.1" customHeight="1" x14ac:dyDescent="0.2">
      <c r="A37" s="4" t="s">
        <v>177</v>
      </c>
      <c r="B37" s="168"/>
      <c r="C37" s="168"/>
      <c r="D37" s="168"/>
      <c r="E37" s="168"/>
      <c r="F37" s="168"/>
      <c r="G37" s="168"/>
      <c r="H37" s="139">
        <f t="shared" si="0"/>
        <v>0</v>
      </c>
      <c r="I37" s="140" t="e">
        <f t="shared" si="1"/>
        <v>#DIV/0!</v>
      </c>
      <c r="J37" s="139">
        <f t="shared" si="2"/>
        <v>0</v>
      </c>
      <c r="K37" s="139">
        <f t="shared" si="3"/>
        <v>0</v>
      </c>
      <c r="L37" s="139">
        <f t="shared" si="4"/>
        <v>0</v>
      </c>
    </row>
    <row r="38" spans="1:12" ht="14.1" customHeight="1" x14ac:dyDescent="0.2">
      <c r="A38" s="4" t="s">
        <v>178</v>
      </c>
      <c r="B38" s="168"/>
      <c r="C38" s="168"/>
      <c r="D38" s="168"/>
      <c r="E38" s="168"/>
      <c r="F38" s="168"/>
      <c r="G38" s="168"/>
      <c r="H38" s="139">
        <f t="shared" si="0"/>
        <v>0</v>
      </c>
      <c r="I38" s="140" t="e">
        <f t="shared" si="1"/>
        <v>#DIV/0!</v>
      </c>
      <c r="J38" s="139">
        <f t="shared" si="2"/>
        <v>0</v>
      </c>
      <c r="K38" s="139">
        <f t="shared" si="3"/>
        <v>0</v>
      </c>
      <c r="L38" s="139">
        <f t="shared" si="4"/>
        <v>0</v>
      </c>
    </row>
    <row r="39" spans="1:12" ht="14.1" customHeight="1" x14ac:dyDescent="0.2">
      <c r="A39" s="4" t="s">
        <v>179</v>
      </c>
      <c r="B39" s="168"/>
      <c r="C39" s="168"/>
      <c r="D39" s="168"/>
      <c r="E39" s="168"/>
      <c r="F39" s="168"/>
      <c r="G39" s="168"/>
      <c r="H39" s="139">
        <f t="shared" si="0"/>
        <v>0</v>
      </c>
      <c r="I39" s="140" t="e">
        <f t="shared" si="1"/>
        <v>#DIV/0!</v>
      </c>
      <c r="J39" s="139">
        <f t="shared" si="2"/>
        <v>0</v>
      </c>
      <c r="K39" s="139">
        <f t="shared" si="3"/>
        <v>0</v>
      </c>
      <c r="L39" s="139">
        <f t="shared" si="4"/>
        <v>0</v>
      </c>
    </row>
    <row r="40" spans="1:12" ht="14.1" customHeight="1" x14ac:dyDescent="0.2">
      <c r="A40" s="4" t="s">
        <v>180</v>
      </c>
      <c r="B40" s="168"/>
      <c r="C40" s="168"/>
      <c r="D40" s="168"/>
      <c r="E40" s="168"/>
      <c r="F40" s="168"/>
      <c r="G40" s="168"/>
      <c r="H40" s="139">
        <f t="shared" si="0"/>
        <v>0</v>
      </c>
      <c r="I40" s="140" t="e">
        <f t="shared" si="1"/>
        <v>#DIV/0!</v>
      </c>
      <c r="J40" s="139">
        <f t="shared" si="2"/>
        <v>0</v>
      </c>
      <c r="K40" s="139">
        <f t="shared" si="3"/>
        <v>0</v>
      </c>
      <c r="L40" s="139">
        <f t="shared" si="4"/>
        <v>0</v>
      </c>
    </row>
    <row r="41" spans="1:12" ht="14.1" customHeight="1" x14ac:dyDescent="0.2">
      <c r="A41" s="4" t="s">
        <v>181</v>
      </c>
      <c r="B41" s="168"/>
      <c r="C41" s="168"/>
      <c r="D41" s="168"/>
      <c r="E41" s="168"/>
      <c r="F41" s="168"/>
      <c r="G41" s="168"/>
      <c r="H41" s="139">
        <f t="shared" si="0"/>
        <v>0</v>
      </c>
      <c r="I41" s="140" t="e">
        <f t="shared" si="1"/>
        <v>#DIV/0!</v>
      </c>
      <c r="J41" s="139">
        <f t="shared" si="2"/>
        <v>0</v>
      </c>
      <c r="K41" s="139">
        <f t="shared" si="3"/>
        <v>0</v>
      </c>
      <c r="L41" s="139">
        <f t="shared" si="4"/>
        <v>0</v>
      </c>
    </row>
    <row r="42" spans="1:12" ht="14.1" customHeight="1" x14ac:dyDescent="0.2">
      <c r="A42" s="4" t="s">
        <v>182</v>
      </c>
      <c r="B42" s="168"/>
      <c r="C42" s="168"/>
      <c r="D42" s="168"/>
      <c r="E42" s="168"/>
      <c r="F42" s="168"/>
      <c r="G42" s="168"/>
      <c r="H42" s="139">
        <f t="shared" si="0"/>
        <v>0</v>
      </c>
      <c r="I42" s="140" t="e">
        <f t="shared" si="1"/>
        <v>#DIV/0!</v>
      </c>
      <c r="J42" s="139">
        <f t="shared" si="2"/>
        <v>0</v>
      </c>
      <c r="K42" s="139">
        <f t="shared" si="3"/>
        <v>0</v>
      </c>
      <c r="L42" s="139">
        <f t="shared" si="4"/>
        <v>0</v>
      </c>
    </row>
    <row r="43" spans="1:12" ht="14.1" customHeight="1" x14ac:dyDescent="0.2">
      <c r="A43" s="4" t="s">
        <v>183</v>
      </c>
      <c r="B43" s="168"/>
      <c r="C43" s="168"/>
      <c r="D43" s="168"/>
      <c r="E43" s="168"/>
      <c r="F43" s="168"/>
      <c r="G43" s="168"/>
      <c r="H43" s="139">
        <f t="shared" si="0"/>
        <v>0</v>
      </c>
      <c r="I43" s="140" t="e">
        <f t="shared" si="1"/>
        <v>#DIV/0!</v>
      </c>
      <c r="J43" s="139">
        <f t="shared" si="2"/>
        <v>0</v>
      </c>
      <c r="K43" s="139">
        <f t="shared" si="3"/>
        <v>0</v>
      </c>
      <c r="L43" s="139">
        <f t="shared" si="4"/>
        <v>0</v>
      </c>
    </row>
    <row r="44" spans="1:12" ht="14.1" customHeight="1" x14ac:dyDescent="0.2">
      <c r="A44" s="4" t="s">
        <v>184</v>
      </c>
      <c r="B44" s="168"/>
      <c r="C44" s="168"/>
      <c r="D44" s="168"/>
      <c r="E44" s="168"/>
      <c r="F44" s="168"/>
      <c r="G44" s="168"/>
      <c r="H44" s="139">
        <f t="shared" si="0"/>
        <v>0</v>
      </c>
      <c r="I44" s="140" t="e">
        <f t="shared" si="1"/>
        <v>#DIV/0!</v>
      </c>
      <c r="J44" s="139">
        <f t="shared" si="2"/>
        <v>0</v>
      </c>
      <c r="K44" s="139">
        <f t="shared" si="3"/>
        <v>0</v>
      </c>
      <c r="L44" s="139">
        <f t="shared" si="4"/>
        <v>0</v>
      </c>
    </row>
    <row r="45" spans="1:12" ht="14.1" customHeight="1" x14ac:dyDescent="0.2">
      <c r="A45" s="4" t="s">
        <v>185</v>
      </c>
      <c r="B45" s="168"/>
      <c r="C45" s="168"/>
      <c r="D45" s="168"/>
      <c r="E45" s="168"/>
      <c r="F45" s="168"/>
      <c r="G45" s="168"/>
      <c r="H45" s="139">
        <f t="shared" si="0"/>
        <v>0</v>
      </c>
      <c r="I45" s="140" t="e">
        <f t="shared" si="1"/>
        <v>#DIV/0!</v>
      </c>
      <c r="J45" s="139">
        <f t="shared" si="2"/>
        <v>0</v>
      </c>
      <c r="K45" s="139">
        <f t="shared" si="3"/>
        <v>0</v>
      </c>
      <c r="L45" s="139">
        <f t="shared" si="4"/>
        <v>0</v>
      </c>
    </row>
    <row r="46" spans="1:12" ht="14.1" customHeight="1" x14ac:dyDescent="0.2">
      <c r="A46" s="4" t="s">
        <v>186</v>
      </c>
      <c r="B46" s="168"/>
      <c r="C46" s="168"/>
      <c r="D46" s="168"/>
      <c r="E46" s="168"/>
      <c r="F46" s="168"/>
      <c r="G46" s="168"/>
      <c r="H46" s="139">
        <f t="shared" si="0"/>
        <v>0</v>
      </c>
      <c r="I46" s="140" t="e">
        <f t="shared" si="1"/>
        <v>#DIV/0!</v>
      </c>
      <c r="J46" s="139">
        <f t="shared" si="2"/>
        <v>0</v>
      </c>
      <c r="K46" s="139">
        <f t="shared" si="3"/>
        <v>0</v>
      </c>
      <c r="L46" s="139">
        <f t="shared" si="4"/>
        <v>0</v>
      </c>
    </row>
    <row r="47" spans="1:12" ht="14.1" customHeight="1" x14ac:dyDescent="0.2">
      <c r="A47" s="4" t="s">
        <v>187</v>
      </c>
      <c r="B47" s="168"/>
      <c r="C47" s="168"/>
      <c r="D47" s="168"/>
      <c r="E47" s="168"/>
      <c r="F47" s="168"/>
      <c r="G47" s="168"/>
      <c r="H47" s="139">
        <f t="shared" si="0"/>
        <v>0</v>
      </c>
      <c r="I47" s="140" t="e">
        <f t="shared" si="1"/>
        <v>#DIV/0!</v>
      </c>
      <c r="J47" s="139">
        <f t="shared" si="2"/>
        <v>0</v>
      </c>
      <c r="K47" s="139">
        <f t="shared" si="3"/>
        <v>0</v>
      </c>
      <c r="L47" s="139">
        <f t="shared" si="4"/>
        <v>0</v>
      </c>
    </row>
    <row r="48" spans="1:12" ht="14.1" customHeight="1" x14ac:dyDescent="0.2">
      <c r="A48" s="4" t="s">
        <v>188</v>
      </c>
      <c r="B48" s="168"/>
      <c r="C48" s="168"/>
      <c r="D48" s="168"/>
      <c r="E48" s="168"/>
      <c r="F48" s="168"/>
      <c r="G48" s="168"/>
      <c r="H48" s="139">
        <f t="shared" si="0"/>
        <v>0</v>
      </c>
      <c r="I48" s="140" t="e">
        <f t="shared" si="1"/>
        <v>#DIV/0!</v>
      </c>
      <c r="J48" s="139">
        <f t="shared" si="2"/>
        <v>0</v>
      </c>
      <c r="K48" s="139">
        <f t="shared" si="3"/>
        <v>0</v>
      </c>
      <c r="L48" s="139">
        <f t="shared" si="4"/>
        <v>0</v>
      </c>
    </row>
    <row r="49" spans="1:12" ht="14.1" customHeight="1" x14ac:dyDescent="0.2">
      <c r="A49" s="4" t="s">
        <v>189</v>
      </c>
      <c r="B49" s="168"/>
      <c r="C49" s="168"/>
      <c r="D49" s="168"/>
      <c r="E49" s="168"/>
      <c r="F49" s="168"/>
      <c r="G49" s="168"/>
      <c r="H49" s="139">
        <f t="shared" si="0"/>
        <v>0</v>
      </c>
      <c r="I49" s="140" t="e">
        <f t="shared" si="1"/>
        <v>#DIV/0!</v>
      </c>
      <c r="J49" s="139">
        <f t="shared" si="2"/>
        <v>0</v>
      </c>
      <c r="K49" s="139">
        <f t="shared" si="3"/>
        <v>0</v>
      </c>
      <c r="L49" s="139">
        <f t="shared" si="4"/>
        <v>0</v>
      </c>
    </row>
    <row r="50" spans="1:12" ht="14.1" customHeight="1" x14ac:dyDescent="0.2">
      <c r="A50" s="4" t="s">
        <v>190</v>
      </c>
      <c r="B50" s="168"/>
      <c r="C50" s="168"/>
      <c r="D50" s="168"/>
      <c r="E50" s="168"/>
      <c r="F50" s="168"/>
      <c r="G50" s="168"/>
      <c r="H50" s="139">
        <f t="shared" si="0"/>
        <v>0</v>
      </c>
      <c r="I50" s="140" t="e">
        <f t="shared" si="1"/>
        <v>#DIV/0!</v>
      </c>
      <c r="J50" s="139">
        <f t="shared" si="2"/>
        <v>0</v>
      </c>
      <c r="K50" s="139">
        <f t="shared" si="3"/>
        <v>0</v>
      </c>
      <c r="L50" s="139">
        <f t="shared" si="4"/>
        <v>0</v>
      </c>
    </row>
    <row r="51" spans="1:12" ht="14.1" customHeight="1" x14ac:dyDescent="0.2">
      <c r="A51" s="4" t="s">
        <v>191</v>
      </c>
      <c r="B51" s="168"/>
      <c r="C51" s="168"/>
      <c r="D51" s="168"/>
      <c r="E51" s="168"/>
      <c r="F51" s="168"/>
      <c r="G51" s="168"/>
      <c r="H51" s="139">
        <f t="shared" si="0"/>
        <v>0</v>
      </c>
      <c r="I51" s="140" t="e">
        <f t="shared" si="1"/>
        <v>#DIV/0!</v>
      </c>
      <c r="J51" s="139">
        <f t="shared" si="2"/>
        <v>0</v>
      </c>
      <c r="K51" s="139">
        <f t="shared" si="3"/>
        <v>0</v>
      </c>
      <c r="L51" s="139">
        <f t="shared" si="4"/>
        <v>0</v>
      </c>
    </row>
    <row r="52" spans="1:12" ht="14.1" customHeight="1" x14ac:dyDescent="0.2">
      <c r="A52" s="4" t="s">
        <v>192</v>
      </c>
      <c r="B52" s="168"/>
      <c r="C52" s="168"/>
      <c r="D52" s="168"/>
      <c r="E52" s="168"/>
      <c r="F52" s="168"/>
      <c r="G52" s="168"/>
      <c r="H52" s="139">
        <f t="shared" si="0"/>
        <v>0</v>
      </c>
      <c r="I52" s="140" t="e">
        <f t="shared" si="1"/>
        <v>#DIV/0!</v>
      </c>
      <c r="J52" s="139">
        <f t="shared" si="2"/>
        <v>0</v>
      </c>
      <c r="K52" s="139">
        <f t="shared" si="3"/>
        <v>0</v>
      </c>
      <c r="L52" s="139">
        <f t="shared" si="4"/>
        <v>0</v>
      </c>
    </row>
    <row r="53" spans="1:12" ht="14.1" customHeight="1" x14ac:dyDescent="0.2">
      <c r="A53" s="4" t="s">
        <v>193</v>
      </c>
      <c r="B53" s="168"/>
      <c r="C53" s="168"/>
      <c r="D53" s="168"/>
      <c r="E53" s="168"/>
      <c r="F53" s="168"/>
      <c r="G53" s="168"/>
      <c r="H53" s="139">
        <f t="shared" si="0"/>
        <v>0</v>
      </c>
      <c r="I53" s="140" t="e">
        <f t="shared" si="1"/>
        <v>#DIV/0!</v>
      </c>
      <c r="J53" s="139">
        <f t="shared" si="2"/>
        <v>0</v>
      </c>
      <c r="K53" s="139">
        <f t="shared" si="3"/>
        <v>0</v>
      </c>
      <c r="L53" s="139">
        <f t="shared" si="4"/>
        <v>0</v>
      </c>
    </row>
    <row r="54" spans="1:12" ht="14.1" customHeight="1" x14ac:dyDescent="0.2">
      <c r="A54" s="4" t="s">
        <v>194</v>
      </c>
      <c r="B54" s="168"/>
      <c r="C54" s="168"/>
      <c r="D54" s="168"/>
      <c r="E54" s="168"/>
      <c r="F54" s="168"/>
      <c r="G54" s="168"/>
      <c r="H54" s="139">
        <f t="shared" si="0"/>
        <v>0</v>
      </c>
      <c r="I54" s="140" t="e">
        <f t="shared" si="1"/>
        <v>#DIV/0!</v>
      </c>
      <c r="J54" s="139">
        <f t="shared" si="2"/>
        <v>0</v>
      </c>
      <c r="K54" s="139">
        <f t="shared" si="3"/>
        <v>0</v>
      </c>
      <c r="L54" s="139">
        <f t="shared" si="4"/>
        <v>0</v>
      </c>
    </row>
    <row r="55" spans="1:12" ht="14.1" customHeight="1" x14ac:dyDescent="0.2">
      <c r="A55" s="4" t="s">
        <v>195</v>
      </c>
      <c r="B55" s="168"/>
      <c r="C55" s="168"/>
      <c r="D55" s="168"/>
      <c r="E55" s="168"/>
      <c r="F55" s="168"/>
      <c r="G55" s="168"/>
      <c r="H55" s="139">
        <f t="shared" si="0"/>
        <v>0</v>
      </c>
      <c r="I55" s="140" t="e">
        <f t="shared" si="1"/>
        <v>#DIV/0!</v>
      </c>
      <c r="J55" s="139">
        <f t="shared" si="2"/>
        <v>0</v>
      </c>
      <c r="K55" s="139">
        <f t="shared" si="3"/>
        <v>0</v>
      </c>
      <c r="L55" s="139">
        <f t="shared" si="4"/>
        <v>0</v>
      </c>
    </row>
    <row r="56" spans="1:12" ht="14.1" customHeight="1" x14ac:dyDescent="0.2">
      <c r="A56" s="4" t="s">
        <v>196</v>
      </c>
      <c r="B56" s="168"/>
      <c r="C56" s="168"/>
      <c r="D56" s="168"/>
      <c r="E56" s="168"/>
      <c r="F56" s="168"/>
      <c r="G56" s="168"/>
      <c r="H56" s="139">
        <f t="shared" si="0"/>
        <v>0</v>
      </c>
      <c r="I56" s="140" t="e">
        <f t="shared" si="1"/>
        <v>#DIV/0!</v>
      </c>
      <c r="J56" s="139">
        <f t="shared" si="2"/>
        <v>0</v>
      </c>
      <c r="K56" s="139">
        <f t="shared" si="3"/>
        <v>0</v>
      </c>
      <c r="L56" s="139">
        <f t="shared" si="4"/>
        <v>0</v>
      </c>
    </row>
    <row r="57" spans="1:12" ht="14.1" customHeight="1" x14ac:dyDescent="0.2">
      <c r="A57" s="4" t="s">
        <v>197</v>
      </c>
      <c r="B57" s="168"/>
      <c r="C57" s="168"/>
      <c r="D57" s="168"/>
      <c r="E57" s="168"/>
      <c r="F57" s="168"/>
      <c r="G57" s="168"/>
      <c r="H57" s="139">
        <f t="shared" si="0"/>
        <v>0</v>
      </c>
      <c r="I57" s="140" t="e">
        <f t="shared" si="1"/>
        <v>#DIV/0!</v>
      </c>
      <c r="J57" s="139">
        <f t="shared" si="2"/>
        <v>0</v>
      </c>
      <c r="K57" s="139">
        <f t="shared" si="3"/>
        <v>0</v>
      </c>
      <c r="L57" s="139">
        <f t="shared" si="4"/>
        <v>0</v>
      </c>
    </row>
    <row r="58" spans="1:12" ht="14.1" customHeight="1" x14ac:dyDescent="0.2">
      <c r="A58" s="4" t="s">
        <v>198</v>
      </c>
      <c r="B58" s="168"/>
      <c r="C58" s="168"/>
      <c r="D58" s="168"/>
      <c r="E58" s="168"/>
      <c r="F58" s="168"/>
      <c r="G58" s="168"/>
      <c r="H58" s="139">
        <f t="shared" si="0"/>
        <v>0</v>
      </c>
      <c r="I58" s="140" t="e">
        <f t="shared" si="1"/>
        <v>#DIV/0!</v>
      </c>
      <c r="J58" s="139">
        <f t="shared" si="2"/>
        <v>0</v>
      </c>
      <c r="K58" s="139">
        <f t="shared" si="3"/>
        <v>0</v>
      </c>
      <c r="L58" s="139">
        <f t="shared" si="4"/>
        <v>0</v>
      </c>
    </row>
    <row r="59" spans="1:12" ht="14.1" customHeight="1" x14ac:dyDescent="0.2">
      <c r="A59" s="4" t="s">
        <v>199</v>
      </c>
      <c r="B59" s="168"/>
      <c r="C59" s="168"/>
      <c r="D59" s="168"/>
      <c r="E59" s="168"/>
      <c r="F59" s="168"/>
      <c r="G59" s="168"/>
      <c r="H59" s="139">
        <f t="shared" si="0"/>
        <v>0</v>
      </c>
      <c r="I59" s="140" t="e">
        <f t="shared" si="1"/>
        <v>#DIV/0!</v>
      </c>
      <c r="J59" s="139">
        <f t="shared" si="2"/>
        <v>0</v>
      </c>
      <c r="K59" s="139">
        <f t="shared" si="3"/>
        <v>0</v>
      </c>
      <c r="L59" s="139">
        <f t="shared" si="4"/>
        <v>0</v>
      </c>
    </row>
    <row r="60" spans="1:12" ht="14.1" customHeight="1" x14ac:dyDescent="0.2">
      <c r="A60" s="4" t="s">
        <v>200</v>
      </c>
      <c r="B60" s="168"/>
      <c r="C60" s="168"/>
      <c r="D60" s="168"/>
      <c r="E60" s="168"/>
      <c r="F60" s="168"/>
      <c r="G60" s="168"/>
      <c r="H60" s="139">
        <f t="shared" si="0"/>
        <v>0</v>
      </c>
      <c r="I60" s="140" t="e">
        <f t="shared" si="1"/>
        <v>#DIV/0!</v>
      </c>
      <c r="J60" s="139">
        <f t="shared" si="2"/>
        <v>0</v>
      </c>
      <c r="K60" s="139">
        <f t="shared" si="3"/>
        <v>0</v>
      </c>
      <c r="L60" s="139">
        <f t="shared" si="4"/>
        <v>0</v>
      </c>
    </row>
    <row r="61" spans="1:12" ht="14.1" customHeight="1" x14ac:dyDescent="0.2">
      <c r="A61" s="4" t="s">
        <v>201</v>
      </c>
      <c r="B61" s="168"/>
      <c r="C61" s="168"/>
      <c r="D61" s="168"/>
      <c r="E61" s="168"/>
      <c r="F61" s="168"/>
      <c r="G61" s="168"/>
      <c r="H61" s="139">
        <f t="shared" si="0"/>
        <v>0</v>
      </c>
      <c r="I61" s="140" t="e">
        <f t="shared" si="1"/>
        <v>#DIV/0!</v>
      </c>
      <c r="J61" s="139">
        <f t="shared" si="2"/>
        <v>0</v>
      </c>
      <c r="K61" s="139">
        <f t="shared" si="3"/>
        <v>0</v>
      </c>
      <c r="L61" s="139">
        <f t="shared" si="4"/>
        <v>0</v>
      </c>
    </row>
    <row r="62" spans="1:12" ht="14.1" customHeight="1" x14ac:dyDescent="0.2">
      <c r="A62" s="4" t="s">
        <v>202</v>
      </c>
      <c r="B62" s="168"/>
      <c r="C62" s="168"/>
      <c r="D62" s="168"/>
      <c r="E62" s="168"/>
      <c r="F62" s="168"/>
      <c r="G62" s="168"/>
      <c r="H62" s="139">
        <f t="shared" si="0"/>
        <v>0</v>
      </c>
      <c r="I62" s="140" t="e">
        <f t="shared" si="1"/>
        <v>#DIV/0!</v>
      </c>
      <c r="J62" s="139">
        <f t="shared" si="2"/>
        <v>0</v>
      </c>
      <c r="K62" s="139">
        <f t="shared" si="3"/>
        <v>0</v>
      </c>
      <c r="L62" s="139">
        <f t="shared" si="4"/>
        <v>0</v>
      </c>
    </row>
    <row r="63" spans="1:12" ht="14.1" customHeight="1" x14ac:dyDescent="0.2">
      <c r="A63" s="4" t="s">
        <v>203</v>
      </c>
      <c r="B63" s="168"/>
      <c r="C63" s="168"/>
      <c r="D63" s="168"/>
      <c r="E63" s="168"/>
      <c r="F63" s="168"/>
      <c r="G63" s="168"/>
      <c r="H63" s="139">
        <f t="shared" si="0"/>
        <v>0</v>
      </c>
      <c r="I63" s="140" t="e">
        <f t="shared" si="1"/>
        <v>#DIV/0!</v>
      </c>
      <c r="J63" s="139">
        <f t="shared" si="2"/>
        <v>0</v>
      </c>
      <c r="K63" s="139">
        <f t="shared" si="3"/>
        <v>0</v>
      </c>
      <c r="L63" s="139">
        <f t="shared" si="4"/>
        <v>0</v>
      </c>
    </row>
    <row r="64" spans="1:12" ht="14.1" customHeight="1" x14ac:dyDescent="0.2">
      <c r="A64" s="4" t="s">
        <v>204</v>
      </c>
      <c r="B64" s="168"/>
      <c r="C64" s="168"/>
      <c r="D64" s="168"/>
      <c r="E64" s="168"/>
      <c r="F64" s="168"/>
      <c r="G64" s="168"/>
      <c r="H64" s="139">
        <f t="shared" si="0"/>
        <v>0</v>
      </c>
      <c r="I64" s="140" t="e">
        <f t="shared" si="1"/>
        <v>#DIV/0!</v>
      </c>
      <c r="J64" s="139">
        <f t="shared" si="2"/>
        <v>0</v>
      </c>
      <c r="K64" s="139">
        <f t="shared" si="3"/>
        <v>0</v>
      </c>
      <c r="L64" s="139">
        <f t="shared" si="4"/>
        <v>0</v>
      </c>
    </row>
    <row r="65" spans="1:12" ht="14.1" customHeight="1" x14ac:dyDescent="0.2">
      <c r="A65" s="4" t="s">
        <v>205</v>
      </c>
      <c r="B65" s="168"/>
      <c r="C65" s="168"/>
      <c r="D65" s="168"/>
      <c r="E65" s="168"/>
      <c r="F65" s="168"/>
      <c r="G65" s="168"/>
      <c r="H65" s="139">
        <f t="shared" si="0"/>
        <v>0</v>
      </c>
      <c r="I65" s="140" t="e">
        <f t="shared" si="1"/>
        <v>#DIV/0!</v>
      </c>
      <c r="J65" s="139">
        <f t="shared" si="2"/>
        <v>0</v>
      </c>
      <c r="K65" s="139">
        <f t="shared" si="3"/>
        <v>0</v>
      </c>
      <c r="L65" s="139">
        <f t="shared" si="4"/>
        <v>0</v>
      </c>
    </row>
    <row r="66" spans="1:12" ht="14.1" customHeight="1" x14ac:dyDescent="0.2">
      <c r="A66" s="4" t="s">
        <v>206</v>
      </c>
      <c r="B66" s="168"/>
      <c r="C66" s="168"/>
      <c r="D66" s="168"/>
      <c r="E66" s="168"/>
      <c r="F66" s="168"/>
      <c r="G66" s="168"/>
      <c r="H66" s="139">
        <f t="shared" si="0"/>
        <v>0</v>
      </c>
      <c r="I66" s="140" t="e">
        <f t="shared" si="1"/>
        <v>#DIV/0!</v>
      </c>
      <c r="J66" s="139">
        <f t="shared" si="2"/>
        <v>0</v>
      </c>
      <c r="K66" s="139">
        <f t="shared" si="3"/>
        <v>0</v>
      </c>
      <c r="L66" s="139">
        <f t="shared" si="4"/>
        <v>0</v>
      </c>
    </row>
    <row r="67" spans="1:12" ht="14.1" customHeight="1" x14ac:dyDescent="0.2">
      <c r="A67" s="4" t="s">
        <v>207</v>
      </c>
      <c r="B67" s="168"/>
      <c r="C67" s="168"/>
      <c r="D67" s="168"/>
      <c r="E67" s="168"/>
      <c r="F67" s="168"/>
      <c r="G67" s="168"/>
      <c r="H67" s="139">
        <f t="shared" si="0"/>
        <v>0</v>
      </c>
      <c r="I67" s="140" t="e">
        <f t="shared" si="1"/>
        <v>#DIV/0!</v>
      </c>
      <c r="J67" s="139">
        <f t="shared" si="2"/>
        <v>0</v>
      </c>
      <c r="K67" s="139">
        <f t="shared" si="3"/>
        <v>0</v>
      </c>
      <c r="L67" s="139">
        <f t="shared" si="4"/>
        <v>0</v>
      </c>
    </row>
    <row r="68" spans="1:12" ht="14.1" customHeight="1" x14ac:dyDescent="0.2">
      <c r="A68" s="4" t="s">
        <v>208</v>
      </c>
      <c r="B68" s="168"/>
      <c r="C68" s="168"/>
      <c r="D68" s="168"/>
      <c r="E68" s="168"/>
      <c r="F68" s="168"/>
      <c r="G68" s="168"/>
      <c r="H68" s="139">
        <f t="shared" si="0"/>
        <v>0</v>
      </c>
      <c r="I68" s="140" t="e">
        <f t="shared" si="1"/>
        <v>#DIV/0!</v>
      </c>
      <c r="J68" s="139">
        <f t="shared" si="2"/>
        <v>0</v>
      </c>
      <c r="K68" s="139">
        <f t="shared" si="3"/>
        <v>0</v>
      </c>
      <c r="L68" s="139">
        <f t="shared" si="4"/>
        <v>0</v>
      </c>
    </row>
    <row r="69" spans="1:12" ht="14.1" customHeight="1" x14ac:dyDescent="0.2">
      <c r="A69" s="4" t="s">
        <v>209</v>
      </c>
      <c r="B69" s="168"/>
      <c r="C69" s="168"/>
      <c r="D69" s="168"/>
      <c r="E69" s="168"/>
      <c r="F69" s="168"/>
      <c r="G69" s="168"/>
      <c r="H69" s="139">
        <f t="shared" ref="H69:H100" si="5">SUM(B69:G69)</f>
        <v>0</v>
      </c>
      <c r="I69" s="140" t="e">
        <f t="shared" ref="I69:I100" si="6">H69/H$105</f>
        <v>#DIV/0!</v>
      </c>
      <c r="J69" s="139">
        <f t="shared" si="2"/>
        <v>0</v>
      </c>
      <c r="K69" s="139">
        <f t="shared" si="3"/>
        <v>0</v>
      </c>
      <c r="L69" s="139">
        <f t="shared" si="4"/>
        <v>0</v>
      </c>
    </row>
    <row r="70" spans="1:12" ht="14.1" customHeight="1" x14ac:dyDescent="0.2">
      <c r="A70" s="4" t="s">
        <v>210</v>
      </c>
      <c r="B70" s="168"/>
      <c r="C70" s="168"/>
      <c r="D70" s="168"/>
      <c r="E70" s="168"/>
      <c r="F70" s="168"/>
      <c r="G70" s="168"/>
      <c r="H70" s="139">
        <f t="shared" si="5"/>
        <v>0</v>
      </c>
      <c r="I70" s="140" t="e">
        <f t="shared" si="6"/>
        <v>#DIV/0!</v>
      </c>
      <c r="J70" s="139">
        <f t="shared" ref="J70:J104" si="7">H70/6*12</f>
        <v>0</v>
      </c>
      <c r="K70" s="139">
        <f t="shared" ref="K70:K104" si="8">J70*0.5</f>
        <v>0</v>
      </c>
      <c r="L70" s="139">
        <f t="shared" ref="L70:L104" si="9">J70-K70</f>
        <v>0</v>
      </c>
    </row>
    <row r="71" spans="1:12" ht="14.1" customHeight="1" x14ac:dyDescent="0.2">
      <c r="A71" s="4" t="s">
        <v>211</v>
      </c>
      <c r="B71" s="168"/>
      <c r="C71" s="168"/>
      <c r="D71" s="168"/>
      <c r="E71" s="168"/>
      <c r="F71" s="168"/>
      <c r="G71" s="168"/>
      <c r="H71" s="139">
        <f t="shared" si="5"/>
        <v>0</v>
      </c>
      <c r="I71" s="140" t="e">
        <f t="shared" si="6"/>
        <v>#DIV/0!</v>
      </c>
      <c r="J71" s="139">
        <f t="shared" si="7"/>
        <v>0</v>
      </c>
      <c r="K71" s="139">
        <f t="shared" si="8"/>
        <v>0</v>
      </c>
      <c r="L71" s="139">
        <f t="shared" si="9"/>
        <v>0</v>
      </c>
    </row>
    <row r="72" spans="1:12" ht="14.1" customHeight="1" x14ac:dyDescent="0.2">
      <c r="A72" s="4" t="s">
        <v>212</v>
      </c>
      <c r="B72" s="168"/>
      <c r="C72" s="168"/>
      <c r="D72" s="168"/>
      <c r="E72" s="168"/>
      <c r="F72" s="168"/>
      <c r="G72" s="168"/>
      <c r="H72" s="139">
        <f t="shared" si="5"/>
        <v>0</v>
      </c>
      <c r="I72" s="140" t="e">
        <f t="shared" si="6"/>
        <v>#DIV/0!</v>
      </c>
      <c r="J72" s="139">
        <f t="shared" si="7"/>
        <v>0</v>
      </c>
      <c r="K72" s="139">
        <f t="shared" si="8"/>
        <v>0</v>
      </c>
      <c r="L72" s="139">
        <f t="shared" si="9"/>
        <v>0</v>
      </c>
    </row>
    <row r="73" spans="1:12" ht="14.1" customHeight="1" x14ac:dyDescent="0.2">
      <c r="A73" s="4" t="s">
        <v>213</v>
      </c>
      <c r="B73" s="168"/>
      <c r="C73" s="168"/>
      <c r="D73" s="168"/>
      <c r="E73" s="168"/>
      <c r="F73" s="168"/>
      <c r="G73" s="168"/>
      <c r="H73" s="139">
        <f t="shared" si="5"/>
        <v>0</v>
      </c>
      <c r="I73" s="140" t="e">
        <f t="shared" si="6"/>
        <v>#DIV/0!</v>
      </c>
      <c r="J73" s="139">
        <f t="shared" si="7"/>
        <v>0</v>
      </c>
      <c r="K73" s="139">
        <f t="shared" si="8"/>
        <v>0</v>
      </c>
      <c r="L73" s="139">
        <f t="shared" si="9"/>
        <v>0</v>
      </c>
    </row>
    <row r="74" spans="1:12" ht="14.1" customHeight="1" x14ac:dyDescent="0.2">
      <c r="A74" s="4" t="s">
        <v>214</v>
      </c>
      <c r="B74" s="168"/>
      <c r="C74" s="168"/>
      <c r="D74" s="168"/>
      <c r="E74" s="168"/>
      <c r="F74" s="168"/>
      <c r="G74" s="168"/>
      <c r="H74" s="139">
        <f t="shared" si="5"/>
        <v>0</v>
      </c>
      <c r="I74" s="140" t="e">
        <f t="shared" si="6"/>
        <v>#DIV/0!</v>
      </c>
      <c r="J74" s="139">
        <f t="shared" si="7"/>
        <v>0</v>
      </c>
      <c r="K74" s="139">
        <f t="shared" si="8"/>
        <v>0</v>
      </c>
      <c r="L74" s="139">
        <f t="shared" si="9"/>
        <v>0</v>
      </c>
    </row>
    <row r="75" spans="1:12" ht="14.1" customHeight="1" x14ac:dyDescent="0.2">
      <c r="A75" s="4" t="s">
        <v>215</v>
      </c>
      <c r="B75" s="168"/>
      <c r="C75" s="168"/>
      <c r="D75" s="168"/>
      <c r="E75" s="168"/>
      <c r="F75" s="168"/>
      <c r="G75" s="168"/>
      <c r="H75" s="139">
        <f t="shared" si="5"/>
        <v>0</v>
      </c>
      <c r="I75" s="140" t="e">
        <f t="shared" si="6"/>
        <v>#DIV/0!</v>
      </c>
      <c r="J75" s="139">
        <f t="shared" si="7"/>
        <v>0</v>
      </c>
      <c r="K75" s="139">
        <f t="shared" si="8"/>
        <v>0</v>
      </c>
      <c r="L75" s="139">
        <f t="shared" si="9"/>
        <v>0</v>
      </c>
    </row>
    <row r="76" spans="1:12" ht="14.1" customHeight="1" x14ac:dyDescent="0.2">
      <c r="A76" s="4" t="s">
        <v>216</v>
      </c>
      <c r="B76" s="168"/>
      <c r="C76" s="168"/>
      <c r="D76" s="168"/>
      <c r="E76" s="168"/>
      <c r="F76" s="168"/>
      <c r="G76" s="168"/>
      <c r="H76" s="139">
        <f t="shared" si="5"/>
        <v>0</v>
      </c>
      <c r="I76" s="140" t="e">
        <f t="shared" si="6"/>
        <v>#DIV/0!</v>
      </c>
      <c r="J76" s="139">
        <f t="shared" si="7"/>
        <v>0</v>
      </c>
      <c r="K76" s="139">
        <f t="shared" si="8"/>
        <v>0</v>
      </c>
      <c r="L76" s="139">
        <f t="shared" si="9"/>
        <v>0</v>
      </c>
    </row>
    <row r="77" spans="1:12" ht="14.1" customHeight="1" x14ac:dyDescent="0.2">
      <c r="A77" s="4" t="s">
        <v>217</v>
      </c>
      <c r="B77" s="168"/>
      <c r="C77" s="168"/>
      <c r="D77" s="168"/>
      <c r="E77" s="168"/>
      <c r="F77" s="168"/>
      <c r="G77" s="168"/>
      <c r="H77" s="139">
        <f t="shared" si="5"/>
        <v>0</v>
      </c>
      <c r="I77" s="140" t="e">
        <f t="shared" si="6"/>
        <v>#DIV/0!</v>
      </c>
      <c r="J77" s="139">
        <f t="shared" si="7"/>
        <v>0</v>
      </c>
      <c r="K77" s="139">
        <f t="shared" si="8"/>
        <v>0</v>
      </c>
      <c r="L77" s="139">
        <f t="shared" si="9"/>
        <v>0</v>
      </c>
    </row>
    <row r="78" spans="1:12" ht="14.1" customHeight="1" x14ac:dyDescent="0.2">
      <c r="A78" s="4" t="s">
        <v>218</v>
      </c>
      <c r="B78" s="168"/>
      <c r="C78" s="168"/>
      <c r="D78" s="168"/>
      <c r="E78" s="168"/>
      <c r="F78" s="168"/>
      <c r="G78" s="168"/>
      <c r="H78" s="139">
        <f t="shared" si="5"/>
        <v>0</v>
      </c>
      <c r="I78" s="140" t="e">
        <f t="shared" si="6"/>
        <v>#DIV/0!</v>
      </c>
      <c r="J78" s="139">
        <f t="shared" si="7"/>
        <v>0</v>
      </c>
      <c r="K78" s="139">
        <f t="shared" si="8"/>
        <v>0</v>
      </c>
      <c r="L78" s="139">
        <f t="shared" si="9"/>
        <v>0</v>
      </c>
    </row>
    <row r="79" spans="1:12" ht="14.1" customHeight="1" x14ac:dyDescent="0.2">
      <c r="A79" s="4" t="s">
        <v>219</v>
      </c>
      <c r="B79" s="168"/>
      <c r="C79" s="168"/>
      <c r="D79" s="168"/>
      <c r="E79" s="168"/>
      <c r="F79" s="168"/>
      <c r="G79" s="168"/>
      <c r="H79" s="139">
        <f t="shared" si="5"/>
        <v>0</v>
      </c>
      <c r="I79" s="140" t="e">
        <f t="shared" si="6"/>
        <v>#DIV/0!</v>
      </c>
      <c r="J79" s="139">
        <f t="shared" si="7"/>
        <v>0</v>
      </c>
      <c r="K79" s="139">
        <f t="shared" si="8"/>
        <v>0</v>
      </c>
      <c r="L79" s="139">
        <f t="shared" si="9"/>
        <v>0</v>
      </c>
    </row>
    <row r="80" spans="1:12" ht="14.1" customHeight="1" x14ac:dyDescent="0.2">
      <c r="A80" s="4" t="s">
        <v>220</v>
      </c>
      <c r="B80" s="168"/>
      <c r="C80" s="168"/>
      <c r="D80" s="168"/>
      <c r="E80" s="168"/>
      <c r="F80" s="168"/>
      <c r="G80" s="168"/>
      <c r="H80" s="139">
        <f t="shared" si="5"/>
        <v>0</v>
      </c>
      <c r="I80" s="140" t="e">
        <f t="shared" si="6"/>
        <v>#DIV/0!</v>
      </c>
      <c r="J80" s="139">
        <f t="shared" si="7"/>
        <v>0</v>
      </c>
      <c r="K80" s="139">
        <f t="shared" si="8"/>
        <v>0</v>
      </c>
      <c r="L80" s="139">
        <f t="shared" si="9"/>
        <v>0</v>
      </c>
    </row>
    <row r="81" spans="1:12" ht="14.1" customHeight="1" x14ac:dyDescent="0.2">
      <c r="A81" s="4" t="s">
        <v>221</v>
      </c>
      <c r="B81" s="168"/>
      <c r="C81" s="168"/>
      <c r="D81" s="168"/>
      <c r="E81" s="168"/>
      <c r="F81" s="168"/>
      <c r="G81" s="168"/>
      <c r="H81" s="139">
        <f t="shared" si="5"/>
        <v>0</v>
      </c>
      <c r="I81" s="140" t="e">
        <f t="shared" si="6"/>
        <v>#DIV/0!</v>
      </c>
      <c r="J81" s="139">
        <f t="shared" si="7"/>
        <v>0</v>
      </c>
      <c r="K81" s="139">
        <f t="shared" si="8"/>
        <v>0</v>
      </c>
      <c r="L81" s="139">
        <f t="shared" si="9"/>
        <v>0</v>
      </c>
    </row>
    <row r="82" spans="1:12" ht="14.1" customHeight="1" x14ac:dyDescent="0.2">
      <c r="A82" s="4" t="s">
        <v>222</v>
      </c>
      <c r="B82" s="168"/>
      <c r="C82" s="168"/>
      <c r="D82" s="168"/>
      <c r="E82" s="168"/>
      <c r="F82" s="168"/>
      <c r="G82" s="168"/>
      <c r="H82" s="139">
        <f t="shared" si="5"/>
        <v>0</v>
      </c>
      <c r="I82" s="140" t="e">
        <f t="shared" si="6"/>
        <v>#DIV/0!</v>
      </c>
      <c r="J82" s="139">
        <f t="shared" si="7"/>
        <v>0</v>
      </c>
      <c r="K82" s="139">
        <f t="shared" si="8"/>
        <v>0</v>
      </c>
      <c r="L82" s="139">
        <f t="shared" si="9"/>
        <v>0</v>
      </c>
    </row>
    <row r="83" spans="1:12" ht="14.1" customHeight="1" x14ac:dyDescent="0.2">
      <c r="A83" s="4" t="s">
        <v>223</v>
      </c>
      <c r="B83" s="168"/>
      <c r="C83" s="168"/>
      <c r="D83" s="168"/>
      <c r="E83" s="168"/>
      <c r="F83" s="168"/>
      <c r="G83" s="168"/>
      <c r="H83" s="139">
        <f t="shared" si="5"/>
        <v>0</v>
      </c>
      <c r="I83" s="140" t="e">
        <f t="shared" si="6"/>
        <v>#DIV/0!</v>
      </c>
      <c r="J83" s="139">
        <f t="shared" si="7"/>
        <v>0</v>
      </c>
      <c r="K83" s="139">
        <f t="shared" si="8"/>
        <v>0</v>
      </c>
      <c r="L83" s="139">
        <f t="shared" si="9"/>
        <v>0</v>
      </c>
    </row>
    <row r="84" spans="1:12" ht="14.1" customHeight="1" x14ac:dyDescent="0.2">
      <c r="A84" s="4" t="s">
        <v>224</v>
      </c>
      <c r="B84" s="168"/>
      <c r="C84" s="168"/>
      <c r="D84" s="168"/>
      <c r="E84" s="168"/>
      <c r="F84" s="168"/>
      <c r="G84" s="168"/>
      <c r="H84" s="139">
        <f t="shared" si="5"/>
        <v>0</v>
      </c>
      <c r="I84" s="140" t="e">
        <f t="shared" si="6"/>
        <v>#DIV/0!</v>
      </c>
      <c r="J84" s="139">
        <f t="shared" si="7"/>
        <v>0</v>
      </c>
      <c r="K84" s="139">
        <f t="shared" si="8"/>
        <v>0</v>
      </c>
      <c r="L84" s="139">
        <f t="shared" si="9"/>
        <v>0</v>
      </c>
    </row>
    <row r="85" spans="1:12" ht="14.1" customHeight="1" x14ac:dyDescent="0.2">
      <c r="A85" s="4" t="s">
        <v>225</v>
      </c>
      <c r="B85" s="168"/>
      <c r="C85" s="168"/>
      <c r="D85" s="168"/>
      <c r="E85" s="168"/>
      <c r="F85" s="168"/>
      <c r="G85" s="168"/>
      <c r="H85" s="139">
        <f t="shared" si="5"/>
        <v>0</v>
      </c>
      <c r="I85" s="140" t="e">
        <f t="shared" si="6"/>
        <v>#DIV/0!</v>
      </c>
      <c r="J85" s="139">
        <f t="shared" si="7"/>
        <v>0</v>
      </c>
      <c r="K85" s="139">
        <f t="shared" si="8"/>
        <v>0</v>
      </c>
      <c r="L85" s="139">
        <f t="shared" si="9"/>
        <v>0</v>
      </c>
    </row>
    <row r="86" spans="1:12" ht="14.1" customHeight="1" x14ac:dyDescent="0.2">
      <c r="A86" s="4" t="s">
        <v>226</v>
      </c>
      <c r="B86" s="168"/>
      <c r="C86" s="168"/>
      <c r="D86" s="168"/>
      <c r="E86" s="168"/>
      <c r="F86" s="168"/>
      <c r="G86" s="168"/>
      <c r="H86" s="139">
        <f t="shared" si="5"/>
        <v>0</v>
      </c>
      <c r="I86" s="140" t="e">
        <f t="shared" si="6"/>
        <v>#DIV/0!</v>
      </c>
      <c r="J86" s="139">
        <f t="shared" si="7"/>
        <v>0</v>
      </c>
      <c r="K86" s="139">
        <f t="shared" si="8"/>
        <v>0</v>
      </c>
      <c r="L86" s="139">
        <f t="shared" si="9"/>
        <v>0</v>
      </c>
    </row>
    <row r="87" spans="1:12" ht="14.1" customHeight="1" x14ac:dyDescent="0.2">
      <c r="A87" s="4" t="s">
        <v>227</v>
      </c>
      <c r="B87" s="168"/>
      <c r="C87" s="168"/>
      <c r="D87" s="168"/>
      <c r="E87" s="168"/>
      <c r="F87" s="168"/>
      <c r="G87" s="168"/>
      <c r="H87" s="139">
        <f t="shared" si="5"/>
        <v>0</v>
      </c>
      <c r="I87" s="140" t="e">
        <f t="shared" si="6"/>
        <v>#DIV/0!</v>
      </c>
      <c r="J87" s="139">
        <f t="shared" si="7"/>
        <v>0</v>
      </c>
      <c r="K87" s="139">
        <f t="shared" si="8"/>
        <v>0</v>
      </c>
      <c r="L87" s="139">
        <f t="shared" si="9"/>
        <v>0</v>
      </c>
    </row>
    <row r="88" spans="1:12" ht="14.1" customHeight="1" x14ac:dyDescent="0.2">
      <c r="A88" s="4" t="s">
        <v>228</v>
      </c>
      <c r="B88" s="168"/>
      <c r="C88" s="168"/>
      <c r="D88" s="168"/>
      <c r="E88" s="168"/>
      <c r="F88" s="168"/>
      <c r="G88" s="168"/>
      <c r="H88" s="139">
        <f t="shared" si="5"/>
        <v>0</v>
      </c>
      <c r="I88" s="140" t="e">
        <f t="shared" si="6"/>
        <v>#DIV/0!</v>
      </c>
      <c r="J88" s="139">
        <f t="shared" si="7"/>
        <v>0</v>
      </c>
      <c r="K88" s="139">
        <f t="shared" si="8"/>
        <v>0</v>
      </c>
      <c r="L88" s="139">
        <f t="shared" si="9"/>
        <v>0</v>
      </c>
    </row>
    <row r="89" spans="1:12" ht="14.1" customHeight="1" x14ac:dyDescent="0.2">
      <c r="A89" s="4" t="s">
        <v>229</v>
      </c>
      <c r="B89" s="168"/>
      <c r="C89" s="168"/>
      <c r="D89" s="168"/>
      <c r="E89" s="168"/>
      <c r="F89" s="168"/>
      <c r="G89" s="168"/>
      <c r="H89" s="139">
        <f t="shared" si="5"/>
        <v>0</v>
      </c>
      <c r="I89" s="140" t="e">
        <f t="shared" si="6"/>
        <v>#DIV/0!</v>
      </c>
      <c r="J89" s="139">
        <f t="shared" si="7"/>
        <v>0</v>
      </c>
      <c r="K89" s="139">
        <f t="shared" si="8"/>
        <v>0</v>
      </c>
      <c r="L89" s="139">
        <f t="shared" si="9"/>
        <v>0</v>
      </c>
    </row>
    <row r="90" spans="1:12" ht="14.1" customHeight="1" x14ac:dyDescent="0.2">
      <c r="A90" s="4" t="s">
        <v>230</v>
      </c>
      <c r="B90" s="168"/>
      <c r="C90" s="168"/>
      <c r="D90" s="168"/>
      <c r="E90" s="168"/>
      <c r="F90" s="168"/>
      <c r="G90" s="168"/>
      <c r="H90" s="139">
        <f t="shared" si="5"/>
        <v>0</v>
      </c>
      <c r="I90" s="140" t="e">
        <f t="shared" si="6"/>
        <v>#DIV/0!</v>
      </c>
      <c r="J90" s="139">
        <f t="shared" si="7"/>
        <v>0</v>
      </c>
      <c r="K90" s="139">
        <f t="shared" si="8"/>
        <v>0</v>
      </c>
      <c r="L90" s="139">
        <f t="shared" si="9"/>
        <v>0</v>
      </c>
    </row>
    <row r="91" spans="1:12" ht="14.1" customHeight="1" x14ac:dyDescent="0.2">
      <c r="A91" s="4" t="s">
        <v>231</v>
      </c>
      <c r="B91" s="168"/>
      <c r="C91" s="168"/>
      <c r="D91" s="168"/>
      <c r="E91" s="168"/>
      <c r="F91" s="168"/>
      <c r="G91" s="168"/>
      <c r="H91" s="139">
        <f t="shared" si="5"/>
        <v>0</v>
      </c>
      <c r="I91" s="140" t="e">
        <f t="shared" si="6"/>
        <v>#DIV/0!</v>
      </c>
      <c r="J91" s="139">
        <f t="shared" si="7"/>
        <v>0</v>
      </c>
      <c r="K91" s="139">
        <f t="shared" si="8"/>
        <v>0</v>
      </c>
      <c r="L91" s="139">
        <f t="shared" si="9"/>
        <v>0</v>
      </c>
    </row>
    <row r="92" spans="1:12" ht="14.1" customHeight="1" x14ac:dyDescent="0.2">
      <c r="A92" s="4" t="s">
        <v>232</v>
      </c>
      <c r="B92" s="168"/>
      <c r="C92" s="168"/>
      <c r="D92" s="168"/>
      <c r="E92" s="168"/>
      <c r="F92" s="168"/>
      <c r="G92" s="168"/>
      <c r="H92" s="139">
        <f t="shared" si="5"/>
        <v>0</v>
      </c>
      <c r="I92" s="140" t="e">
        <f t="shared" si="6"/>
        <v>#DIV/0!</v>
      </c>
      <c r="J92" s="139">
        <f t="shared" si="7"/>
        <v>0</v>
      </c>
      <c r="K92" s="139">
        <f t="shared" si="8"/>
        <v>0</v>
      </c>
      <c r="L92" s="139">
        <f t="shared" si="9"/>
        <v>0</v>
      </c>
    </row>
    <row r="93" spans="1:12" ht="14.1" customHeight="1" x14ac:dyDescent="0.2">
      <c r="A93" s="4" t="s">
        <v>233</v>
      </c>
      <c r="B93" s="168"/>
      <c r="C93" s="168"/>
      <c r="D93" s="168"/>
      <c r="E93" s="168"/>
      <c r="F93" s="168"/>
      <c r="G93" s="168"/>
      <c r="H93" s="139">
        <f t="shared" si="5"/>
        <v>0</v>
      </c>
      <c r="I93" s="140" t="e">
        <f t="shared" si="6"/>
        <v>#DIV/0!</v>
      </c>
      <c r="J93" s="139">
        <f t="shared" si="7"/>
        <v>0</v>
      </c>
      <c r="K93" s="139">
        <f t="shared" si="8"/>
        <v>0</v>
      </c>
      <c r="L93" s="139">
        <f t="shared" si="9"/>
        <v>0</v>
      </c>
    </row>
    <row r="94" spans="1:12" ht="14.1" customHeight="1" x14ac:dyDescent="0.2">
      <c r="A94" s="4" t="s">
        <v>234</v>
      </c>
      <c r="B94" s="168"/>
      <c r="C94" s="168"/>
      <c r="D94" s="168"/>
      <c r="E94" s="168"/>
      <c r="F94" s="168"/>
      <c r="G94" s="168"/>
      <c r="H94" s="139">
        <f t="shared" si="5"/>
        <v>0</v>
      </c>
      <c r="I94" s="140" t="e">
        <f t="shared" si="6"/>
        <v>#DIV/0!</v>
      </c>
      <c r="J94" s="139">
        <f t="shared" si="7"/>
        <v>0</v>
      </c>
      <c r="K94" s="139">
        <f t="shared" si="8"/>
        <v>0</v>
      </c>
      <c r="L94" s="139">
        <f t="shared" si="9"/>
        <v>0</v>
      </c>
    </row>
    <row r="95" spans="1:12" ht="14.1" customHeight="1" x14ac:dyDescent="0.2">
      <c r="A95" s="4" t="s">
        <v>235</v>
      </c>
      <c r="B95" s="168"/>
      <c r="C95" s="168"/>
      <c r="D95" s="168"/>
      <c r="E95" s="168"/>
      <c r="F95" s="168"/>
      <c r="G95" s="168"/>
      <c r="H95" s="139">
        <f t="shared" si="5"/>
        <v>0</v>
      </c>
      <c r="I95" s="140" t="e">
        <f t="shared" si="6"/>
        <v>#DIV/0!</v>
      </c>
      <c r="J95" s="139">
        <f t="shared" si="7"/>
        <v>0</v>
      </c>
      <c r="K95" s="139">
        <f t="shared" si="8"/>
        <v>0</v>
      </c>
      <c r="L95" s="139">
        <f t="shared" si="9"/>
        <v>0</v>
      </c>
    </row>
    <row r="96" spans="1:12" ht="14.1" customHeight="1" x14ac:dyDescent="0.2">
      <c r="A96" s="4" t="s">
        <v>236</v>
      </c>
      <c r="B96" s="168"/>
      <c r="C96" s="168"/>
      <c r="D96" s="168"/>
      <c r="E96" s="168"/>
      <c r="F96" s="168"/>
      <c r="G96" s="168"/>
      <c r="H96" s="139">
        <f t="shared" si="5"/>
        <v>0</v>
      </c>
      <c r="I96" s="140" t="e">
        <f t="shared" si="6"/>
        <v>#DIV/0!</v>
      </c>
      <c r="J96" s="139">
        <f t="shared" si="7"/>
        <v>0</v>
      </c>
      <c r="K96" s="139">
        <f t="shared" si="8"/>
        <v>0</v>
      </c>
      <c r="L96" s="139">
        <f t="shared" si="9"/>
        <v>0</v>
      </c>
    </row>
    <row r="97" spans="1:12" ht="14.1" customHeight="1" x14ac:dyDescent="0.2">
      <c r="A97" s="4" t="s">
        <v>237</v>
      </c>
      <c r="B97" s="168"/>
      <c r="C97" s="168"/>
      <c r="D97" s="168"/>
      <c r="E97" s="168"/>
      <c r="F97" s="168"/>
      <c r="G97" s="168"/>
      <c r="H97" s="139">
        <f t="shared" si="5"/>
        <v>0</v>
      </c>
      <c r="I97" s="140" t="e">
        <f t="shared" si="6"/>
        <v>#DIV/0!</v>
      </c>
      <c r="J97" s="139">
        <f t="shared" si="7"/>
        <v>0</v>
      </c>
      <c r="K97" s="139">
        <f t="shared" si="8"/>
        <v>0</v>
      </c>
      <c r="L97" s="139">
        <f t="shared" si="9"/>
        <v>0</v>
      </c>
    </row>
    <row r="98" spans="1:12" ht="14.1" customHeight="1" x14ac:dyDescent="0.2">
      <c r="A98" s="4" t="s">
        <v>238</v>
      </c>
      <c r="B98" s="168"/>
      <c r="C98" s="168"/>
      <c r="D98" s="168"/>
      <c r="E98" s="168"/>
      <c r="F98" s="168"/>
      <c r="G98" s="168"/>
      <c r="H98" s="139">
        <f t="shared" si="5"/>
        <v>0</v>
      </c>
      <c r="I98" s="140" t="e">
        <f t="shared" si="6"/>
        <v>#DIV/0!</v>
      </c>
      <c r="J98" s="139">
        <f t="shared" si="7"/>
        <v>0</v>
      </c>
      <c r="K98" s="139">
        <f t="shared" si="8"/>
        <v>0</v>
      </c>
      <c r="L98" s="139">
        <f t="shared" si="9"/>
        <v>0</v>
      </c>
    </row>
    <row r="99" spans="1:12" ht="14.1" customHeight="1" x14ac:dyDescent="0.2">
      <c r="A99" s="4" t="s">
        <v>239</v>
      </c>
      <c r="B99" s="168"/>
      <c r="C99" s="168"/>
      <c r="D99" s="168"/>
      <c r="E99" s="168"/>
      <c r="F99" s="168"/>
      <c r="G99" s="168"/>
      <c r="H99" s="139">
        <f t="shared" si="5"/>
        <v>0</v>
      </c>
      <c r="I99" s="140" t="e">
        <f t="shared" si="6"/>
        <v>#DIV/0!</v>
      </c>
      <c r="J99" s="139">
        <f t="shared" si="7"/>
        <v>0</v>
      </c>
      <c r="K99" s="139">
        <f t="shared" si="8"/>
        <v>0</v>
      </c>
      <c r="L99" s="139">
        <f t="shared" si="9"/>
        <v>0</v>
      </c>
    </row>
    <row r="100" spans="1:12" ht="14.1" customHeight="1" x14ac:dyDescent="0.2">
      <c r="A100" s="4" t="s">
        <v>240</v>
      </c>
      <c r="B100" s="168"/>
      <c r="C100" s="168"/>
      <c r="D100" s="168"/>
      <c r="E100" s="168"/>
      <c r="F100" s="168"/>
      <c r="G100" s="168"/>
      <c r="H100" s="139">
        <f t="shared" si="5"/>
        <v>0</v>
      </c>
      <c r="I100" s="140" t="e">
        <f t="shared" si="6"/>
        <v>#DIV/0!</v>
      </c>
      <c r="J100" s="139">
        <f t="shared" si="7"/>
        <v>0</v>
      </c>
      <c r="K100" s="139">
        <f t="shared" si="8"/>
        <v>0</v>
      </c>
      <c r="L100" s="139">
        <f t="shared" si="9"/>
        <v>0</v>
      </c>
    </row>
    <row r="101" spans="1:12" ht="14.1" customHeight="1" x14ac:dyDescent="0.2">
      <c r="A101" s="4" t="s">
        <v>241</v>
      </c>
      <c r="B101" s="168"/>
      <c r="C101" s="168"/>
      <c r="D101" s="168"/>
      <c r="E101" s="168"/>
      <c r="F101" s="168"/>
      <c r="G101" s="168"/>
      <c r="H101" s="139">
        <f>SUM(B101:G101)</f>
        <v>0</v>
      </c>
      <c r="I101" s="140" t="e">
        <f>H101/H$105</f>
        <v>#DIV/0!</v>
      </c>
      <c r="J101" s="139">
        <f t="shared" si="7"/>
        <v>0</v>
      </c>
      <c r="K101" s="139">
        <f t="shared" si="8"/>
        <v>0</v>
      </c>
      <c r="L101" s="139">
        <f t="shared" si="9"/>
        <v>0</v>
      </c>
    </row>
    <row r="102" spans="1:12" ht="14.1" customHeight="1" x14ac:dyDescent="0.2">
      <c r="A102" s="4" t="s">
        <v>242</v>
      </c>
      <c r="B102" s="168"/>
      <c r="C102" s="168"/>
      <c r="D102" s="168"/>
      <c r="E102" s="168"/>
      <c r="F102" s="168"/>
      <c r="G102" s="168"/>
      <c r="H102" s="139">
        <f>SUM(B102:G102)</f>
        <v>0</v>
      </c>
      <c r="I102" s="140" t="e">
        <f>H102/H$105</f>
        <v>#DIV/0!</v>
      </c>
      <c r="J102" s="139">
        <f t="shared" si="7"/>
        <v>0</v>
      </c>
      <c r="K102" s="139">
        <f t="shared" si="8"/>
        <v>0</v>
      </c>
      <c r="L102" s="139">
        <f t="shared" si="9"/>
        <v>0</v>
      </c>
    </row>
    <row r="103" spans="1:12" ht="14.1" customHeight="1" x14ac:dyDescent="0.2">
      <c r="A103" s="4" t="s">
        <v>243</v>
      </c>
      <c r="B103" s="168"/>
      <c r="C103" s="168"/>
      <c r="D103" s="168"/>
      <c r="E103" s="168"/>
      <c r="F103" s="168"/>
      <c r="G103" s="168"/>
      <c r="H103" s="139">
        <f>SUM(B103:G103)</f>
        <v>0</v>
      </c>
      <c r="I103" s="140" t="e">
        <f>H103/H$105</f>
        <v>#DIV/0!</v>
      </c>
      <c r="J103" s="139">
        <f t="shared" si="7"/>
        <v>0</v>
      </c>
      <c r="K103" s="139">
        <f t="shared" si="8"/>
        <v>0</v>
      </c>
      <c r="L103" s="139">
        <f t="shared" si="9"/>
        <v>0</v>
      </c>
    </row>
    <row r="104" spans="1:12" ht="14.1" customHeight="1" thickBot="1" x14ac:dyDescent="0.25">
      <c r="A104" s="64" t="s">
        <v>244</v>
      </c>
      <c r="B104" s="135"/>
      <c r="C104" s="135"/>
      <c r="D104" s="135"/>
      <c r="E104" s="135"/>
      <c r="F104" s="135"/>
      <c r="G104" s="135"/>
      <c r="H104" s="136">
        <f>SUM(B104:G104)</f>
        <v>0</v>
      </c>
      <c r="I104" s="137" t="e">
        <f>H104/H$105</f>
        <v>#DIV/0!</v>
      </c>
      <c r="J104" s="138">
        <f t="shared" si="7"/>
        <v>0</v>
      </c>
      <c r="K104" s="156">
        <f t="shared" si="8"/>
        <v>0</v>
      </c>
      <c r="L104" s="157">
        <f t="shared" si="9"/>
        <v>0</v>
      </c>
    </row>
    <row r="105" spans="1:12" ht="20.100000000000001" customHeight="1" thickTop="1" thickBot="1" x14ac:dyDescent="0.25">
      <c r="A105" s="65" t="s">
        <v>288</v>
      </c>
      <c r="B105" s="102">
        <f t="shared" ref="B105:J105" si="10">SUM(B5:B104)</f>
        <v>0</v>
      </c>
      <c r="C105" s="102">
        <f t="shared" si="10"/>
        <v>0</v>
      </c>
      <c r="D105" s="102">
        <f>SUM(D5:D104)</f>
        <v>0</v>
      </c>
      <c r="E105" s="102">
        <f>SUM(E5:E104)</f>
        <v>0</v>
      </c>
      <c r="F105" s="102">
        <f>SUM(F5:F104)</f>
        <v>0</v>
      </c>
      <c r="G105" s="102">
        <f>SUM(G5:G104)</f>
        <v>0</v>
      </c>
      <c r="H105" s="103">
        <f t="shared" si="10"/>
        <v>0</v>
      </c>
      <c r="I105" s="97" t="e">
        <f t="shared" si="10"/>
        <v>#DIV/0!</v>
      </c>
      <c r="J105" s="103">
        <f t="shared" si="10"/>
        <v>0</v>
      </c>
      <c r="K105" s="104">
        <f>SUM(K5:K104)</f>
        <v>0</v>
      </c>
      <c r="L105" s="104">
        <f>SUM(L5:L104)</f>
        <v>0</v>
      </c>
    </row>
    <row r="106" spans="1:12" x14ac:dyDescent="0.2">
      <c r="H106" s="5"/>
      <c r="J106" s="5"/>
    </row>
    <row r="107" spans="1:12" x14ac:dyDescent="0.2">
      <c r="A107" s="169" t="s">
        <v>463</v>
      </c>
      <c r="H107" s="143"/>
      <c r="K107" s="142"/>
    </row>
  </sheetData>
  <phoneticPr fontId="0" type="noConversion"/>
  <printOptions horizontalCentered="1"/>
  <pageMargins left="0.25" right="0.25" top="1" bottom="0.75" header="0.5" footer="0.5"/>
  <pageSetup scale="75" orientation="landscape" r:id="rId1"/>
  <headerFooter alignWithMargins="0">
    <oddHeader>&amp;L&amp;"Arial,Regular"&amp;9DEPARTMENT OF HEALTH AND HUMAN SERVICES
DIVISION OF MEDICAL ASSISTANCE
BUDGET MANAGEMENT</oddHeader>
    <oddFooter xml:space="preserve">&amp;L&amp;"Arial,Regular"&amp;7&amp;F  &amp;A&amp;C&amp;"Arial,Regular"&amp;8Page &amp;P of &amp;N&amp;R&amp;"Arial,Regular"&amp;7&amp;D  &amp;T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L114"/>
  <sheetViews>
    <sheetView showGridLines="0" defaultGridColor="0" colorId="12" workbookViewId="0">
      <pane xSplit="3" ySplit="7" topLeftCell="D8" activePane="bottomRight" state="frozen"/>
      <selection activeCell="B107" sqref="B107"/>
      <selection pane="topRight" activeCell="B107" sqref="B107"/>
      <selection pane="bottomLeft" activeCell="B107" sqref="B107"/>
      <selection pane="bottomRight" activeCell="D55" sqref="D55:D56"/>
    </sheetView>
  </sheetViews>
  <sheetFormatPr defaultColWidth="9" defaultRowHeight="12.75" x14ac:dyDescent="0.2"/>
  <cols>
    <col min="1" max="2" width="10.75" style="13" customWidth="1"/>
    <col min="3" max="3" width="32.75" style="13" customWidth="1"/>
    <col min="4" max="4" width="18.625" style="14" customWidth="1"/>
    <col min="5" max="5" width="18.375" style="14" hidden="1" customWidth="1"/>
    <col min="6" max="6" width="16.75" style="92" hidden="1" customWidth="1"/>
    <col min="7" max="7" width="16.75" style="15" customWidth="1"/>
    <col min="8" max="8" width="18.375" style="14" hidden="1" customWidth="1"/>
    <col min="9" max="10" width="9" style="14" customWidth="1"/>
    <col min="11" max="12" width="14.75" style="14" customWidth="1"/>
    <col min="13" max="16384" width="9" style="14"/>
  </cols>
  <sheetData>
    <row r="1" spans="1:11" x14ac:dyDescent="0.2">
      <c r="D1" s="23" t="s">
        <v>495</v>
      </c>
    </row>
    <row r="2" spans="1:11" ht="22.15" customHeight="1" x14ac:dyDescent="0.2">
      <c r="A2" s="208" t="s">
        <v>354</v>
      </c>
      <c r="B2" s="209"/>
      <c r="C2" s="209"/>
      <c r="D2" s="209"/>
      <c r="E2" s="209"/>
      <c r="F2" s="209"/>
      <c r="G2" s="209"/>
      <c r="H2" s="36"/>
    </row>
    <row r="3" spans="1:11" ht="13.5" hidden="1" thickBot="1" x14ac:dyDescent="0.25">
      <c r="F3" s="93"/>
    </row>
    <row r="4" spans="1:11" ht="13.5" thickBot="1" x14ac:dyDescent="0.25">
      <c r="A4" s="210" t="s">
        <v>355</v>
      </c>
      <c r="B4" s="207"/>
      <c r="C4" s="207"/>
      <c r="D4" s="207"/>
      <c r="E4" s="207"/>
      <c r="F4" s="207"/>
      <c r="G4" s="207"/>
      <c r="H4" s="39"/>
      <c r="I4" s="39"/>
      <c r="J4" s="39"/>
    </row>
    <row r="5" spans="1:11" s="13" customFormat="1" x14ac:dyDescent="0.2">
      <c r="A5" s="16"/>
      <c r="B5" s="79"/>
      <c r="C5" s="17"/>
      <c r="D5" s="30" t="s">
        <v>496</v>
      </c>
      <c r="E5" s="30" t="str">
        <f>D5</f>
        <v>SFY 2017</v>
      </c>
      <c r="F5" s="30" t="str">
        <f>E5</f>
        <v>SFY 2017</v>
      </c>
      <c r="G5" s="49" t="str">
        <f>F5</f>
        <v>SFY 2017</v>
      </c>
      <c r="H5" s="46"/>
    </row>
    <row r="6" spans="1:11" s="13" customFormat="1" ht="27.95" customHeight="1" thickBot="1" x14ac:dyDescent="0.25">
      <c r="A6" s="18" t="s">
        <v>257</v>
      </c>
      <c r="B6" s="80"/>
      <c r="C6" s="19" t="s">
        <v>258</v>
      </c>
      <c r="D6" s="31" t="s">
        <v>459</v>
      </c>
      <c r="E6" s="31" t="s">
        <v>458</v>
      </c>
      <c r="F6" s="26" t="s">
        <v>284</v>
      </c>
      <c r="G6" s="96" t="s">
        <v>259</v>
      </c>
      <c r="H6" s="47" t="s">
        <v>260</v>
      </c>
      <c r="I6" s="54"/>
    </row>
    <row r="7" spans="1:11" s="21" customFormat="1" x14ac:dyDescent="0.2">
      <c r="A7" s="20"/>
      <c r="B7" s="81"/>
      <c r="C7" s="24"/>
      <c r="D7" s="32"/>
      <c r="E7" s="32"/>
      <c r="F7" s="25"/>
      <c r="G7" s="50"/>
      <c r="H7" s="48"/>
    </row>
    <row r="8" spans="1:11" x14ac:dyDescent="0.2">
      <c r="A8" s="83" t="s">
        <v>1</v>
      </c>
      <c r="B8" s="69">
        <v>536101</v>
      </c>
      <c r="C8" s="70" t="s">
        <v>2</v>
      </c>
      <c r="D8" s="146">
        <v>0.66879999999999995</v>
      </c>
      <c r="E8" s="77">
        <v>0</v>
      </c>
      <c r="F8" s="94">
        <v>0</v>
      </c>
      <c r="G8" s="78">
        <f>1-D8</f>
        <v>0.33120000000000005</v>
      </c>
      <c r="H8" s="82">
        <f>1-D8-E8-F8-G8</f>
        <v>0</v>
      </c>
      <c r="I8" s="134"/>
      <c r="J8" s="134"/>
      <c r="K8" s="66"/>
    </row>
    <row r="9" spans="1:11" x14ac:dyDescent="0.2">
      <c r="A9" s="83" t="s">
        <v>3</v>
      </c>
      <c r="B9" s="69">
        <v>536102</v>
      </c>
      <c r="C9" s="70" t="s">
        <v>4</v>
      </c>
      <c r="D9" s="146">
        <v>0.66879999999999995</v>
      </c>
      <c r="E9" s="77">
        <v>0</v>
      </c>
      <c r="F9" s="94">
        <v>0</v>
      </c>
      <c r="G9" s="78">
        <f t="shared" ref="G9:G38" si="0">1-D9</f>
        <v>0.33120000000000005</v>
      </c>
      <c r="H9" s="82">
        <f t="shared" ref="H9:H19" si="1">1-D9-E9-G9</f>
        <v>0</v>
      </c>
      <c r="J9" s="134"/>
      <c r="K9" s="66"/>
    </row>
    <row r="10" spans="1:11" x14ac:dyDescent="0.2">
      <c r="A10" s="83" t="s">
        <v>5</v>
      </c>
      <c r="B10" s="69">
        <v>536103</v>
      </c>
      <c r="C10" s="70" t="s">
        <v>6</v>
      </c>
      <c r="D10" s="146">
        <v>0.66879999999999995</v>
      </c>
      <c r="E10" s="77">
        <v>0</v>
      </c>
      <c r="F10" s="94">
        <v>0</v>
      </c>
      <c r="G10" s="78">
        <f t="shared" si="0"/>
        <v>0.33120000000000005</v>
      </c>
      <c r="H10" s="82">
        <f t="shared" si="1"/>
        <v>0</v>
      </c>
      <c r="J10" s="134"/>
      <c r="K10" s="66"/>
    </row>
    <row r="11" spans="1:11" x14ac:dyDescent="0.2">
      <c r="A11" s="83" t="s">
        <v>7</v>
      </c>
      <c r="B11" s="69">
        <v>536104</v>
      </c>
      <c r="C11" s="70" t="s">
        <v>8</v>
      </c>
      <c r="D11" s="146">
        <v>0.66879999999999995</v>
      </c>
      <c r="E11" s="77">
        <v>0</v>
      </c>
      <c r="F11" s="94">
        <v>0</v>
      </c>
      <c r="G11" s="78">
        <f t="shared" si="0"/>
        <v>0.33120000000000005</v>
      </c>
      <c r="H11" s="82">
        <f t="shared" si="1"/>
        <v>0</v>
      </c>
      <c r="J11" s="134"/>
      <c r="K11" s="66"/>
    </row>
    <row r="12" spans="1:11" s="22" customFormat="1" x14ac:dyDescent="0.2">
      <c r="A12" s="83" t="s">
        <v>9</v>
      </c>
      <c r="B12" s="69">
        <v>536105001</v>
      </c>
      <c r="C12" s="70" t="s">
        <v>10</v>
      </c>
      <c r="D12" s="146">
        <v>0.66879999999999995</v>
      </c>
      <c r="E12" s="77">
        <v>0</v>
      </c>
      <c r="F12" s="94">
        <v>0</v>
      </c>
      <c r="G12" s="78">
        <f t="shared" si="0"/>
        <v>0.33120000000000005</v>
      </c>
      <c r="H12" s="82">
        <f t="shared" si="1"/>
        <v>0</v>
      </c>
      <c r="J12" s="134"/>
      <c r="K12" s="66"/>
    </row>
    <row r="13" spans="1:11" s="22" customFormat="1" x14ac:dyDescent="0.2">
      <c r="A13" s="83" t="s">
        <v>11</v>
      </c>
      <c r="B13" s="69">
        <v>536105002</v>
      </c>
      <c r="C13" s="70" t="s">
        <v>12</v>
      </c>
      <c r="D13" s="146">
        <v>0.66879999999999995</v>
      </c>
      <c r="E13" s="77">
        <v>0</v>
      </c>
      <c r="F13" s="94">
        <v>0</v>
      </c>
      <c r="G13" s="78">
        <f t="shared" si="0"/>
        <v>0.33120000000000005</v>
      </c>
      <c r="H13" s="82">
        <f t="shared" si="1"/>
        <v>0</v>
      </c>
      <c r="J13" s="134"/>
      <c r="K13" s="66"/>
    </row>
    <row r="14" spans="1:11" s="22" customFormat="1" x14ac:dyDescent="0.2">
      <c r="A14" s="83" t="s">
        <v>13</v>
      </c>
      <c r="B14" s="69">
        <v>536106</v>
      </c>
      <c r="C14" s="70" t="s">
        <v>14</v>
      </c>
      <c r="D14" s="146">
        <v>0.66879999999999995</v>
      </c>
      <c r="E14" s="77">
        <v>0</v>
      </c>
      <c r="F14" s="94">
        <v>0</v>
      </c>
      <c r="G14" s="78">
        <f t="shared" si="0"/>
        <v>0.33120000000000005</v>
      </c>
      <c r="H14" s="82">
        <f t="shared" si="1"/>
        <v>0</v>
      </c>
      <c r="J14" s="134"/>
      <c r="K14" s="66"/>
    </row>
    <row r="15" spans="1:11" x14ac:dyDescent="0.2">
      <c r="A15" s="83" t="s">
        <v>15</v>
      </c>
      <c r="B15" s="69">
        <v>536107</v>
      </c>
      <c r="C15" s="70" t="s">
        <v>16</v>
      </c>
      <c r="D15" s="146">
        <v>0.66879999999999995</v>
      </c>
      <c r="E15" s="77">
        <v>0</v>
      </c>
      <c r="F15" s="94">
        <v>0</v>
      </c>
      <c r="G15" s="78">
        <f t="shared" si="0"/>
        <v>0.33120000000000005</v>
      </c>
      <c r="H15" s="82">
        <f t="shared" si="1"/>
        <v>0</v>
      </c>
      <c r="J15" s="134"/>
      <c r="K15" s="66"/>
    </row>
    <row r="16" spans="1:11" x14ac:dyDescent="0.2">
      <c r="A16" s="83" t="s">
        <v>17</v>
      </c>
      <c r="B16" s="69">
        <v>536108</v>
      </c>
      <c r="C16" s="70" t="s">
        <v>18</v>
      </c>
      <c r="D16" s="146">
        <v>0.66879999999999995</v>
      </c>
      <c r="E16" s="77">
        <v>0</v>
      </c>
      <c r="F16" s="94">
        <v>0</v>
      </c>
      <c r="G16" s="78">
        <f t="shared" si="0"/>
        <v>0.33120000000000005</v>
      </c>
      <c r="H16" s="82">
        <f t="shared" si="1"/>
        <v>0</v>
      </c>
      <c r="J16" s="134"/>
      <c r="K16" s="66"/>
    </row>
    <row r="17" spans="1:12" x14ac:dyDescent="0.2">
      <c r="A17" s="83" t="s">
        <v>19</v>
      </c>
      <c r="B17" s="69">
        <v>536109</v>
      </c>
      <c r="C17" s="72" t="s">
        <v>20</v>
      </c>
      <c r="D17" s="146">
        <v>0.66879999999999995</v>
      </c>
      <c r="E17" s="77">
        <v>0</v>
      </c>
      <c r="F17" s="94">
        <v>0</v>
      </c>
      <c r="G17" s="78">
        <f t="shared" si="0"/>
        <v>0.33120000000000005</v>
      </c>
      <c r="H17" s="82">
        <f t="shared" si="1"/>
        <v>0</v>
      </c>
      <c r="J17" s="134"/>
      <c r="K17" s="66"/>
    </row>
    <row r="18" spans="1:12" x14ac:dyDescent="0.2">
      <c r="A18" s="83" t="s">
        <v>21</v>
      </c>
      <c r="B18" s="69">
        <v>536110</v>
      </c>
      <c r="C18" s="72" t="s">
        <v>22</v>
      </c>
      <c r="D18" s="146">
        <v>0.66879999999999995</v>
      </c>
      <c r="E18" s="77">
        <v>0</v>
      </c>
      <c r="F18" s="94">
        <v>0</v>
      </c>
      <c r="G18" s="78">
        <f t="shared" si="0"/>
        <v>0.33120000000000005</v>
      </c>
      <c r="H18" s="85">
        <f>1-D18-E18-F18-G18</f>
        <v>0</v>
      </c>
      <c r="J18" s="134"/>
      <c r="K18" s="66"/>
      <c r="L18" s="67"/>
    </row>
    <row r="19" spans="1:12" x14ac:dyDescent="0.2">
      <c r="A19" s="83" t="s">
        <v>23</v>
      </c>
      <c r="B19" s="69">
        <v>536111</v>
      </c>
      <c r="C19" s="72" t="s">
        <v>24</v>
      </c>
      <c r="D19" s="146">
        <v>0.66879999999999995</v>
      </c>
      <c r="E19" s="77">
        <v>0</v>
      </c>
      <c r="F19" s="94">
        <v>0</v>
      </c>
      <c r="G19" s="78">
        <f t="shared" si="0"/>
        <v>0.33120000000000005</v>
      </c>
      <c r="H19" s="82">
        <f t="shared" si="1"/>
        <v>0</v>
      </c>
      <c r="J19" s="134"/>
      <c r="K19" s="66"/>
    </row>
    <row r="20" spans="1:12" x14ac:dyDescent="0.2">
      <c r="A20" s="83" t="s">
        <v>25</v>
      </c>
      <c r="B20" s="69">
        <v>536112</v>
      </c>
      <c r="C20" s="72" t="s">
        <v>26</v>
      </c>
      <c r="D20" s="146">
        <v>0.66879999999999995</v>
      </c>
      <c r="E20" s="77">
        <v>0</v>
      </c>
      <c r="F20" s="94">
        <v>0</v>
      </c>
      <c r="G20" s="78">
        <f t="shared" si="0"/>
        <v>0.33120000000000005</v>
      </c>
      <c r="H20" s="82">
        <f>1-D20-F20-E20-G20</f>
        <v>0</v>
      </c>
      <c r="J20" s="134"/>
      <c r="K20" s="66"/>
    </row>
    <row r="21" spans="1:12" x14ac:dyDescent="0.2">
      <c r="A21" s="83" t="s">
        <v>27</v>
      </c>
      <c r="B21" s="69">
        <v>536113</v>
      </c>
      <c r="C21" s="72" t="s">
        <v>28</v>
      </c>
      <c r="D21" s="146">
        <v>0.66879999999999995</v>
      </c>
      <c r="E21" s="77">
        <v>0</v>
      </c>
      <c r="F21" s="94">
        <v>0</v>
      </c>
      <c r="G21" s="78">
        <f t="shared" si="0"/>
        <v>0.33120000000000005</v>
      </c>
      <c r="H21" s="82">
        <f>1-D21-E21-G21</f>
        <v>0</v>
      </c>
      <c r="J21" s="134"/>
      <c r="K21" s="66"/>
    </row>
    <row r="22" spans="1:12" x14ac:dyDescent="0.2">
      <c r="A22" s="83" t="s">
        <v>29</v>
      </c>
      <c r="B22" s="69">
        <v>536114</v>
      </c>
      <c r="C22" s="72" t="s">
        <v>30</v>
      </c>
      <c r="D22" s="146">
        <v>0.66879999999999995</v>
      </c>
      <c r="E22" s="77">
        <v>0</v>
      </c>
      <c r="F22" s="94">
        <v>0</v>
      </c>
      <c r="G22" s="78">
        <f t="shared" si="0"/>
        <v>0.33120000000000005</v>
      </c>
      <c r="H22" s="82">
        <f>1-D22-F22-E22-G22</f>
        <v>0</v>
      </c>
      <c r="J22" s="134"/>
      <c r="K22" s="66"/>
    </row>
    <row r="23" spans="1:12" x14ac:dyDescent="0.2">
      <c r="A23" s="83" t="s">
        <v>31</v>
      </c>
      <c r="B23" s="69">
        <v>536115</v>
      </c>
      <c r="C23" s="70" t="s">
        <v>32</v>
      </c>
      <c r="D23" s="146">
        <v>0.66879999999999995</v>
      </c>
      <c r="E23" s="77">
        <v>0</v>
      </c>
      <c r="F23" s="94">
        <v>0</v>
      </c>
      <c r="G23" s="78">
        <f t="shared" si="0"/>
        <v>0.33120000000000005</v>
      </c>
      <c r="H23" s="82">
        <f>1-D23-F23-E23-G23</f>
        <v>0</v>
      </c>
      <c r="J23" s="134"/>
      <c r="K23" s="66"/>
    </row>
    <row r="24" spans="1:12" x14ac:dyDescent="0.2">
      <c r="A24" s="83" t="s">
        <v>33</v>
      </c>
      <c r="B24" s="69">
        <v>536116</v>
      </c>
      <c r="C24" s="70" t="s">
        <v>34</v>
      </c>
      <c r="D24" s="146">
        <v>0.66879999999999995</v>
      </c>
      <c r="E24" s="77">
        <v>0</v>
      </c>
      <c r="F24" s="94">
        <v>0</v>
      </c>
      <c r="G24" s="78">
        <f t="shared" si="0"/>
        <v>0.33120000000000005</v>
      </c>
      <c r="H24" s="82">
        <f t="shared" ref="H24:H55" si="2">1-D24-E24-G24</f>
        <v>0</v>
      </c>
      <c r="J24" s="134"/>
      <c r="K24" s="66"/>
    </row>
    <row r="25" spans="1:12" x14ac:dyDescent="0.2">
      <c r="A25" s="83" t="s">
        <v>35</v>
      </c>
      <c r="B25" s="69">
        <v>536117</v>
      </c>
      <c r="C25" s="70" t="s">
        <v>36</v>
      </c>
      <c r="D25" s="146">
        <v>0.66879999999999995</v>
      </c>
      <c r="E25" s="77">
        <v>0</v>
      </c>
      <c r="F25" s="94">
        <v>0</v>
      </c>
      <c r="G25" s="78">
        <f t="shared" si="0"/>
        <v>0.33120000000000005</v>
      </c>
      <c r="H25" s="82">
        <f t="shared" si="2"/>
        <v>0</v>
      </c>
      <c r="J25" s="134"/>
      <c r="K25" s="66"/>
    </row>
    <row r="26" spans="1:12" x14ac:dyDescent="0.2">
      <c r="A26" s="83" t="s">
        <v>37</v>
      </c>
      <c r="B26" s="69">
        <v>536118</v>
      </c>
      <c r="C26" s="70" t="s">
        <v>38</v>
      </c>
      <c r="D26" s="146">
        <v>0.66879999999999995</v>
      </c>
      <c r="E26" s="77">
        <v>0</v>
      </c>
      <c r="F26" s="94">
        <v>0</v>
      </c>
      <c r="G26" s="78">
        <f t="shared" si="0"/>
        <v>0.33120000000000005</v>
      </c>
      <c r="H26" s="82">
        <f t="shared" si="2"/>
        <v>0</v>
      </c>
      <c r="J26" s="134"/>
      <c r="K26" s="66"/>
    </row>
    <row r="27" spans="1:12" x14ac:dyDescent="0.2">
      <c r="A27" s="83" t="s">
        <v>39</v>
      </c>
      <c r="B27" s="69">
        <v>536119</v>
      </c>
      <c r="C27" s="70" t="s">
        <v>40</v>
      </c>
      <c r="D27" s="146">
        <v>0.66879999999999995</v>
      </c>
      <c r="E27" s="77">
        <v>0</v>
      </c>
      <c r="F27" s="94">
        <v>0</v>
      </c>
      <c r="G27" s="78">
        <f t="shared" si="0"/>
        <v>0.33120000000000005</v>
      </c>
      <c r="H27" s="82">
        <f t="shared" si="2"/>
        <v>0</v>
      </c>
      <c r="J27" s="134"/>
      <c r="K27" s="66"/>
    </row>
    <row r="28" spans="1:12" x14ac:dyDescent="0.2">
      <c r="A28" s="83" t="s">
        <v>41</v>
      </c>
      <c r="B28" s="69">
        <v>536120</v>
      </c>
      <c r="C28" s="70" t="s">
        <v>42</v>
      </c>
      <c r="D28" s="146">
        <v>0.66879999999999995</v>
      </c>
      <c r="E28" s="77">
        <v>0</v>
      </c>
      <c r="F28" s="94">
        <v>0</v>
      </c>
      <c r="G28" s="78">
        <f t="shared" si="0"/>
        <v>0.33120000000000005</v>
      </c>
      <c r="H28" s="82">
        <f t="shared" si="2"/>
        <v>0</v>
      </c>
      <c r="J28" s="134"/>
      <c r="K28" s="66"/>
    </row>
    <row r="29" spans="1:12" x14ac:dyDescent="0.2">
      <c r="A29" s="83" t="s">
        <v>43</v>
      </c>
      <c r="B29" s="69">
        <v>536121</v>
      </c>
      <c r="C29" s="70" t="s">
        <v>44</v>
      </c>
      <c r="D29" s="146">
        <v>0.66879999999999995</v>
      </c>
      <c r="E29" s="77">
        <v>0</v>
      </c>
      <c r="F29" s="94">
        <v>0</v>
      </c>
      <c r="G29" s="78">
        <f t="shared" si="0"/>
        <v>0.33120000000000005</v>
      </c>
      <c r="H29" s="82">
        <f t="shared" si="2"/>
        <v>0</v>
      </c>
      <c r="J29" s="134"/>
      <c r="K29" s="66"/>
    </row>
    <row r="30" spans="1:12" x14ac:dyDescent="0.2">
      <c r="A30" s="83" t="s">
        <v>45</v>
      </c>
      <c r="B30" s="69">
        <v>536122</v>
      </c>
      <c r="C30" s="70" t="s">
        <v>46</v>
      </c>
      <c r="D30" s="146">
        <v>0.66879999999999995</v>
      </c>
      <c r="E30" s="77">
        <v>0</v>
      </c>
      <c r="F30" s="94">
        <v>0</v>
      </c>
      <c r="G30" s="78">
        <f t="shared" si="0"/>
        <v>0.33120000000000005</v>
      </c>
      <c r="H30" s="82">
        <f t="shared" si="2"/>
        <v>0</v>
      </c>
      <c r="J30" s="134"/>
      <c r="K30" s="66"/>
    </row>
    <row r="31" spans="1:12" x14ac:dyDescent="0.2">
      <c r="A31" s="83" t="s">
        <v>47</v>
      </c>
      <c r="B31" s="71">
        <v>536123</v>
      </c>
      <c r="C31" s="72" t="s">
        <v>246</v>
      </c>
      <c r="D31" s="146">
        <v>0.66879999999999995</v>
      </c>
      <c r="E31" s="77">
        <v>0</v>
      </c>
      <c r="F31" s="94">
        <v>0</v>
      </c>
      <c r="G31" s="78">
        <f t="shared" si="0"/>
        <v>0.33120000000000005</v>
      </c>
      <c r="H31" s="82">
        <f t="shared" si="2"/>
        <v>0</v>
      </c>
      <c r="J31" s="134"/>
      <c r="K31" s="66"/>
    </row>
    <row r="32" spans="1:12" x14ac:dyDescent="0.2">
      <c r="A32" s="83" t="s">
        <v>48</v>
      </c>
      <c r="B32" s="69">
        <v>536124</v>
      </c>
      <c r="C32" s="70" t="s">
        <v>49</v>
      </c>
      <c r="D32" s="146">
        <v>0.66879999999999995</v>
      </c>
      <c r="E32" s="77">
        <v>0</v>
      </c>
      <c r="F32" s="94">
        <v>0</v>
      </c>
      <c r="G32" s="78">
        <f t="shared" si="0"/>
        <v>0.33120000000000005</v>
      </c>
      <c r="H32" s="82">
        <f t="shared" si="2"/>
        <v>0</v>
      </c>
      <c r="J32" s="134"/>
      <c r="K32" s="66"/>
    </row>
    <row r="33" spans="1:11" x14ac:dyDescent="0.2">
      <c r="A33" s="83" t="s">
        <v>50</v>
      </c>
      <c r="B33" s="69">
        <v>536125</v>
      </c>
      <c r="C33" s="70" t="s">
        <v>51</v>
      </c>
      <c r="D33" s="146">
        <v>0.66879999999999995</v>
      </c>
      <c r="E33" s="77">
        <v>0</v>
      </c>
      <c r="F33" s="94">
        <v>0</v>
      </c>
      <c r="G33" s="78">
        <f t="shared" si="0"/>
        <v>0.33120000000000005</v>
      </c>
      <c r="H33" s="82">
        <f t="shared" si="2"/>
        <v>0</v>
      </c>
      <c r="J33" s="134"/>
      <c r="K33" s="66"/>
    </row>
    <row r="34" spans="1:11" x14ac:dyDescent="0.2">
      <c r="A34" s="83" t="s">
        <v>52</v>
      </c>
      <c r="B34" s="69">
        <v>536126</v>
      </c>
      <c r="C34" s="70" t="s">
        <v>53</v>
      </c>
      <c r="D34" s="146">
        <v>0.66879999999999995</v>
      </c>
      <c r="E34" s="77">
        <v>0</v>
      </c>
      <c r="F34" s="94">
        <v>0</v>
      </c>
      <c r="G34" s="78">
        <f t="shared" si="0"/>
        <v>0.33120000000000005</v>
      </c>
      <c r="H34" s="82">
        <f t="shared" si="2"/>
        <v>0</v>
      </c>
      <c r="J34" s="134"/>
      <c r="K34" s="66"/>
    </row>
    <row r="35" spans="1:11" x14ac:dyDescent="0.2">
      <c r="A35" s="83" t="s">
        <v>54</v>
      </c>
      <c r="B35" s="69">
        <v>536127</v>
      </c>
      <c r="C35" s="70" t="s">
        <v>262</v>
      </c>
      <c r="D35" s="146">
        <v>0.66879999999999995</v>
      </c>
      <c r="E35" s="77">
        <v>0</v>
      </c>
      <c r="F35" s="94">
        <v>0</v>
      </c>
      <c r="G35" s="78">
        <f t="shared" si="0"/>
        <v>0.33120000000000005</v>
      </c>
      <c r="H35" s="82">
        <f t="shared" si="2"/>
        <v>0</v>
      </c>
      <c r="J35" s="134"/>
      <c r="K35" s="66"/>
    </row>
    <row r="36" spans="1:11" x14ac:dyDescent="0.2">
      <c r="A36" s="83" t="s">
        <v>55</v>
      </c>
      <c r="B36" s="69">
        <v>536128</v>
      </c>
      <c r="C36" s="70" t="s">
        <v>56</v>
      </c>
      <c r="D36" s="146">
        <v>0.66879999999999995</v>
      </c>
      <c r="E36" s="77">
        <v>0</v>
      </c>
      <c r="F36" s="94">
        <v>0</v>
      </c>
      <c r="G36" s="78">
        <f t="shared" si="0"/>
        <v>0.33120000000000005</v>
      </c>
      <c r="H36" s="82">
        <f t="shared" si="2"/>
        <v>0</v>
      </c>
      <c r="J36" s="134"/>
      <c r="K36" s="66"/>
    </row>
    <row r="37" spans="1:11" x14ac:dyDescent="0.2">
      <c r="A37" s="83" t="s">
        <v>57</v>
      </c>
      <c r="B37" s="69">
        <v>536129</v>
      </c>
      <c r="C37" s="70" t="s">
        <v>58</v>
      </c>
      <c r="D37" s="146">
        <v>0.66879999999999995</v>
      </c>
      <c r="E37" s="77">
        <v>0</v>
      </c>
      <c r="F37" s="94">
        <v>0</v>
      </c>
      <c r="G37" s="78">
        <f t="shared" si="0"/>
        <v>0.33120000000000005</v>
      </c>
      <c r="H37" s="82">
        <f t="shared" si="2"/>
        <v>0</v>
      </c>
      <c r="J37" s="134"/>
      <c r="K37" s="66"/>
    </row>
    <row r="38" spans="1:11" x14ac:dyDescent="0.2">
      <c r="A38" s="83" t="s">
        <v>59</v>
      </c>
      <c r="B38" s="69">
        <v>536130</v>
      </c>
      <c r="C38" s="70" t="s">
        <v>60</v>
      </c>
      <c r="D38" s="146">
        <v>0.66879999999999995</v>
      </c>
      <c r="E38" s="77">
        <v>0</v>
      </c>
      <c r="F38" s="94">
        <v>0</v>
      </c>
      <c r="G38" s="78">
        <f t="shared" si="0"/>
        <v>0.33120000000000005</v>
      </c>
      <c r="H38" s="82">
        <f t="shared" si="2"/>
        <v>0</v>
      </c>
      <c r="J38" s="134"/>
      <c r="K38" s="66"/>
    </row>
    <row r="39" spans="1:11" x14ac:dyDescent="0.2">
      <c r="A39" s="83" t="s">
        <v>61</v>
      </c>
      <c r="B39" s="69">
        <v>536132</v>
      </c>
      <c r="C39" s="70" t="s">
        <v>62</v>
      </c>
      <c r="D39" s="76">
        <v>0.9</v>
      </c>
      <c r="E39" s="77">
        <v>0</v>
      </c>
      <c r="F39" s="94">
        <v>0</v>
      </c>
      <c r="G39" s="78">
        <v>0.1</v>
      </c>
      <c r="H39" s="82">
        <f t="shared" si="2"/>
        <v>0</v>
      </c>
      <c r="J39" s="134"/>
      <c r="K39" s="66"/>
    </row>
    <row r="40" spans="1:11" x14ac:dyDescent="0.2">
      <c r="A40" s="83" t="s">
        <v>63</v>
      </c>
      <c r="B40" s="69">
        <v>536133</v>
      </c>
      <c r="C40" s="70" t="s">
        <v>64</v>
      </c>
      <c r="D40" s="76">
        <v>0.9</v>
      </c>
      <c r="E40" s="77">
        <v>0</v>
      </c>
      <c r="F40" s="94">
        <v>0</v>
      </c>
      <c r="G40" s="78">
        <v>0.1</v>
      </c>
      <c r="H40" s="82">
        <f t="shared" si="2"/>
        <v>0</v>
      </c>
      <c r="J40" s="134"/>
      <c r="K40" s="66"/>
    </row>
    <row r="41" spans="1:11" x14ac:dyDescent="0.2">
      <c r="A41" s="83" t="s">
        <v>65</v>
      </c>
      <c r="B41" s="69">
        <v>536134</v>
      </c>
      <c r="C41" s="70" t="s">
        <v>66</v>
      </c>
      <c r="D41" s="76">
        <v>0.9</v>
      </c>
      <c r="E41" s="77">
        <v>0</v>
      </c>
      <c r="F41" s="94">
        <v>0</v>
      </c>
      <c r="G41" s="78">
        <v>0.1</v>
      </c>
      <c r="H41" s="82">
        <f t="shared" si="2"/>
        <v>0</v>
      </c>
      <c r="J41" s="134"/>
      <c r="K41" s="66"/>
    </row>
    <row r="42" spans="1:11" x14ac:dyDescent="0.2">
      <c r="A42" s="83" t="s">
        <v>67</v>
      </c>
      <c r="B42" s="69">
        <v>536135</v>
      </c>
      <c r="C42" s="70" t="s">
        <v>68</v>
      </c>
      <c r="D42" s="76">
        <v>0.9</v>
      </c>
      <c r="E42" s="77">
        <v>0</v>
      </c>
      <c r="F42" s="94">
        <v>0</v>
      </c>
      <c r="G42" s="78">
        <v>0.1</v>
      </c>
      <c r="H42" s="82">
        <f t="shared" si="2"/>
        <v>0</v>
      </c>
      <c r="J42" s="134"/>
      <c r="K42" s="66"/>
    </row>
    <row r="43" spans="1:11" x14ac:dyDescent="0.2">
      <c r="A43" s="83" t="s">
        <v>69</v>
      </c>
      <c r="B43" s="69">
        <v>536136</v>
      </c>
      <c r="C43" s="70" t="s">
        <v>70</v>
      </c>
      <c r="D43" s="76">
        <v>0.9</v>
      </c>
      <c r="E43" s="77">
        <v>0</v>
      </c>
      <c r="F43" s="94">
        <v>0</v>
      </c>
      <c r="G43" s="78">
        <v>0.1</v>
      </c>
      <c r="H43" s="82">
        <f t="shared" si="2"/>
        <v>0</v>
      </c>
      <c r="J43" s="134"/>
      <c r="K43" s="66"/>
    </row>
    <row r="44" spans="1:11" x14ac:dyDescent="0.2">
      <c r="A44" s="83" t="s">
        <v>71</v>
      </c>
      <c r="B44" s="69">
        <v>536137</v>
      </c>
      <c r="C44" s="70" t="s">
        <v>72</v>
      </c>
      <c r="D44" s="76">
        <v>0.9</v>
      </c>
      <c r="E44" s="77">
        <v>0</v>
      </c>
      <c r="F44" s="94">
        <v>0</v>
      </c>
      <c r="G44" s="78">
        <v>0.1</v>
      </c>
      <c r="H44" s="82">
        <f t="shared" si="2"/>
        <v>0</v>
      </c>
      <c r="J44" s="134"/>
      <c r="K44" s="66"/>
    </row>
    <row r="45" spans="1:11" x14ac:dyDescent="0.2">
      <c r="A45" s="83" t="s">
        <v>73</v>
      </c>
      <c r="B45" s="69">
        <v>536138</v>
      </c>
      <c r="C45" s="70" t="s">
        <v>263</v>
      </c>
      <c r="D45" s="146">
        <v>0.66879999999999995</v>
      </c>
      <c r="E45" s="77">
        <v>0</v>
      </c>
      <c r="F45" s="94">
        <v>0</v>
      </c>
      <c r="G45" s="78">
        <f t="shared" ref="G45:G51" si="3">1-D45</f>
        <v>0.33120000000000005</v>
      </c>
      <c r="H45" s="82">
        <f t="shared" si="2"/>
        <v>0</v>
      </c>
      <c r="J45" s="134"/>
      <c r="K45" s="66"/>
    </row>
    <row r="46" spans="1:11" x14ac:dyDescent="0.2">
      <c r="A46" s="83" t="s">
        <v>74</v>
      </c>
      <c r="B46" s="69">
        <v>536139</v>
      </c>
      <c r="C46" s="70" t="s">
        <v>75</v>
      </c>
      <c r="D46" s="146">
        <v>0.66879999999999995</v>
      </c>
      <c r="E46" s="77">
        <v>0</v>
      </c>
      <c r="F46" s="94">
        <v>0</v>
      </c>
      <c r="G46" s="78">
        <f t="shared" si="3"/>
        <v>0.33120000000000005</v>
      </c>
      <c r="H46" s="82">
        <f t="shared" si="2"/>
        <v>0</v>
      </c>
      <c r="J46" s="134"/>
      <c r="K46" s="66"/>
    </row>
    <row r="47" spans="1:11" x14ac:dyDescent="0.2">
      <c r="A47" s="83" t="s">
        <v>249</v>
      </c>
      <c r="B47" s="69">
        <v>536140</v>
      </c>
      <c r="C47" s="70" t="s">
        <v>76</v>
      </c>
      <c r="D47" s="146">
        <v>0.66879999999999995</v>
      </c>
      <c r="E47" s="77">
        <v>0</v>
      </c>
      <c r="F47" s="94">
        <v>0</v>
      </c>
      <c r="G47" s="78">
        <f t="shared" si="3"/>
        <v>0.33120000000000005</v>
      </c>
      <c r="H47" s="82">
        <f t="shared" si="2"/>
        <v>0</v>
      </c>
      <c r="J47" s="134"/>
      <c r="K47" s="66"/>
    </row>
    <row r="48" spans="1:11" x14ac:dyDescent="0.2">
      <c r="A48" s="83" t="s">
        <v>250</v>
      </c>
      <c r="B48" s="69">
        <v>536141</v>
      </c>
      <c r="C48" s="70" t="s">
        <v>77</v>
      </c>
      <c r="D48" s="146">
        <v>0.66879999999999995</v>
      </c>
      <c r="E48" s="77">
        <v>0</v>
      </c>
      <c r="F48" s="94">
        <v>0</v>
      </c>
      <c r="G48" s="78">
        <f t="shared" si="3"/>
        <v>0.33120000000000005</v>
      </c>
      <c r="H48" s="82">
        <f t="shared" si="2"/>
        <v>0</v>
      </c>
      <c r="J48" s="134"/>
      <c r="K48" s="66"/>
    </row>
    <row r="49" spans="1:11" x14ac:dyDescent="0.2">
      <c r="A49" s="83" t="s">
        <v>0</v>
      </c>
      <c r="B49" s="69">
        <v>536142</v>
      </c>
      <c r="C49" s="70" t="s">
        <v>78</v>
      </c>
      <c r="D49" s="146">
        <v>0.66879999999999995</v>
      </c>
      <c r="E49" s="77">
        <v>0</v>
      </c>
      <c r="F49" s="94">
        <v>0</v>
      </c>
      <c r="G49" s="78">
        <f t="shared" si="3"/>
        <v>0.33120000000000005</v>
      </c>
      <c r="H49" s="82">
        <f t="shared" si="2"/>
        <v>0</v>
      </c>
      <c r="J49" s="134"/>
      <c r="K49" s="66"/>
    </row>
    <row r="50" spans="1:11" x14ac:dyDescent="0.2">
      <c r="A50" s="83" t="s">
        <v>79</v>
      </c>
      <c r="B50" s="69">
        <v>536143</v>
      </c>
      <c r="C50" s="70" t="s">
        <v>80</v>
      </c>
      <c r="D50" s="146">
        <v>0.66879999999999995</v>
      </c>
      <c r="E50" s="77">
        <v>0</v>
      </c>
      <c r="F50" s="94">
        <v>0</v>
      </c>
      <c r="G50" s="78">
        <f t="shared" si="3"/>
        <v>0.33120000000000005</v>
      </c>
      <c r="H50" s="82">
        <f t="shared" si="2"/>
        <v>0</v>
      </c>
      <c r="J50" s="134"/>
      <c r="K50" s="66"/>
    </row>
    <row r="51" spans="1:11" x14ac:dyDescent="0.2">
      <c r="A51" s="83" t="s">
        <v>81</v>
      </c>
      <c r="B51" s="69">
        <v>536144</v>
      </c>
      <c r="C51" s="70" t="s">
        <v>82</v>
      </c>
      <c r="D51" s="146">
        <v>0.66879999999999995</v>
      </c>
      <c r="E51" s="77">
        <v>0</v>
      </c>
      <c r="F51" s="94">
        <v>0</v>
      </c>
      <c r="G51" s="78">
        <f t="shared" si="3"/>
        <v>0.33120000000000005</v>
      </c>
      <c r="H51" s="82">
        <f t="shared" si="2"/>
        <v>0</v>
      </c>
      <c r="J51" s="134"/>
      <c r="K51" s="66"/>
    </row>
    <row r="52" spans="1:11" x14ac:dyDescent="0.2">
      <c r="A52" s="83" t="s">
        <v>83</v>
      </c>
      <c r="B52" s="69">
        <v>536145</v>
      </c>
      <c r="C52" s="70" t="s">
        <v>264</v>
      </c>
      <c r="D52" s="76">
        <v>1</v>
      </c>
      <c r="E52" s="77">
        <v>0</v>
      </c>
      <c r="F52" s="94">
        <v>0</v>
      </c>
      <c r="G52" s="78">
        <v>0</v>
      </c>
      <c r="H52" s="82">
        <f t="shared" si="2"/>
        <v>0</v>
      </c>
      <c r="J52" s="134"/>
      <c r="K52" s="66"/>
    </row>
    <row r="53" spans="1:11" x14ac:dyDescent="0.2">
      <c r="A53" s="83" t="s">
        <v>84</v>
      </c>
      <c r="B53" s="69">
        <v>536146</v>
      </c>
      <c r="C53" s="70" t="s">
        <v>265</v>
      </c>
      <c r="D53" s="146">
        <v>0.66879999999999995</v>
      </c>
      <c r="E53" s="77">
        <v>0</v>
      </c>
      <c r="F53" s="94">
        <v>0</v>
      </c>
      <c r="G53" s="78">
        <f>1-D53</f>
        <v>0.33120000000000005</v>
      </c>
      <c r="H53" s="82">
        <f t="shared" si="2"/>
        <v>0</v>
      </c>
      <c r="J53" s="134"/>
      <c r="K53" s="66"/>
    </row>
    <row r="54" spans="1:11" x14ac:dyDescent="0.2">
      <c r="A54" s="83" t="s">
        <v>85</v>
      </c>
      <c r="B54" s="69">
        <v>536147</v>
      </c>
      <c r="C54" s="70" t="s">
        <v>266</v>
      </c>
      <c r="D54" s="146">
        <v>0.66879999999999995</v>
      </c>
      <c r="E54" s="77">
        <v>0</v>
      </c>
      <c r="F54" s="94">
        <v>0</v>
      </c>
      <c r="G54" s="78">
        <f>1-D54</f>
        <v>0.33120000000000005</v>
      </c>
      <c r="H54" s="82">
        <f t="shared" si="2"/>
        <v>0</v>
      </c>
      <c r="J54" s="134"/>
      <c r="K54" s="66"/>
    </row>
    <row r="55" spans="1:11" x14ac:dyDescent="0.2">
      <c r="A55" s="83" t="s">
        <v>86</v>
      </c>
      <c r="B55" s="69">
        <v>536148</v>
      </c>
      <c r="C55" s="70" t="s">
        <v>267</v>
      </c>
      <c r="D55" s="76">
        <v>0.9</v>
      </c>
      <c r="E55" s="77">
        <v>0</v>
      </c>
      <c r="F55" s="94">
        <v>0</v>
      </c>
      <c r="G55" s="78">
        <v>0.1</v>
      </c>
      <c r="H55" s="82">
        <f t="shared" si="2"/>
        <v>0</v>
      </c>
      <c r="J55" s="134"/>
      <c r="K55" s="66"/>
    </row>
    <row r="56" spans="1:11" x14ac:dyDescent="0.2">
      <c r="A56" s="83" t="s">
        <v>87</v>
      </c>
      <c r="B56" s="69">
        <v>536149</v>
      </c>
      <c r="C56" s="70" t="s">
        <v>88</v>
      </c>
      <c r="D56" s="76">
        <v>0.9</v>
      </c>
      <c r="E56" s="77">
        <v>0</v>
      </c>
      <c r="F56" s="94">
        <v>0</v>
      </c>
      <c r="G56" s="78">
        <v>0.1</v>
      </c>
      <c r="H56" s="82">
        <f t="shared" ref="H56:H87" si="4">1-D56-E56-G56</f>
        <v>0</v>
      </c>
      <c r="J56" s="134"/>
      <c r="K56" s="66"/>
    </row>
    <row r="57" spans="1:11" x14ac:dyDescent="0.2">
      <c r="A57" s="83" t="s">
        <v>89</v>
      </c>
      <c r="B57" s="69">
        <v>536151</v>
      </c>
      <c r="C57" s="70" t="s">
        <v>268</v>
      </c>
      <c r="D57" s="146">
        <v>0.66879999999999995</v>
      </c>
      <c r="E57" s="77">
        <v>0</v>
      </c>
      <c r="F57" s="94">
        <v>0</v>
      </c>
      <c r="G57" s="78">
        <f t="shared" ref="G57:G74" si="5">1-D57</f>
        <v>0.33120000000000005</v>
      </c>
      <c r="H57" s="82">
        <f t="shared" si="4"/>
        <v>0</v>
      </c>
      <c r="J57" s="134"/>
      <c r="K57" s="66"/>
    </row>
    <row r="58" spans="1:11" x14ac:dyDescent="0.2">
      <c r="A58" s="83" t="s">
        <v>90</v>
      </c>
      <c r="B58" s="69">
        <v>536152</v>
      </c>
      <c r="C58" s="70" t="s">
        <v>269</v>
      </c>
      <c r="D58" s="146">
        <v>0.66879999999999995</v>
      </c>
      <c r="E58" s="77">
        <v>0</v>
      </c>
      <c r="F58" s="94">
        <v>0</v>
      </c>
      <c r="G58" s="78">
        <f t="shared" si="5"/>
        <v>0.33120000000000005</v>
      </c>
      <c r="H58" s="82">
        <f t="shared" si="4"/>
        <v>0</v>
      </c>
      <c r="J58" s="134"/>
      <c r="K58" s="66"/>
    </row>
    <row r="59" spans="1:11" x14ac:dyDescent="0.2">
      <c r="A59" s="83" t="s">
        <v>91</v>
      </c>
      <c r="B59" s="69">
        <v>536153</v>
      </c>
      <c r="C59" s="70" t="s">
        <v>92</v>
      </c>
      <c r="D59" s="146">
        <v>0.66879999999999995</v>
      </c>
      <c r="E59" s="77">
        <v>0</v>
      </c>
      <c r="F59" s="94">
        <v>0</v>
      </c>
      <c r="G59" s="78">
        <f t="shared" si="5"/>
        <v>0.33120000000000005</v>
      </c>
      <c r="H59" s="82">
        <f t="shared" si="4"/>
        <v>0</v>
      </c>
      <c r="J59" s="134"/>
      <c r="K59" s="66"/>
    </row>
    <row r="60" spans="1:11" x14ac:dyDescent="0.2">
      <c r="A60" s="83" t="s">
        <v>93</v>
      </c>
      <c r="B60" s="69">
        <v>536154</v>
      </c>
      <c r="C60" s="70" t="s">
        <v>94</v>
      </c>
      <c r="D60" s="146">
        <v>0.66879999999999995</v>
      </c>
      <c r="E60" s="77">
        <v>0</v>
      </c>
      <c r="F60" s="94">
        <v>0</v>
      </c>
      <c r="G60" s="78">
        <f t="shared" si="5"/>
        <v>0.33120000000000005</v>
      </c>
      <c r="H60" s="82">
        <f t="shared" si="4"/>
        <v>0</v>
      </c>
      <c r="J60" s="134"/>
      <c r="K60" s="66"/>
    </row>
    <row r="61" spans="1:11" x14ac:dyDescent="0.2">
      <c r="A61" s="83" t="s">
        <v>95</v>
      </c>
      <c r="B61" s="69">
        <v>536155</v>
      </c>
      <c r="C61" s="70" t="s">
        <v>96</v>
      </c>
      <c r="D61" s="146">
        <v>0.66879999999999995</v>
      </c>
      <c r="E61" s="77">
        <v>0</v>
      </c>
      <c r="F61" s="94">
        <v>0</v>
      </c>
      <c r="G61" s="78">
        <f t="shared" si="5"/>
        <v>0.33120000000000005</v>
      </c>
      <c r="H61" s="82">
        <f t="shared" si="4"/>
        <v>0</v>
      </c>
      <c r="J61" s="134"/>
      <c r="K61" s="66"/>
    </row>
    <row r="62" spans="1:11" x14ac:dyDescent="0.2">
      <c r="A62" s="83" t="s">
        <v>97</v>
      </c>
      <c r="B62" s="69">
        <v>536156</v>
      </c>
      <c r="C62" s="70" t="s">
        <v>270</v>
      </c>
      <c r="D62" s="146">
        <v>0.66879999999999995</v>
      </c>
      <c r="E62" s="77">
        <v>0</v>
      </c>
      <c r="F62" s="94">
        <v>0</v>
      </c>
      <c r="G62" s="78">
        <f t="shared" si="5"/>
        <v>0.33120000000000005</v>
      </c>
      <c r="H62" s="82">
        <f t="shared" si="4"/>
        <v>0</v>
      </c>
      <c r="J62" s="134"/>
      <c r="K62" s="66"/>
    </row>
    <row r="63" spans="1:11" x14ac:dyDescent="0.2">
      <c r="A63" s="83" t="s">
        <v>98</v>
      </c>
      <c r="B63" s="69">
        <v>536157</v>
      </c>
      <c r="C63" s="70" t="s">
        <v>99</v>
      </c>
      <c r="D63" s="146">
        <v>0.66879999999999995</v>
      </c>
      <c r="E63" s="77">
        <v>0</v>
      </c>
      <c r="F63" s="94">
        <v>0</v>
      </c>
      <c r="G63" s="78">
        <f t="shared" si="5"/>
        <v>0.33120000000000005</v>
      </c>
      <c r="H63" s="82">
        <f t="shared" si="4"/>
        <v>0</v>
      </c>
      <c r="J63" s="134"/>
      <c r="K63" s="66"/>
    </row>
    <row r="64" spans="1:11" x14ac:dyDescent="0.2">
      <c r="A64" s="83" t="s">
        <v>100</v>
      </c>
      <c r="B64" s="69">
        <v>536158</v>
      </c>
      <c r="C64" s="70" t="s">
        <v>271</v>
      </c>
      <c r="D64" s="146">
        <v>0.66879999999999995</v>
      </c>
      <c r="E64" s="77">
        <v>0</v>
      </c>
      <c r="F64" s="94">
        <v>0</v>
      </c>
      <c r="G64" s="78">
        <f t="shared" si="5"/>
        <v>0.33120000000000005</v>
      </c>
      <c r="H64" s="82">
        <f t="shared" si="4"/>
        <v>0</v>
      </c>
      <c r="J64" s="134"/>
      <c r="K64" s="66"/>
    </row>
    <row r="65" spans="1:11" x14ac:dyDescent="0.2">
      <c r="A65" s="83" t="s">
        <v>101</v>
      </c>
      <c r="B65" s="69">
        <v>536159</v>
      </c>
      <c r="C65" s="70" t="s">
        <v>102</v>
      </c>
      <c r="D65" s="146">
        <v>0.66879999999999995</v>
      </c>
      <c r="E65" s="77">
        <v>0</v>
      </c>
      <c r="F65" s="94">
        <v>0</v>
      </c>
      <c r="G65" s="78">
        <f t="shared" si="5"/>
        <v>0.33120000000000005</v>
      </c>
      <c r="H65" s="82">
        <f t="shared" si="4"/>
        <v>0</v>
      </c>
      <c r="J65" s="134"/>
      <c r="K65" s="66"/>
    </row>
    <row r="66" spans="1:11" x14ac:dyDescent="0.2">
      <c r="A66" s="83" t="s">
        <v>144</v>
      </c>
      <c r="B66" s="69">
        <v>536159</v>
      </c>
      <c r="C66" s="70" t="s">
        <v>285</v>
      </c>
      <c r="D66" s="146">
        <v>0.66879999999999995</v>
      </c>
      <c r="E66" s="77">
        <v>0</v>
      </c>
      <c r="F66" s="94">
        <v>0</v>
      </c>
      <c r="G66" s="78">
        <f t="shared" si="5"/>
        <v>0.33120000000000005</v>
      </c>
      <c r="H66" s="82">
        <f t="shared" si="4"/>
        <v>0</v>
      </c>
      <c r="J66" s="134"/>
      <c r="K66" s="66"/>
    </row>
    <row r="67" spans="1:11" x14ac:dyDescent="0.2">
      <c r="A67" s="83" t="s">
        <v>103</v>
      </c>
      <c r="B67" s="69">
        <v>536160</v>
      </c>
      <c r="C67" s="70" t="s">
        <v>104</v>
      </c>
      <c r="D67" s="146">
        <v>0.66879999999999995</v>
      </c>
      <c r="E67" s="77">
        <v>0</v>
      </c>
      <c r="F67" s="94">
        <v>0</v>
      </c>
      <c r="G67" s="78">
        <f t="shared" si="5"/>
        <v>0.33120000000000005</v>
      </c>
      <c r="H67" s="82">
        <f t="shared" si="4"/>
        <v>0</v>
      </c>
      <c r="J67" s="134"/>
      <c r="K67" s="66"/>
    </row>
    <row r="68" spans="1:11" x14ac:dyDescent="0.2">
      <c r="A68" s="83" t="s">
        <v>105</v>
      </c>
      <c r="B68" s="69">
        <v>536161</v>
      </c>
      <c r="C68" s="70" t="s">
        <v>106</v>
      </c>
      <c r="D68" s="146">
        <v>0.66879999999999995</v>
      </c>
      <c r="E68" s="77">
        <v>0</v>
      </c>
      <c r="F68" s="94">
        <v>0</v>
      </c>
      <c r="G68" s="78">
        <f t="shared" si="5"/>
        <v>0.33120000000000005</v>
      </c>
      <c r="H68" s="82">
        <f t="shared" si="4"/>
        <v>0</v>
      </c>
      <c r="J68" s="134"/>
      <c r="K68" s="66"/>
    </row>
    <row r="69" spans="1:11" x14ac:dyDescent="0.2">
      <c r="A69" s="83" t="s">
        <v>107</v>
      </c>
      <c r="B69" s="69">
        <v>536162</v>
      </c>
      <c r="C69" s="70" t="s">
        <v>108</v>
      </c>
      <c r="D69" s="146">
        <v>0.66879999999999995</v>
      </c>
      <c r="E69" s="77">
        <v>0</v>
      </c>
      <c r="F69" s="94">
        <v>0</v>
      </c>
      <c r="G69" s="78">
        <f t="shared" si="5"/>
        <v>0.33120000000000005</v>
      </c>
      <c r="H69" s="82">
        <f t="shared" si="4"/>
        <v>0</v>
      </c>
      <c r="J69" s="134"/>
      <c r="K69" s="66"/>
    </row>
    <row r="70" spans="1:11" x14ac:dyDescent="0.2">
      <c r="A70" s="83" t="s">
        <v>109</v>
      </c>
      <c r="B70" s="69">
        <v>536163</v>
      </c>
      <c r="C70" s="70" t="s">
        <v>272</v>
      </c>
      <c r="D70" s="146">
        <v>0.66879999999999995</v>
      </c>
      <c r="E70" s="77">
        <v>0</v>
      </c>
      <c r="F70" s="94">
        <v>0</v>
      </c>
      <c r="G70" s="78">
        <f t="shared" si="5"/>
        <v>0.33120000000000005</v>
      </c>
      <c r="H70" s="82">
        <f t="shared" si="4"/>
        <v>0</v>
      </c>
      <c r="J70" s="134"/>
      <c r="K70" s="66"/>
    </row>
    <row r="71" spans="1:11" x14ac:dyDescent="0.2">
      <c r="A71" s="83"/>
      <c r="B71" s="69">
        <v>536164</v>
      </c>
      <c r="C71" s="70" t="s">
        <v>247</v>
      </c>
      <c r="D71" s="146">
        <v>0.66879999999999995</v>
      </c>
      <c r="E71" s="77">
        <v>0</v>
      </c>
      <c r="F71" s="94">
        <v>0</v>
      </c>
      <c r="G71" s="78">
        <f t="shared" si="5"/>
        <v>0.33120000000000005</v>
      </c>
      <c r="H71" s="82">
        <f t="shared" si="4"/>
        <v>0</v>
      </c>
      <c r="J71" s="134"/>
      <c r="K71" s="66"/>
    </row>
    <row r="72" spans="1:11" x14ac:dyDescent="0.2">
      <c r="A72" s="83" t="s">
        <v>110</v>
      </c>
      <c r="B72" s="69">
        <v>536165</v>
      </c>
      <c r="C72" s="70" t="s">
        <v>273</v>
      </c>
      <c r="D72" s="146">
        <v>0.66879999999999995</v>
      </c>
      <c r="E72" s="77">
        <v>0</v>
      </c>
      <c r="F72" s="94">
        <v>0</v>
      </c>
      <c r="G72" s="78">
        <f t="shared" si="5"/>
        <v>0.33120000000000005</v>
      </c>
      <c r="H72" s="82">
        <f t="shared" si="4"/>
        <v>0</v>
      </c>
      <c r="J72" s="134"/>
      <c r="K72" s="66"/>
    </row>
    <row r="73" spans="1:11" x14ac:dyDescent="0.2">
      <c r="A73" s="83" t="s">
        <v>111</v>
      </c>
      <c r="B73" s="69">
        <v>536166</v>
      </c>
      <c r="C73" s="70" t="s">
        <v>112</v>
      </c>
      <c r="D73" s="146">
        <v>0.66879999999999995</v>
      </c>
      <c r="E73" s="77">
        <v>0</v>
      </c>
      <c r="F73" s="94">
        <v>0</v>
      </c>
      <c r="G73" s="78">
        <f t="shared" si="5"/>
        <v>0.33120000000000005</v>
      </c>
      <c r="H73" s="82">
        <f t="shared" si="4"/>
        <v>0</v>
      </c>
      <c r="J73" s="134"/>
      <c r="K73" s="66"/>
    </row>
    <row r="74" spans="1:11" x14ac:dyDescent="0.2">
      <c r="A74" s="83" t="s">
        <v>113</v>
      </c>
      <c r="B74" s="69">
        <v>536167</v>
      </c>
      <c r="C74" s="70" t="s">
        <v>274</v>
      </c>
      <c r="D74" s="146">
        <v>0.66879999999999995</v>
      </c>
      <c r="E74" s="77">
        <v>0</v>
      </c>
      <c r="F74" s="94">
        <v>0</v>
      </c>
      <c r="G74" s="78">
        <f t="shared" si="5"/>
        <v>0.33120000000000005</v>
      </c>
      <c r="H74" s="82">
        <f t="shared" si="4"/>
        <v>0</v>
      </c>
      <c r="J74" s="134"/>
      <c r="K74" s="66"/>
    </row>
    <row r="75" spans="1:11" x14ac:dyDescent="0.2">
      <c r="A75" s="83" t="s">
        <v>114</v>
      </c>
      <c r="B75" s="69">
        <v>536168</v>
      </c>
      <c r="C75" s="70" t="s">
        <v>275</v>
      </c>
      <c r="D75" s="76">
        <v>1</v>
      </c>
      <c r="E75" s="77">
        <v>0</v>
      </c>
      <c r="F75" s="94">
        <v>0</v>
      </c>
      <c r="G75" s="78">
        <v>0</v>
      </c>
      <c r="H75" s="82">
        <f t="shared" si="4"/>
        <v>0</v>
      </c>
      <c r="J75" s="134"/>
      <c r="K75" s="66"/>
    </row>
    <row r="76" spans="1:11" x14ac:dyDescent="0.2">
      <c r="A76" s="83" t="s">
        <v>115</v>
      </c>
      <c r="B76" s="69">
        <v>536169</v>
      </c>
      <c r="C76" s="70" t="s">
        <v>276</v>
      </c>
      <c r="D76" s="146">
        <v>0.66879999999999995</v>
      </c>
      <c r="E76" s="77">
        <v>0</v>
      </c>
      <c r="F76" s="94">
        <v>0</v>
      </c>
      <c r="G76" s="78">
        <f t="shared" ref="G76:G85" si="6">1-D76</f>
        <v>0.33120000000000005</v>
      </c>
      <c r="H76" s="82">
        <f t="shared" si="4"/>
        <v>0</v>
      </c>
      <c r="J76" s="134"/>
      <c r="K76" s="66"/>
    </row>
    <row r="77" spans="1:11" x14ac:dyDescent="0.2">
      <c r="A77" s="83" t="s">
        <v>116</v>
      </c>
      <c r="B77" s="69">
        <v>536170</v>
      </c>
      <c r="C77" s="70" t="s">
        <v>117</v>
      </c>
      <c r="D77" s="146">
        <v>0.66879999999999995</v>
      </c>
      <c r="E77" s="77">
        <v>0</v>
      </c>
      <c r="F77" s="94">
        <v>0</v>
      </c>
      <c r="G77" s="78">
        <f t="shared" si="6"/>
        <v>0.33120000000000005</v>
      </c>
      <c r="H77" s="82">
        <f t="shared" si="4"/>
        <v>0</v>
      </c>
      <c r="J77" s="134"/>
      <c r="K77" s="66"/>
    </row>
    <row r="78" spans="1:11" x14ac:dyDescent="0.2">
      <c r="A78" s="83" t="s">
        <v>118</v>
      </c>
      <c r="B78" s="69">
        <v>536171</v>
      </c>
      <c r="C78" s="70" t="s">
        <v>119</v>
      </c>
      <c r="D78" s="146">
        <v>0.66879999999999995</v>
      </c>
      <c r="E78" s="77">
        <v>0</v>
      </c>
      <c r="F78" s="94">
        <v>0</v>
      </c>
      <c r="G78" s="78">
        <f t="shared" si="6"/>
        <v>0.33120000000000005</v>
      </c>
      <c r="H78" s="82">
        <f t="shared" si="4"/>
        <v>0</v>
      </c>
      <c r="J78" s="134"/>
      <c r="K78" s="66"/>
    </row>
    <row r="79" spans="1:11" x14ac:dyDescent="0.2">
      <c r="A79" s="83" t="s">
        <v>120</v>
      </c>
      <c r="B79" s="69">
        <v>536172</v>
      </c>
      <c r="C79" s="70" t="s">
        <v>121</v>
      </c>
      <c r="D79" s="146">
        <v>0.66879999999999995</v>
      </c>
      <c r="E79" s="77">
        <v>0</v>
      </c>
      <c r="F79" s="94">
        <v>0</v>
      </c>
      <c r="G79" s="78">
        <f t="shared" si="6"/>
        <v>0.33120000000000005</v>
      </c>
      <c r="H79" s="82">
        <f t="shared" si="4"/>
        <v>0</v>
      </c>
      <c r="J79" s="134"/>
      <c r="K79" s="66"/>
    </row>
    <row r="80" spans="1:11" x14ac:dyDescent="0.2">
      <c r="A80" s="83" t="s">
        <v>251</v>
      </c>
      <c r="B80" s="69">
        <v>536173</v>
      </c>
      <c r="C80" s="70" t="s">
        <v>122</v>
      </c>
      <c r="D80" s="146">
        <v>0.66879999999999995</v>
      </c>
      <c r="E80" s="77">
        <v>0</v>
      </c>
      <c r="F80" s="94">
        <v>0</v>
      </c>
      <c r="G80" s="78">
        <f t="shared" si="6"/>
        <v>0.33120000000000005</v>
      </c>
      <c r="H80" s="82">
        <f t="shared" si="4"/>
        <v>0</v>
      </c>
      <c r="J80" s="134"/>
      <c r="K80" s="66"/>
    </row>
    <row r="81" spans="1:11" x14ac:dyDescent="0.2">
      <c r="A81" s="83" t="s">
        <v>252</v>
      </c>
      <c r="B81" s="69">
        <v>536174</v>
      </c>
      <c r="C81" s="70" t="s">
        <v>123</v>
      </c>
      <c r="D81" s="146">
        <v>0.66879999999999995</v>
      </c>
      <c r="E81" s="77">
        <v>0</v>
      </c>
      <c r="F81" s="94">
        <v>0</v>
      </c>
      <c r="G81" s="78">
        <f t="shared" si="6"/>
        <v>0.33120000000000005</v>
      </c>
      <c r="H81" s="82">
        <f t="shared" si="4"/>
        <v>0</v>
      </c>
      <c r="J81" s="134"/>
      <c r="K81" s="66"/>
    </row>
    <row r="82" spans="1:11" x14ac:dyDescent="0.2">
      <c r="A82" s="83" t="s">
        <v>253</v>
      </c>
      <c r="B82" s="69">
        <v>536175</v>
      </c>
      <c r="C82" s="70" t="s">
        <v>124</v>
      </c>
      <c r="D82" s="146">
        <v>0.66879999999999995</v>
      </c>
      <c r="E82" s="77">
        <v>0</v>
      </c>
      <c r="F82" s="94">
        <v>0</v>
      </c>
      <c r="G82" s="78">
        <f t="shared" si="6"/>
        <v>0.33120000000000005</v>
      </c>
      <c r="H82" s="82">
        <f t="shared" si="4"/>
        <v>0</v>
      </c>
      <c r="J82" s="134"/>
      <c r="K82" s="66"/>
    </row>
    <row r="83" spans="1:11" x14ac:dyDescent="0.2">
      <c r="A83" s="83" t="s">
        <v>254</v>
      </c>
      <c r="B83" s="69">
        <v>536176001</v>
      </c>
      <c r="C83" s="70" t="s">
        <v>125</v>
      </c>
      <c r="D83" s="146">
        <v>0.66879999999999995</v>
      </c>
      <c r="E83" s="77">
        <v>0</v>
      </c>
      <c r="F83" s="94">
        <v>0</v>
      </c>
      <c r="G83" s="78">
        <f t="shared" si="6"/>
        <v>0.33120000000000005</v>
      </c>
      <c r="H83" s="82">
        <f t="shared" si="4"/>
        <v>0</v>
      </c>
      <c r="J83" s="134"/>
      <c r="K83" s="66"/>
    </row>
    <row r="84" spans="1:11" x14ac:dyDescent="0.2">
      <c r="A84" s="83" t="s">
        <v>255</v>
      </c>
      <c r="B84" s="69">
        <v>536176002</v>
      </c>
      <c r="C84" s="70" t="s">
        <v>126</v>
      </c>
      <c r="D84" s="146">
        <v>0.66879999999999995</v>
      </c>
      <c r="E84" s="77">
        <v>0</v>
      </c>
      <c r="F84" s="94">
        <v>0</v>
      </c>
      <c r="G84" s="78">
        <f t="shared" si="6"/>
        <v>0.33120000000000005</v>
      </c>
      <c r="H84" s="82">
        <f t="shared" si="4"/>
        <v>0</v>
      </c>
      <c r="J84" s="134"/>
      <c r="K84" s="66"/>
    </row>
    <row r="85" spans="1:11" x14ac:dyDescent="0.2">
      <c r="A85" s="83" t="s">
        <v>127</v>
      </c>
      <c r="B85" s="69">
        <v>536177</v>
      </c>
      <c r="C85" s="70" t="s">
        <v>277</v>
      </c>
      <c r="D85" s="146">
        <v>0.66879999999999995</v>
      </c>
      <c r="E85" s="77">
        <v>0</v>
      </c>
      <c r="F85" s="94">
        <v>0</v>
      </c>
      <c r="G85" s="78">
        <f t="shared" si="6"/>
        <v>0.33120000000000005</v>
      </c>
      <c r="H85" s="82">
        <f t="shared" si="4"/>
        <v>0</v>
      </c>
      <c r="J85" s="134"/>
      <c r="K85" s="66"/>
    </row>
    <row r="86" spans="1:11" x14ac:dyDescent="0.2">
      <c r="A86" s="83" t="s">
        <v>128</v>
      </c>
      <c r="B86" s="69">
        <v>536178</v>
      </c>
      <c r="C86" s="70" t="s">
        <v>278</v>
      </c>
      <c r="D86" s="76">
        <v>0.9</v>
      </c>
      <c r="E86" s="77">
        <v>0</v>
      </c>
      <c r="F86" s="94">
        <v>0</v>
      </c>
      <c r="G86" s="78">
        <v>0.1</v>
      </c>
      <c r="H86" s="82">
        <f t="shared" si="4"/>
        <v>0</v>
      </c>
      <c r="J86" s="134"/>
      <c r="K86" s="66"/>
    </row>
    <row r="87" spans="1:11" x14ac:dyDescent="0.2">
      <c r="A87" s="83" t="s">
        <v>129</v>
      </c>
      <c r="B87" s="69">
        <v>536179</v>
      </c>
      <c r="C87" s="70" t="s">
        <v>130</v>
      </c>
      <c r="D87" s="146">
        <v>0.66879999999999995</v>
      </c>
      <c r="E87" s="77">
        <v>0</v>
      </c>
      <c r="F87" s="94">
        <v>0</v>
      </c>
      <c r="G87" s="78">
        <f>1-D87</f>
        <v>0.33120000000000005</v>
      </c>
      <c r="H87" s="82">
        <f t="shared" si="4"/>
        <v>0</v>
      </c>
      <c r="J87" s="134"/>
      <c r="K87" s="66"/>
    </row>
    <row r="88" spans="1:11" x14ac:dyDescent="0.2">
      <c r="A88" s="83" t="s">
        <v>132</v>
      </c>
      <c r="B88" s="69">
        <v>536181</v>
      </c>
      <c r="C88" s="70" t="s">
        <v>133</v>
      </c>
      <c r="D88" s="76">
        <v>1</v>
      </c>
      <c r="E88" s="77">
        <v>0</v>
      </c>
      <c r="F88" s="94">
        <v>0</v>
      </c>
      <c r="G88" s="78">
        <v>0</v>
      </c>
      <c r="H88" s="82">
        <f t="shared" ref="H88:H98" si="7">1-D88-E88-G88</f>
        <v>0</v>
      </c>
      <c r="J88" s="134"/>
      <c r="K88" s="66"/>
    </row>
    <row r="89" spans="1:11" x14ac:dyDescent="0.2">
      <c r="A89" s="83" t="s">
        <v>134</v>
      </c>
      <c r="B89" s="69">
        <v>536182</v>
      </c>
      <c r="C89" s="70" t="s">
        <v>135</v>
      </c>
      <c r="D89" s="76">
        <v>1</v>
      </c>
      <c r="E89" s="77">
        <v>0</v>
      </c>
      <c r="F89" s="94">
        <v>0</v>
      </c>
      <c r="G89" s="78">
        <v>0</v>
      </c>
      <c r="H89" s="82">
        <f t="shared" si="7"/>
        <v>0</v>
      </c>
      <c r="J89" s="134"/>
      <c r="K89" s="66"/>
    </row>
    <row r="90" spans="1:11" x14ac:dyDescent="0.2">
      <c r="A90" s="83" t="s">
        <v>136</v>
      </c>
      <c r="B90" s="69">
        <v>536183</v>
      </c>
      <c r="C90" s="70" t="s">
        <v>137</v>
      </c>
      <c r="D90" s="76">
        <v>1</v>
      </c>
      <c r="E90" s="77">
        <v>0</v>
      </c>
      <c r="F90" s="94">
        <v>0</v>
      </c>
      <c r="G90" s="78">
        <v>0</v>
      </c>
      <c r="H90" s="82">
        <f t="shared" si="7"/>
        <v>0</v>
      </c>
      <c r="J90" s="134"/>
      <c r="K90" s="66"/>
    </row>
    <row r="91" spans="1:11" x14ac:dyDescent="0.2">
      <c r="A91" s="83" t="s">
        <v>138</v>
      </c>
      <c r="B91" s="69">
        <v>536184</v>
      </c>
      <c r="C91" s="70" t="s">
        <v>279</v>
      </c>
      <c r="D91" s="146">
        <v>0.66879999999999995</v>
      </c>
      <c r="E91" s="77">
        <v>0</v>
      </c>
      <c r="F91" s="94">
        <v>0</v>
      </c>
      <c r="G91" s="78">
        <f>1-D91</f>
        <v>0.33120000000000005</v>
      </c>
      <c r="H91" s="82">
        <f t="shared" si="7"/>
        <v>0</v>
      </c>
      <c r="J91" s="134"/>
      <c r="K91" s="66"/>
    </row>
    <row r="92" spans="1:11" x14ac:dyDescent="0.2">
      <c r="A92" s="83" t="s">
        <v>139</v>
      </c>
      <c r="B92" s="69">
        <v>536185</v>
      </c>
      <c r="C92" s="70" t="s">
        <v>280</v>
      </c>
      <c r="D92" s="146">
        <v>0.66879999999999995</v>
      </c>
      <c r="E92" s="77">
        <v>0</v>
      </c>
      <c r="F92" s="94">
        <v>0</v>
      </c>
      <c r="G92" s="78">
        <f>1-D92</f>
        <v>0.33120000000000005</v>
      </c>
      <c r="H92" s="82">
        <f t="shared" si="7"/>
        <v>0</v>
      </c>
      <c r="J92" s="134"/>
      <c r="K92" s="66"/>
    </row>
    <row r="93" spans="1:11" x14ac:dyDescent="0.2">
      <c r="A93" s="83" t="s">
        <v>140</v>
      </c>
      <c r="B93" s="69">
        <v>536186</v>
      </c>
      <c r="C93" s="70" t="s">
        <v>281</v>
      </c>
      <c r="D93" s="76">
        <v>1</v>
      </c>
      <c r="E93" s="77">
        <v>0</v>
      </c>
      <c r="F93" s="94">
        <v>0</v>
      </c>
      <c r="G93" s="78">
        <v>0</v>
      </c>
      <c r="H93" s="82">
        <f t="shared" si="7"/>
        <v>0</v>
      </c>
      <c r="J93" s="134"/>
      <c r="K93" s="66"/>
    </row>
    <row r="94" spans="1:11" x14ac:dyDescent="0.2">
      <c r="A94" s="83" t="s">
        <v>141</v>
      </c>
      <c r="B94" s="69">
        <v>536187</v>
      </c>
      <c r="C94" s="70" t="s">
        <v>142</v>
      </c>
      <c r="D94" s="146">
        <v>0.66879999999999995</v>
      </c>
      <c r="E94" s="77">
        <v>0</v>
      </c>
      <c r="F94" s="94">
        <v>0</v>
      </c>
      <c r="G94" s="78">
        <f>1-D94</f>
        <v>0.33120000000000005</v>
      </c>
      <c r="H94" s="82">
        <f t="shared" si="7"/>
        <v>0</v>
      </c>
      <c r="J94" s="134"/>
      <c r="K94" s="66"/>
    </row>
    <row r="95" spans="1:11" x14ac:dyDescent="0.2">
      <c r="A95" s="84"/>
      <c r="B95" s="69">
        <v>536188</v>
      </c>
      <c r="C95" s="70" t="s">
        <v>282</v>
      </c>
      <c r="D95" s="146">
        <v>0.66879999999999995</v>
      </c>
      <c r="E95" s="77">
        <v>0</v>
      </c>
      <c r="F95" s="94">
        <v>0</v>
      </c>
      <c r="G95" s="78">
        <f>1-D95</f>
        <v>0.33120000000000005</v>
      </c>
      <c r="H95" s="82">
        <f t="shared" si="7"/>
        <v>0</v>
      </c>
      <c r="J95" s="134"/>
      <c r="K95" s="66"/>
    </row>
    <row r="96" spans="1:11" x14ac:dyDescent="0.2">
      <c r="A96" s="84" t="s">
        <v>143</v>
      </c>
      <c r="B96" s="73">
        <v>536189</v>
      </c>
      <c r="C96" s="74" t="s">
        <v>283</v>
      </c>
      <c r="D96" s="146">
        <v>0.66879999999999995</v>
      </c>
      <c r="E96" s="77">
        <v>0</v>
      </c>
      <c r="F96" s="94">
        <v>0</v>
      </c>
      <c r="G96" s="78">
        <f>1-D96</f>
        <v>0.33120000000000005</v>
      </c>
      <c r="H96" s="82">
        <f t="shared" si="7"/>
        <v>0</v>
      </c>
      <c r="J96" s="134"/>
      <c r="K96" s="66"/>
    </row>
    <row r="97" spans="1:11" x14ac:dyDescent="0.2">
      <c r="A97" s="84"/>
      <c r="B97" s="73">
        <v>536190</v>
      </c>
      <c r="C97" s="74" t="s">
        <v>287</v>
      </c>
      <c r="D97" s="76">
        <v>0</v>
      </c>
      <c r="E97" s="77">
        <v>0</v>
      </c>
      <c r="F97" s="94">
        <v>0</v>
      </c>
      <c r="G97" s="78">
        <v>1</v>
      </c>
      <c r="H97" s="82"/>
      <c r="J97" s="134"/>
      <c r="K97" s="66"/>
    </row>
    <row r="98" spans="1:11" x14ac:dyDescent="0.2">
      <c r="A98" s="84"/>
      <c r="B98" s="69">
        <v>536195</v>
      </c>
      <c r="C98" s="75" t="s">
        <v>349</v>
      </c>
      <c r="D98" s="76">
        <v>1</v>
      </c>
      <c r="E98" s="77">
        <v>0</v>
      </c>
      <c r="F98" s="94">
        <v>0</v>
      </c>
      <c r="G98" s="78">
        <v>0</v>
      </c>
      <c r="H98" s="82">
        <f t="shared" si="7"/>
        <v>0</v>
      </c>
      <c r="J98" s="134"/>
      <c r="K98" s="66"/>
    </row>
    <row r="99" spans="1:11" x14ac:dyDescent="0.2">
      <c r="A99" s="84" t="s">
        <v>31</v>
      </c>
      <c r="B99" s="188" t="s">
        <v>464</v>
      </c>
      <c r="C99" s="189" t="s">
        <v>465</v>
      </c>
      <c r="D99" s="146">
        <v>0.66879999999999995</v>
      </c>
      <c r="E99" s="77">
        <v>0</v>
      </c>
      <c r="F99" s="94">
        <v>0</v>
      </c>
      <c r="G99" s="78">
        <f t="shared" ref="G99:G110" si="8">1-D99</f>
        <v>0.33120000000000005</v>
      </c>
      <c r="H99" s="187"/>
      <c r="J99" s="134"/>
      <c r="K99" s="66"/>
    </row>
    <row r="100" spans="1:11" x14ac:dyDescent="0.2">
      <c r="A100" s="84" t="s">
        <v>31</v>
      </c>
      <c r="B100" s="188" t="s">
        <v>466</v>
      </c>
      <c r="C100" s="189" t="s">
        <v>480</v>
      </c>
      <c r="D100" s="146">
        <v>0.66879999999999995</v>
      </c>
      <c r="E100" s="77">
        <v>0</v>
      </c>
      <c r="F100" s="94">
        <v>0</v>
      </c>
      <c r="G100" s="78">
        <f t="shared" si="8"/>
        <v>0.33120000000000005</v>
      </c>
      <c r="H100" s="187"/>
      <c r="J100" s="134"/>
      <c r="K100" s="66"/>
    </row>
    <row r="101" spans="1:11" x14ac:dyDescent="0.2">
      <c r="A101" s="84" t="s">
        <v>31</v>
      </c>
      <c r="B101" s="188" t="s">
        <v>467</v>
      </c>
      <c r="C101" s="189" t="s">
        <v>481</v>
      </c>
      <c r="D101" s="146">
        <v>0.66879999999999995</v>
      </c>
      <c r="E101" s="77">
        <v>0</v>
      </c>
      <c r="F101" s="94">
        <v>0</v>
      </c>
      <c r="G101" s="78">
        <f t="shared" si="8"/>
        <v>0.33120000000000005</v>
      </c>
      <c r="H101" s="187"/>
      <c r="J101" s="134"/>
      <c r="K101" s="66"/>
    </row>
    <row r="102" spans="1:11" x14ac:dyDescent="0.2">
      <c r="A102" s="84" t="s">
        <v>31</v>
      </c>
      <c r="B102" s="188" t="s">
        <v>468</v>
      </c>
      <c r="C102" s="189" t="s">
        <v>482</v>
      </c>
      <c r="D102" s="146">
        <v>0.66879999999999995</v>
      </c>
      <c r="E102" s="77">
        <v>0</v>
      </c>
      <c r="F102" s="94">
        <v>0</v>
      </c>
      <c r="G102" s="78">
        <f t="shared" si="8"/>
        <v>0.33120000000000005</v>
      </c>
      <c r="H102" s="187"/>
      <c r="J102" s="134"/>
      <c r="K102" s="66"/>
    </row>
    <row r="103" spans="1:11" x14ac:dyDescent="0.2">
      <c r="A103" s="84" t="s">
        <v>31</v>
      </c>
      <c r="B103" s="188" t="s">
        <v>469</v>
      </c>
      <c r="C103" s="189" t="s">
        <v>483</v>
      </c>
      <c r="D103" s="146">
        <v>0.66879999999999995</v>
      </c>
      <c r="E103" s="77">
        <v>0</v>
      </c>
      <c r="F103" s="94">
        <v>0</v>
      </c>
      <c r="G103" s="78">
        <f t="shared" si="8"/>
        <v>0.33120000000000005</v>
      </c>
      <c r="H103" s="187"/>
      <c r="J103" s="134"/>
      <c r="K103" s="66"/>
    </row>
    <row r="104" spans="1:11" x14ac:dyDescent="0.2">
      <c r="A104" s="84" t="s">
        <v>31</v>
      </c>
      <c r="B104" s="188" t="s">
        <v>470</v>
      </c>
      <c r="C104" s="189" t="s">
        <v>484</v>
      </c>
      <c r="D104" s="146">
        <v>0.66879999999999995</v>
      </c>
      <c r="E104" s="77">
        <v>0</v>
      </c>
      <c r="F104" s="94">
        <v>0</v>
      </c>
      <c r="G104" s="78">
        <f t="shared" si="8"/>
        <v>0.33120000000000005</v>
      </c>
      <c r="H104" s="187"/>
      <c r="J104" s="134"/>
      <c r="K104" s="66"/>
    </row>
    <row r="105" spans="1:11" x14ac:dyDescent="0.2">
      <c r="A105" s="84" t="s">
        <v>48</v>
      </c>
      <c r="B105" s="188" t="s">
        <v>471</v>
      </c>
      <c r="C105" s="189" t="s">
        <v>485</v>
      </c>
      <c r="D105" s="146">
        <v>0.66879999999999995</v>
      </c>
      <c r="E105" s="77">
        <v>0</v>
      </c>
      <c r="F105" s="94">
        <v>0</v>
      </c>
      <c r="G105" s="78">
        <f t="shared" si="8"/>
        <v>0.33120000000000005</v>
      </c>
      <c r="H105" s="187"/>
      <c r="J105" s="134"/>
      <c r="K105" s="66"/>
    </row>
    <row r="106" spans="1:11" x14ac:dyDescent="0.2">
      <c r="A106" s="84" t="s">
        <v>48</v>
      </c>
      <c r="B106" s="188" t="s">
        <v>472</v>
      </c>
      <c r="C106" s="189" t="s">
        <v>486</v>
      </c>
      <c r="D106" s="146">
        <v>0.66879999999999995</v>
      </c>
      <c r="E106" s="77">
        <v>0</v>
      </c>
      <c r="F106" s="94">
        <v>0</v>
      </c>
      <c r="G106" s="78">
        <f t="shared" si="8"/>
        <v>0.33120000000000005</v>
      </c>
      <c r="H106" s="187"/>
      <c r="J106" s="134"/>
      <c r="K106" s="66"/>
    </row>
    <row r="107" spans="1:11" x14ac:dyDescent="0.2">
      <c r="A107" s="84" t="s">
        <v>52</v>
      </c>
      <c r="B107" s="188" t="s">
        <v>473</v>
      </c>
      <c r="C107" s="189" t="s">
        <v>487</v>
      </c>
      <c r="D107" s="146">
        <v>0.66879999999999995</v>
      </c>
      <c r="E107" s="77">
        <v>0</v>
      </c>
      <c r="F107" s="94">
        <v>0</v>
      </c>
      <c r="G107" s="78">
        <f t="shared" si="8"/>
        <v>0.33120000000000005</v>
      </c>
      <c r="H107" s="187"/>
      <c r="J107" s="134"/>
      <c r="K107" s="66"/>
    </row>
    <row r="108" spans="1:11" x14ac:dyDescent="0.2">
      <c r="A108" s="84" t="s">
        <v>52</v>
      </c>
      <c r="B108" s="188" t="s">
        <v>474</v>
      </c>
      <c r="C108" s="189" t="s">
        <v>488</v>
      </c>
      <c r="D108" s="146">
        <v>0.66879999999999995</v>
      </c>
      <c r="E108" s="77">
        <v>0</v>
      </c>
      <c r="F108" s="94">
        <v>0</v>
      </c>
      <c r="G108" s="78">
        <f t="shared" si="8"/>
        <v>0.33120000000000005</v>
      </c>
      <c r="H108" s="187"/>
      <c r="J108" s="134"/>
      <c r="K108" s="66"/>
    </row>
    <row r="109" spans="1:11" x14ac:dyDescent="0.2">
      <c r="A109" s="84" t="s">
        <v>127</v>
      </c>
      <c r="B109" s="188" t="s">
        <v>475</v>
      </c>
      <c r="C109" s="189" t="s">
        <v>489</v>
      </c>
      <c r="D109" s="146">
        <v>0.66879999999999995</v>
      </c>
      <c r="E109" s="77">
        <v>0</v>
      </c>
      <c r="F109" s="94">
        <v>0</v>
      </c>
      <c r="G109" s="78">
        <f t="shared" si="8"/>
        <v>0.33120000000000005</v>
      </c>
      <c r="H109" s="187"/>
      <c r="J109" s="134"/>
      <c r="K109" s="66"/>
    </row>
    <row r="110" spans="1:11" x14ac:dyDescent="0.2">
      <c r="A110" s="84" t="s">
        <v>127</v>
      </c>
      <c r="B110" s="188" t="s">
        <v>476</v>
      </c>
      <c r="C110" s="189" t="s">
        <v>490</v>
      </c>
      <c r="D110" s="146">
        <v>0.66879999999999995</v>
      </c>
      <c r="E110" s="77">
        <v>0</v>
      </c>
      <c r="F110" s="94">
        <v>0</v>
      </c>
      <c r="G110" s="78">
        <f t="shared" si="8"/>
        <v>0.33120000000000005</v>
      </c>
      <c r="H110" s="187"/>
      <c r="J110" s="134"/>
      <c r="K110" s="66"/>
    </row>
    <row r="111" spans="1:11" x14ac:dyDescent="0.2">
      <c r="A111" s="182"/>
      <c r="B111" s="183"/>
      <c r="C111" s="184"/>
      <c r="D111" s="185"/>
      <c r="E111" s="185"/>
      <c r="F111" s="186"/>
      <c r="G111" s="185"/>
      <c r="H111" s="187"/>
      <c r="J111" s="134"/>
      <c r="K111" s="66"/>
    </row>
    <row r="112" spans="1:11" x14ac:dyDescent="0.2">
      <c r="A112" s="23"/>
      <c r="B112" s="23"/>
      <c r="D112" s="22"/>
      <c r="E112" s="22"/>
      <c r="F112" s="95"/>
      <c r="G112" s="33"/>
      <c r="H112" s="22"/>
      <c r="K112" s="66"/>
    </row>
    <row r="113" spans="1:11" x14ac:dyDescent="0.2">
      <c r="A113" s="13" t="s">
        <v>497</v>
      </c>
      <c r="D113" s="34"/>
      <c r="E113" s="35"/>
      <c r="F113" s="95"/>
      <c r="G113" s="34"/>
      <c r="H113" s="22"/>
      <c r="K113" s="66"/>
    </row>
    <row r="114" spans="1:11" x14ac:dyDescent="0.2">
      <c r="D114" s="34"/>
      <c r="E114" s="35"/>
      <c r="F114" s="95"/>
      <c r="G114" s="34"/>
      <c r="H114" s="22"/>
      <c r="K114" s="66"/>
    </row>
  </sheetData>
  <mergeCells count="2">
    <mergeCell ref="A2:G2"/>
    <mergeCell ref="A4:G4"/>
  </mergeCells>
  <phoneticPr fontId="0" type="noConversion"/>
  <printOptions horizontalCentered="1"/>
  <pageMargins left="0.25" right="0.25" top="1" bottom="0.75" header="0.5" footer="0.5"/>
  <pageSetup scale="75" orientation="portrait" r:id="rId1"/>
  <headerFooter alignWithMargins="0">
    <oddHeader>&amp;L&amp;"Arial,Regular"DEPARTMENT OF HEALTH AND HUMAN SERVICES
DIVISION OF MEDICAL ASSISTANCE
BUDGET MANAGEMENT</oddHeader>
    <oddFooter>&amp;L&amp;"Arial,Regular"&amp;F 
&amp;A&amp;C&amp;"Arial,Regular"Page &amp;P of &amp;N&amp;R&amp;"Arial,Regular"&amp;D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10"/>
  <sheetViews>
    <sheetView tabSelected="1" workbookViewId="0">
      <pane ySplit="4" topLeftCell="A5" activePane="bottomLeft" state="frozen"/>
      <selection pane="bottomLeft" activeCell="A108" sqref="A108"/>
    </sheetView>
  </sheetViews>
  <sheetFormatPr defaultColWidth="8" defaultRowHeight="12.75" x14ac:dyDescent="0.2"/>
  <cols>
    <col min="1" max="1" width="19.875" style="116" customWidth="1"/>
    <col min="2" max="2" width="17.375" style="116" customWidth="1"/>
    <col min="3" max="3" width="18.875" style="117" customWidth="1"/>
    <col min="4" max="4" width="14.75" style="116" customWidth="1"/>
    <col min="5" max="5" width="15" style="116" customWidth="1"/>
    <col min="6" max="6" width="11.625" style="116" customWidth="1"/>
    <col min="7" max="16384" width="8" style="116"/>
  </cols>
  <sheetData>
    <row r="1" spans="1:71" s="6" customFormat="1" ht="14.1" customHeight="1" x14ac:dyDescent="0.2">
      <c r="A1" s="204" t="s">
        <v>286</v>
      </c>
      <c r="B1" s="205"/>
      <c r="C1" s="205"/>
      <c r="D1" s="205"/>
      <c r="E1" s="205"/>
      <c r="F1" s="205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</row>
    <row r="2" spans="1:71" s="6" customFormat="1" ht="14.1" customHeight="1" x14ac:dyDescent="0.2">
      <c r="A2" s="204" t="s">
        <v>506</v>
      </c>
      <c r="B2" s="211"/>
      <c r="C2" s="211"/>
      <c r="D2" s="211"/>
      <c r="E2" s="211"/>
      <c r="F2" s="211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</row>
    <row r="3" spans="1:71" s="6" customFormat="1" ht="14.1" customHeight="1" thickBot="1" x14ac:dyDescent="0.25">
      <c r="A3" s="110"/>
      <c r="B3" s="111"/>
      <c r="C3" s="111"/>
      <c r="D3" s="112"/>
      <c r="E3" s="112"/>
      <c r="F3" s="112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</row>
    <row r="4" spans="1:71" ht="66.599999999999994" customHeight="1" thickBot="1" x14ac:dyDescent="0.25">
      <c r="A4" s="113" t="s">
        <v>356</v>
      </c>
      <c r="B4" s="114" t="s">
        <v>509</v>
      </c>
      <c r="C4" s="115" t="s">
        <v>507</v>
      </c>
      <c r="D4" s="114" t="s">
        <v>352</v>
      </c>
      <c r="E4" s="114" t="s">
        <v>357</v>
      </c>
      <c r="F4" s="114" t="s">
        <v>353</v>
      </c>
    </row>
    <row r="5" spans="1:71" x14ac:dyDescent="0.2">
      <c r="A5" s="118" t="s">
        <v>358</v>
      </c>
      <c r="B5" s="132">
        <v>1.5804288180468019E-2</v>
      </c>
      <c r="C5" s="119">
        <f>+B5*C$106</f>
        <v>197257592.44245219</v>
      </c>
      <c r="D5" s="124">
        <f>C5*'SFY 2018 PROJECTED'!$E$119</f>
        <v>128693745.68488736</v>
      </c>
      <c r="E5" s="120">
        <f>+C5-D5</f>
        <v>68563846.757564828</v>
      </c>
      <c r="F5" s="121">
        <v>0</v>
      </c>
    </row>
    <row r="6" spans="1:71" x14ac:dyDescent="0.2">
      <c r="A6" s="122" t="s">
        <v>359</v>
      </c>
      <c r="B6" s="133">
        <v>3.5453718629548424E-3</v>
      </c>
      <c r="C6" s="123">
        <f t="shared" ref="C6:C69" si="0">+B6*C$106</f>
        <v>44250744.482373364</v>
      </c>
      <c r="D6" s="124">
        <f>C6*'SFY 2018 PROJECTED'!$E$119</f>
        <v>28869834.546129759</v>
      </c>
      <c r="E6" s="125">
        <f>+C6-D6</f>
        <v>15380909.936243605</v>
      </c>
      <c r="F6" s="126">
        <v>0</v>
      </c>
    </row>
    <row r="7" spans="1:71" x14ac:dyDescent="0.2">
      <c r="A7" s="122" t="s">
        <v>360</v>
      </c>
      <c r="B7" s="133">
        <v>1.4686654508880253E-3</v>
      </c>
      <c r="C7" s="123">
        <f t="shared" si="0"/>
        <v>18330810.450774837</v>
      </c>
      <c r="D7" s="124">
        <f>C7*'SFY 2018 PROJECTED'!$E$119</f>
        <v>11959289.521583933</v>
      </c>
      <c r="E7" s="125">
        <f t="shared" ref="E7:E70" si="1">+C7-D7</f>
        <v>6371520.9291909039</v>
      </c>
      <c r="F7" s="126">
        <v>0</v>
      </c>
    </row>
    <row r="8" spans="1:71" x14ac:dyDescent="0.2">
      <c r="A8" s="122" t="s">
        <v>361</v>
      </c>
      <c r="B8" s="133">
        <v>4.0592252881899733E-3</v>
      </c>
      <c r="C8" s="123">
        <f t="shared" si="0"/>
        <v>50664287.969606072</v>
      </c>
      <c r="D8" s="124">
        <f>C8*'SFY 2018 PROJECTED'!$E$119</f>
        <v>33054124.358577352</v>
      </c>
      <c r="E8" s="125">
        <f t="shared" si="1"/>
        <v>17610163.61102872</v>
      </c>
      <c r="F8" s="126">
        <v>0</v>
      </c>
    </row>
    <row r="9" spans="1:71" x14ac:dyDescent="0.2">
      <c r="A9" s="122" t="s">
        <v>362</v>
      </c>
      <c r="B9" s="133">
        <v>3.4220695092783164E-3</v>
      </c>
      <c r="C9" s="123">
        <f t="shared" si="0"/>
        <v>42711774.479359984</v>
      </c>
      <c r="D9" s="124">
        <f>C9*'SFY 2018 PROJECTED'!$E$119</f>
        <v>27865787.950345341</v>
      </c>
      <c r="E9" s="125">
        <f t="shared" si="1"/>
        <v>14845986.529014643</v>
      </c>
      <c r="F9" s="126">
        <v>0</v>
      </c>
    </row>
    <row r="10" spans="1:71" x14ac:dyDescent="0.2">
      <c r="A10" s="122" t="s">
        <v>363</v>
      </c>
      <c r="B10" s="133">
        <v>1.7625175016007094E-3</v>
      </c>
      <c r="C10" s="123">
        <f t="shared" si="0"/>
        <v>21998457.319521375</v>
      </c>
      <c r="D10" s="124">
        <f>C10*'SFY 2018 PROJECTED'!$E$119</f>
        <v>14352116.117225073</v>
      </c>
      <c r="E10" s="125">
        <f t="shared" si="1"/>
        <v>7646341.2022963017</v>
      </c>
      <c r="F10" s="126">
        <v>0</v>
      </c>
    </row>
    <row r="11" spans="1:71" x14ac:dyDescent="0.2">
      <c r="A11" s="122" t="s">
        <v>364</v>
      </c>
      <c r="B11" s="133">
        <v>6.4548054212969826E-3</v>
      </c>
      <c r="C11" s="123">
        <f t="shared" si="0"/>
        <v>80564171.100290939</v>
      </c>
      <c r="D11" s="124">
        <f>C11*'SFY 2018 PROJECTED'!$E$119</f>
        <v>52561246.533105589</v>
      </c>
      <c r="E11" s="125">
        <f t="shared" si="1"/>
        <v>28002924.56718535</v>
      </c>
      <c r="F11" s="126">
        <v>0</v>
      </c>
    </row>
    <row r="12" spans="1:71" x14ac:dyDescent="0.2">
      <c r="A12" s="122" t="s">
        <v>365</v>
      </c>
      <c r="B12" s="133">
        <v>3.54393529826012E-3</v>
      </c>
      <c r="C12" s="123">
        <f t="shared" si="0"/>
        <v>44232814.330136649</v>
      </c>
      <c r="D12" s="124">
        <f>C12*'SFY 2018 PROJECTED'!$E$119</f>
        <v>28858136.651901852</v>
      </c>
      <c r="E12" s="125">
        <f t="shared" si="1"/>
        <v>15374677.678234797</v>
      </c>
      <c r="F12" s="126">
        <v>0</v>
      </c>
    </row>
    <row r="13" spans="1:71" x14ac:dyDescent="0.2">
      <c r="A13" s="122" t="s">
        <v>366</v>
      </c>
      <c r="B13" s="133">
        <v>5.7187487612715502E-3</v>
      </c>
      <c r="C13" s="123">
        <f t="shared" si="0"/>
        <v>71377248.981439158</v>
      </c>
      <c r="D13" s="124">
        <f>C13*'SFY 2018 PROJECTED'!$E$119</f>
        <v>46567563.835516639</v>
      </c>
      <c r="E13" s="125">
        <f t="shared" si="1"/>
        <v>24809685.145922519</v>
      </c>
      <c r="F13" s="126">
        <v>0</v>
      </c>
    </row>
    <row r="14" spans="1:71" x14ac:dyDescent="0.2">
      <c r="A14" s="122" t="s">
        <v>367</v>
      </c>
      <c r="B14" s="133">
        <v>1.073294271512833E-2</v>
      </c>
      <c r="C14" s="123">
        <f t="shared" si="0"/>
        <v>133960758.98093845</v>
      </c>
      <c r="D14" s="124">
        <f>C14*'SFY 2018 PROJECTED'!$E$119</f>
        <v>87397963.4171848</v>
      </c>
      <c r="E14" s="125">
        <f t="shared" si="1"/>
        <v>46562795.56375365</v>
      </c>
      <c r="F14" s="126">
        <v>0</v>
      </c>
    </row>
    <row r="15" spans="1:71" x14ac:dyDescent="0.2">
      <c r="A15" s="122" t="s">
        <v>368</v>
      </c>
      <c r="B15" s="133">
        <v>2.5148499465309379E-2</v>
      </c>
      <c r="C15" s="123">
        <f t="shared" si="0"/>
        <v>313885219.08870435</v>
      </c>
      <c r="D15" s="124">
        <f>C15*'SFY 2018 PROJECTED'!$E$119</f>
        <v>204783319.41231465</v>
      </c>
      <c r="E15" s="125">
        <f t="shared" si="1"/>
        <v>109101899.67638969</v>
      </c>
      <c r="F15" s="126">
        <v>0</v>
      </c>
    </row>
    <row r="16" spans="1:71" x14ac:dyDescent="0.2">
      <c r="A16" s="122" t="s">
        <v>369</v>
      </c>
      <c r="B16" s="133">
        <v>1.0958545228040002E-2</v>
      </c>
      <c r="C16" s="123">
        <f t="shared" si="0"/>
        <v>136776564.92156422</v>
      </c>
      <c r="D16" s="124">
        <f>C16*'SFY 2018 PROJECTED'!$E$119</f>
        <v>89235036.500831038</v>
      </c>
      <c r="E16" s="125">
        <f t="shared" si="1"/>
        <v>47541528.420733184</v>
      </c>
      <c r="F16" s="126">
        <v>0</v>
      </c>
    </row>
    <row r="17" spans="1:6" x14ac:dyDescent="0.2">
      <c r="A17" s="122" t="s">
        <v>370</v>
      </c>
      <c r="B17" s="133">
        <v>1.5612224263385654E-2</v>
      </c>
      <c r="C17" s="123">
        <f t="shared" si="0"/>
        <v>194860390.78135139</v>
      </c>
      <c r="D17" s="124">
        <f>C17*'SFY 2018 PROJECTED'!$E$119</f>
        <v>127129776.17117094</v>
      </c>
      <c r="E17" s="125">
        <f t="shared" si="1"/>
        <v>67730614.610180452</v>
      </c>
      <c r="F17" s="126">
        <v>0</v>
      </c>
    </row>
    <row r="18" spans="1:6" x14ac:dyDescent="0.2">
      <c r="A18" s="122" t="s">
        <v>371</v>
      </c>
      <c r="B18" s="133">
        <v>1.006285128203281E-2</v>
      </c>
      <c r="C18" s="123">
        <f t="shared" si="0"/>
        <v>125597166.68881026</v>
      </c>
      <c r="D18" s="124">
        <f>C18*'SFY 2018 PROJECTED'!$E$119</f>
        <v>81941433.170982778</v>
      </c>
      <c r="E18" s="125">
        <f t="shared" si="1"/>
        <v>43655733.517827481</v>
      </c>
      <c r="F18" s="126">
        <v>0</v>
      </c>
    </row>
    <row r="19" spans="1:6" x14ac:dyDescent="0.2">
      <c r="A19" s="122" t="s">
        <v>372</v>
      </c>
      <c r="B19" s="133">
        <v>5.5660887521075022E-4</v>
      </c>
      <c r="C19" s="123">
        <f t="shared" si="0"/>
        <v>6947185.8145352099</v>
      </c>
      <c r="D19" s="124">
        <f>C19*'SFY 2018 PROJECTED'!$E$119</f>
        <v>4532445.8915429767</v>
      </c>
      <c r="E19" s="125">
        <f t="shared" si="1"/>
        <v>2414739.9229922332</v>
      </c>
      <c r="F19" s="126">
        <v>0</v>
      </c>
    </row>
    <row r="20" spans="1:6" x14ac:dyDescent="0.2">
      <c r="A20" s="122" t="s">
        <v>373</v>
      </c>
      <c r="B20" s="133">
        <v>6.6703841477272667E-3</v>
      </c>
      <c r="C20" s="123">
        <f t="shared" si="0"/>
        <v>83254867.45256339</v>
      </c>
      <c r="D20" s="124">
        <f>C20*'SFY 2018 PROJECTED'!$E$119</f>
        <v>54316696.286836244</v>
      </c>
      <c r="E20" s="125">
        <f t="shared" si="1"/>
        <v>28938171.165727146</v>
      </c>
      <c r="F20" s="126">
        <v>0</v>
      </c>
    </row>
    <row r="21" spans="1:6" x14ac:dyDescent="0.2">
      <c r="A21" s="122" t="s">
        <v>374</v>
      </c>
      <c r="B21" s="133">
        <v>2.7975731279171389E-3</v>
      </c>
      <c r="C21" s="123">
        <f t="shared" si="0"/>
        <v>34917266.351586692</v>
      </c>
      <c r="D21" s="124">
        <f>C21*'SFY 2018 PROJECTED'!$E$119</f>
        <v>22780536.557413083</v>
      </c>
      <c r="E21" s="125">
        <f t="shared" si="1"/>
        <v>12136729.794173609</v>
      </c>
      <c r="F21" s="126">
        <v>0</v>
      </c>
    </row>
    <row r="22" spans="1:6" x14ac:dyDescent="0.2">
      <c r="A22" s="122" t="s">
        <v>375</v>
      </c>
      <c r="B22" s="133">
        <v>1.5636392469917618E-2</v>
      </c>
      <c r="C22" s="123">
        <f t="shared" si="0"/>
        <v>195162040.69938052</v>
      </c>
      <c r="D22" s="124">
        <f>C22*'SFY 2018 PROJECTED'!$E$119</f>
        <v>127326577.00076655</v>
      </c>
      <c r="E22" s="125">
        <f t="shared" si="1"/>
        <v>67835463.698613971</v>
      </c>
      <c r="F22" s="126">
        <v>0</v>
      </c>
    </row>
    <row r="23" spans="1:6" x14ac:dyDescent="0.2">
      <c r="A23" s="122" t="s">
        <v>376</v>
      </c>
      <c r="B23" s="133">
        <v>4.5156423576786587E-3</v>
      </c>
      <c r="C23" s="123">
        <f t="shared" si="0"/>
        <v>56360952.77658198</v>
      </c>
      <c r="D23" s="124">
        <f>C23*'SFY 2018 PROJECTED'!$E$119</f>
        <v>36770712.008479275</v>
      </c>
      <c r="E23" s="125">
        <f t="shared" si="1"/>
        <v>19590240.768102705</v>
      </c>
      <c r="F23" s="126">
        <v>0</v>
      </c>
    </row>
    <row r="24" spans="1:6" x14ac:dyDescent="0.2">
      <c r="A24" s="122" t="s">
        <v>377</v>
      </c>
      <c r="B24" s="133">
        <v>4.1023653710251518E-3</v>
      </c>
      <c r="C24" s="123">
        <f t="shared" si="0"/>
        <v>51202731.003589228</v>
      </c>
      <c r="D24" s="124">
        <f>C24*'SFY 2018 PROJECTED'!$E$119</f>
        <v>33405412.489103649</v>
      </c>
      <c r="E24" s="125">
        <f t="shared" si="1"/>
        <v>17797318.514485579</v>
      </c>
      <c r="F24" s="126">
        <v>0</v>
      </c>
    </row>
    <row r="25" spans="1:6" x14ac:dyDescent="0.2">
      <c r="A25" s="122" t="s">
        <v>378</v>
      </c>
      <c r="B25" s="133">
        <v>2.0589233502913292E-3</v>
      </c>
      <c r="C25" s="123">
        <f t="shared" si="0"/>
        <v>25697978.831083812</v>
      </c>
      <c r="D25" s="124">
        <f>C25*'SFY 2018 PROJECTED'!$E$119</f>
        <v>16765738.197215151</v>
      </c>
      <c r="E25" s="125">
        <f t="shared" si="1"/>
        <v>8932240.6338686608</v>
      </c>
      <c r="F25" s="126">
        <v>0</v>
      </c>
    </row>
    <row r="26" spans="1:6" x14ac:dyDescent="0.2">
      <c r="A26" s="122" t="s">
        <v>379</v>
      </c>
      <c r="B26" s="133">
        <v>1.313330705927024E-3</v>
      </c>
      <c r="C26" s="123">
        <f t="shared" si="0"/>
        <v>16392035.514265038</v>
      </c>
      <c r="D26" s="124">
        <f>C26*'SFY 2018 PROJECTED'!$E$119</f>
        <v>10694404.324872343</v>
      </c>
      <c r="E26" s="125">
        <f t="shared" si="1"/>
        <v>5697631.1893926952</v>
      </c>
      <c r="F26" s="126">
        <v>0</v>
      </c>
    </row>
    <row r="27" spans="1:6" x14ac:dyDescent="0.2">
      <c r="A27" s="122" t="s">
        <v>380</v>
      </c>
      <c r="B27" s="133">
        <v>1.5187994894009314E-2</v>
      </c>
      <c r="C27" s="123">
        <f t="shared" si="0"/>
        <v>189565469.35933018</v>
      </c>
      <c r="D27" s="124">
        <f>C27*'SFY 2018 PROJECTED'!$E$119</f>
        <v>123675291.79635096</v>
      </c>
      <c r="E27" s="125">
        <f t="shared" si="1"/>
        <v>65890177.562979221</v>
      </c>
      <c r="F27" s="126">
        <v>0</v>
      </c>
    </row>
    <row r="28" spans="1:6" x14ac:dyDescent="0.2">
      <c r="A28" s="122" t="s">
        <v>381</v>
      </c>
      <c r="B28" s="133">
        <v>9.6836249284918356E-3</v>
      </c>
      <c r="C28" s="123">
        <f t="shared" si="0"/>
        <v>120863940.0710704</v>
      </c>
      <c r="D28" s="124">
        <f>C28*'SFY 2018 PROJECTED'!$E$119</f>
        <v>78853406.722570866</v>
      </c>
      <c r="E28" s="125">
        <f t="shared" si="1"/>
        <v>42010533.348499537</v>
      </c>
      <c r="F28" s="126">
        <v>0</v>
      </c>
    </row>
    <row r="29" spans="1:6" x14ac:dyDescent="0.2">
      <c r="A29" s="122" t="s">
        <v>382</v>
      </c>
      <c r="B29" s="133">
        <v>9.6101186577737443E-3</v>
      </c>
      <c r="C29" s="123">
        <f t="shared" si="0"/>
        <v>119946488.43859552</v>
      </c>
      <c r="D29" s="124">
        <f>C29*'SFY 2018 PROJECTED'!$E$119</f>
        <v>78254847.825009778</v>
      </c>
      <c r="E29" s="125">
        <f t="shared" si="1"/>
        <v>41691640.61358574</v>
      </c>
      <c r="F29" s="126">
        <v>0</v>
      </c>
    </row>
    <row r="30" spans="1:6" x14ac:dyDescent="0.2">
      <c r="A30" s="122" t="s">
        <v>383</v>
      </c>
      <c r="B30" s="133">
        <v>3.8643767783737196E-2</v>
      </c>
      <c r="C30" s="123">
        <f t="shared" si="0"/>
        <v>482323310.53959936</v>
      </c>
      <c r="D30" s="124">
        <f>C30*'SFY 2018 PROJECTED'!$E$119</f>
        <v>314674800.07181472</v>
      </c>
      <c r="E30" s="125">
        <f t="shared" si="1"/>
        <v>167648510.46778464</v>
      </c>
      <c r="F30" s="126">
        <v>0</v>
      </c>
    </row>
    <row r="31" spans="1:6" x14ac:dyDescent="0.2">
      <c r="A31" s="122" t="s">
        <v>384</v>
      </c>
      <c r="B31" s="133">
        <v>1.525784530117628E-3</v>
      </c>
      <c r="C31" s="123">
        <f t="shared" si="0"/>
        <v>19043729.117069837</v>
      </c>
      <c r="D31" s="124">
        <f>C31*'SFY 2018 PROJECTED'!$E$119</f>
        <v>12424408.112955488</v>
      </c>
      <c r="E31" s="125">
        <f t="shared" si="1"/>
        <v>6619321.0041143484</v>
      </c>
      <c r="F31" s="126">
        <v>0</v>
      </c>
    </row>
    <row r="32" spans="1:6" x14ac:dyDescent="0.2">
      <c r="A32" s="122" t="s">
        <v>385</v>
      </c>
      <c r="B32" s="133">
        <v>2.3491374820449407E-3</v>
      </c>
      <c r="C32" s="123">
        <f t="shared" si="0"/>
        <v>29320219.850027241</v>
      </c>
      <c r="D32" s="124">
        <f>C32*'SFY 2018 PROJECTED'!$E$119</f>
        <v>19128941.350661676</v>
      </c>
      <c r="E32" s="125">
        <f t="shared" si="1"/>
        <v>10191278.499365564</v>
      </c>
      <c r="F32" s="126">
        <v>0</v>
      </c>
    </row>
    <row r="33" spans="1:6" x14ac:dyDescent="0.2">
      <c r="A33" s="122" t="s">
        <v>386</v>
      </c>
      <c r="B33" s="133">
        <v>1.7411591727120129E-2</v>
      </c>
      <c r="C33" s="123">
        <f t="shared" si="0"/>
        <v>217318782.43825629</v>
      </c>
      <c r="D33" s="124">
        <f>C33*'SFY 2018 PROJECTED'!$E$119</f>
        <v>141781960.19409272</v>
      </c>
      <c r="E33" s="125">
        <f t="shared" si="1"/>
        <v>75536822.244163573</v>
      </c>
      <c r="F33" s="126">
        <v>0</v>
      </c>
    </row>
    <row r="34" spans="1:6" x14ac:dyDescent="0.2">
      <c r="A34" s="122" t="s">
        <v>387</v>
      </c>
      <c r="B34" s="133">
        <v>3.6614000300731891E-3</v>
      </c>
      <c r="C34" s="123">
        <f t="shared" si="0"/>
        <v>45698923.396850601</v>
      </c>
      <c r="D34" s="124">
        <f>C34*'SFY 2018 PROJECTED'!$E$119</f>
        <v>29814647.704489287</v>
      </c>
      <c r="E34" s="125">
        <f t="shared" si="1"/>
        <v>15884275.692361314</v>
      </c>
      <c r="F34" s="126">
        <v>0</v>
      </c>
    </row>
    <row r="35" spans="1:6" x14ac:dyDescent="0.2">
      <c r="A35" s="122" t="s">
        <v>388</v>
      </c>
      <c r="B35" s="133">
        <v>7.0522536636913186E-3</v>
      </c>
      <c r="C35" s="123">
        <f t="shared" si="0"/>
        <v>88021084.094912842</v>
      </c>
      <c r="D35" s="124">
        <f>C35*'SFY 2018 PROJECTED'!$E$119</f>
        <v>57426245.911034085</v>
      </c>
      <c r="E35" s="125">
        <f t="shared" si="1"/>
        <v>30594838.183878757</v>
      </c>
      <c r="F35" s="126">
        <v>0</v>
      </c>
    </row>
    <row r="36" spans="1:6" x14ac:dyDescent="0.2">
      <c r="A36" s="122" t="s">
        <v>389</v>
      </c>
      <c r="B36" s="133">
        <v>2.7160601221933384E-2</v>
      </c>
      <c r="C36" s="123">
        <f t="shared" si="0"/>
        <v>338998804.95405185</v>
      </c>
      <c r="D36" s="124">
        <f>C36*'SFY 2018 PROJECTED'!$E$119</f>
        <v>221167791.06976685</v>
      </c>
      <c r="E36" s="125">
        <f t="shared" si="1"/>
        <v>117831013.884285</v>
      </c>
      <c r="F36" s="126">
        <v>0</v>
      </c>
    </row>
    <row r="37" spans="1:6" x14ac:dyDescent="0.2">
      <c r="A37" s="122" t="s">
        <v>390</v>
      </c>
      <c r="B37" s="133">
        <v>9.3671460257361665E-3</v>
      </c>
      <c r="C37" s="123">
        <f t="shared" si="0"/>
        <v>116913881.34627666</v>
      </c>
      <c r="D37" s="124">
        <f>C37*'SFY 2018 PROJECTED'!$E$119</f>
        <v>76276330.491057575</v>
      </c>
      <c r="E37" s="125">
        <f t="shared" si="1"/>
        <v>40637550.855219081</v>
      </c>
      <c r="F37" s="126">
        <v>0</v>
      </c>
    </row>
    <row r="38" spans="1:6" x14ac:dyDescent="0.2">
      <c r="A38" s="122" t="s">
        <v>391</v>
      </c>
      <c r="B38" s="133">
        <v>3.4839084169537349E-2</v>
      </c>
      <c r="C38" s="123">
        <f t="shared" si="0"/>
        <v>434836026.00186044</v>
      </c>
      <c r="D38" s="124">
        <f>C38*'SFY 2018 PROJECTED'!$E$119</f>
        <v>283693399.33638513</v>
      </c>
      <c r="E38" s="125">
        <f t="shared" si="1"/>
        <v>151142626.66547531</v>
      </c>
      <c r="F38" s="126">
        <v>0</v>
      </c>
    </row>
    <row r="39" spans="1:6" x14ac:dyDescent="0.2">
      <c r="A39" s="122" t="s">
        <v>392</v>
      </c>
      <c r="B39" s="133">
        <v>6.5707536932337754E-3</v>
      </c>
      <c r="C39" s="123">
        <f t="shared" si="0"/>
        <v>82011352.821412727</v>
      </c>
      <c r="D39" s="124">
        <f>C39*'SFY 2018 PROJECTED'!$E$119</f>
        <v>53505409.107898235</v>
      </c>
      <c r="E39" s="125">
        <f t="shared" si="1"/>
        <v>28505943.713514492</v>
      </c>
      <c r="F39" s="126">
        <v>0</v>
      </c>
    </row>
    <row r="40" spans="1:6" x14ac:dyDescent="0.2">
      <c r="A40" s="122" t="s">
        <v>393</v>
      </c>
      <c r="B40" s="133">
        <v>2.6039644482170991E-2</v>
      </c>
      <c r="C40" s="123">
        <f t="shared" si="0"/>
        <v>325007840.90728503</v>
      </c>
      <c r="D40" s="124">
        <f>C40*'SFY 2018 PROJECTED'!$E$119</f>
        <v>212039880.97704732</v>
      </c>
      <c r="E40" s="125">
        <f t="shared" si="1"/>
        <v>112967959.93023771</v>
      </c>
      <c r="F40" s="126">
        <v>0</v>
      </c>
    </row>
    <row r="41" spans="1:6" x14ac:dyDescent="0.2">
      <c r="A41" s="122" t="s">
        <v>394</v>
      </c>
      <c r="B41" s="133">
        <v>1.0661014271045254E-3</v>
      </c>
      <c r="C41" s="123">
        <f t="shared" si="0"/>
        <v>13306300.062915808</v>
      </c>
      <c r="D41" s="124">
        <f>C41*'SFY 2018 PROJECTED'!$E$119</f>
        <v>8681225.2704710122</v>
      </c>
      <c r="E41" s="125">
        <f t="shared" si="1"/>
        <v>4625074.7924447954</v>
      </c>
      <c r="F41" s="126">
        <v>0</v>
      </c>
    </row>
    <row r="42" spans="1:6" x14ac:dyDescent="0.2">
      <c r="A42" s="122" t="s">
        <v>395</v>
      </c>
      <c r="B42" s="133">
        <v>1.524793672044795E-3</v>
      </c>
      <c r="C42" s="123">
        <f t="shared" si="0"/>
        <v>19031361.949648734</v>
      </c>
      <c r="D42" s="124">
        <f>C42*'SFY 2018 PROJECTED'!$E$119</f>
        <v>12416339.591590978</v>
      </c>
      <c r="E42" s="125">
        <f t="shared" si="1"/>
        <v>6615022.358057756</v>
      </c>
      <c r="F42" s="126">
        <v>0</v>
      </c>
    </row>
    <row r="43" spans="1:6" x14ac:dyDescent="0.2">
      <c r="A43" s="122" t="s">
        <v>396</v>
      </c>
      <c r="B43" s="133">
        <v>5.2568997187822149E-3</v>
      </c>
      <c r="C43" s="123">
        <f t="shared" si="0"/>
        <v>65612786.251261316</v>
      </c>
      <c r="D43" s="124">
        <f>C43*'SFY 2018 PROJECTED'!$E$119</f>
        <v>42806743.826401167</v>
      </c>
      <c r="E43" s="125">
        <f t="shared" si="1"/>
        <v>22806042.42486015</v>
      </c>
      <c r="F43" s="126">
        <v>0</v>
      </c>
    </row>
    <row r="44" spans="1:6" x14ac:dyDescent="0.2">
      <c r="A44" s="122" t="s">
        <v>397</v>
      </c>
      <c r="B44" s="133">
        <v>2.4195369709464833E-3</v>
      </c>
      <c r="C44" s="123">
        <f t="shared" si="0"/>
        <v>30198894.89893325</v>
      </c>
      <c r="D44" s="124">
        <f>C44*'SFY 2018 PROJECTED'!$E$119</f>
        <v>19702201.836523868</v>
      </c>
      <c r="E44" s="125">
        <f t="shared" si="1"/>
        <v>10496693.062409382</v>
      </c>
      <c r="F44" s="126">
        <v>0</v>
      </c>
    </row>
    <row r="45" spans="1:6" x14ac:dyDescent="0.2">
      <c r="A45" s="122" t="s">
        <v>398</v>
      </c>
      <c r="B45" s="133">
        <v>4.7329847250200313E-2</v>
      </c>
      <c r="C45" s="123">
        <f t="shared" si="0"/>
        <v>590736616.07751417</v>
      </c>
      <c r="D45" s="124">
        <f>C45*'SFY 2018 PROJECTED'!$E$119</f>
        <v>385405230.26209897</v>
      </c>
      <c r="E45" s="125">
        <f t="shared" si="1"/>
        <v>205331385.8154152</v>
      </c>
      <c r="F45" s="126">
        <v>0</v>
      </c>
    </row>
    <row r="46" spans="1:6" x14ac:dyDescent="0.2">
      <c r="A46" s="122" t="s">
        <v>399</v>
      </c>
      <c r="B46" s="133">
        <v>9.0673857122598872E-3</v>
      </c>
      <c r="C46" s="123">
        <f t="shared" si="0"/>
        <v>113172491.85306288</v>
      </c>
      <c r="D46" s="124">
        <f>C46*'SFY 2018 PROJECTED'!$E$119</f>
        <v>73835393.125930637</v>
      </c>
      <c r="E46" s="125">
        <f t="shared" si="1"/>
        <v>39337098.727132246</v>
      </c>
      <c r="F46" s="126">
        <v>0</v>
      </c>
    </row>
    <row r="47" spans="1:6" x14ac:dyDescent="0.2">
      <c r="A47" s="122" t="s">
        <v>400</v>
      </c>
      <c r="B47" s="133">
        <v>1.1807604491592499E-2</v>
      </c>
      <c r="C47" s="123">
        <f t="shared" si="0"/>
        <v>147373903.07794598</v>
      </c>
      <c r="D47" s="124">
        <f>C47*'SFY 2018 PROJECTED'!$E$119</f>
        <v>96148895.302144468</v>
      </c>
      <c r="E47" s="125">
        <f t="shared" si="1"/>
        <v>51225007.77580151</v>
      </c>
      <c r="F47" s="126">
        <v>0</v>
      </c>
    </row>
    <row r="48" spans="1:6" x14ac:dyDescent="0.2">
      <c r="A48" s="122" t="s">
        <v>401</v>
      </c>
      <c r="B48" s="133">
        <v>7.5167664891822236E-3</v>
      </c>
      <c r="C48" s="123">
        <f t="shared" si="0"/>
        <v>93818794.220713869</v>
      </c>
      <c r="D48" s="124">
        <f>C48*'SFY 2018 PROJECTED'!$E$119</f>
        <v>61208757.008558549</v>
      </c>
      <c r="E48" s="125">
        <f t="shared" si="1"/>
        <v>32610037.21215532</v>
      </c>
      <c r="F48" s="126">
        <v>0</v>
      </c>
    </row>
    <row r="49" spans="1:6" x14ac:dyDescent="0.2">
      <c r="A49" s="122" t="s">
        <v>402</v>
      </c>
      <c r="B49" s="133">
        <v>1.0196982138870462E-2</v>
      </c>
      <c r="C49" s="123">
        <f t="shared" si="0"/>
        <v>127271290.16655965</v>
      </c>
      <c r="D49" s="124">
        <f>C49*'SFY 2018 PROJECTED'!$E$119</f>
        <v>83033655.875431716</v>
      </c>
      <c r="E49" s="125">
        <f t="shared" si="1"/>
        <v>44237634.291127935</v>
      </c>
      <c r="F49" s="126">
        <v>0</v>
      </c>
    </row>
    <row r="50" spans="1:6" x14ac:dyDescent="0.2">
      <c r="A50" s="122" t="s">
        <v>403</v>
      </c>
      <c r="B50" s="133">
        <v>3.8253964273307866E-3</v>
      </c>
      <c r="C50" s="123">
        <f t="shared" si="0"/>
        <v>47745806.756788909</v>
      </c>
      <c r="D50" s="124">
        <f>C50*'SFY 2018 PROJECTED'!$E$119</f>
        <v>31150064.421832517</v>
      </c>
      <c r="E50" s="125">
        <f t="shared" si="1"/>
        <v>16595742.334956393</v>
      </c>
      <c r="F50" s="126">
        <v>0</v>
      </c>
    </row>
    <row r="51" spans="1:6" x14ac:dyDescent="0.2">
      <c r="A51" s="122" t="s">
        <v>404</v>
      </c>
      <c r="B51" s="133">
        <v>5.6126694448572611E-3</v>
      </c>
      <c r="C51" s="123">
        <f t="shared" si="0"/>
        <v>70053244.361624375</v>
      </c>
      <c r="D51" s="124">
        <f>C51*'SFY 2018 PROJECTED'!$E$119</f>
        <v>45703763.807754621</v>
      </c>
      <c r="E51" s="125">
        <f t="shared" si="1"/>
        <v>24349480.553869754</v>
      </c>
      <c r="F51" s="126">
        <v>0</v>
      </c>
    </row>
    <row r="52" spans="1:6" x14ac:dyDescent="0.2">
      <c r="A52" s="122" t="s">
        <v>405</v>
      </c>
      <c r="B52" s="133">
        <v>6.0497892643159457E-4</v>
      </c>
      <c r="C52" s="123">
        <f t="shared" si="0"/>
        <v>7550905.4975218624</v>
      </c>
      <c r="D52" s="124">
        <f>C52*'SFY 2018 PROJECTED'!$E$119</f>
        <v>4926321.4650264755</v>
      </c>
      <c r="E52" s="125">
        <f t="shared" si="1"/>
        <v>2624584.0324953869</v>
      </c>
      <c r="F52" s="126">
        <v>0</v>
      </c>
    </row>
    <row r="53" spans="1:6" x14ac:dyDescent="0.2">
      <c r="A53" s="122" t="s">
        <v>406</v>
      </c>
      <c r="B53" s="133">
        <v>1.3819878397259627E-2</v>
      </c>
      <c r="C53" s="123">
        <f t="shared" si="0"/>
        <v>172489637.58203</v>
      </c>
      <c r="D53" s="124">
        <f>C53*'SFY 2018 PROJECTED'!$E$119</f>
        <v>112534768.76301372</v>
      </c>
      <c r="E53" s="125">
        <f t="shared" si="1"/>
        <v>59954868.819016278</v>
      </c>
      <c r="F53" s="126">
        <v>0</v>
      </c>
    </row>
    <row r="54" spans="1:6" x14ac:dyDescent="0.2">
      <c r="A54" s="122" t="s">
        <v>407</v>
      </c>
      <c r="B54" s="133">
        <v>3.9301685522603359E-3</v>
      </c>
      <c r="C54" s="123">
        <f t="shared" si="0"/>
        <v>49053495.9663684</v>
      </c>
      <c r="D54" s="124">
        <f>C54*'SFY 2018 PROJECTED'!$E$119</f>
        <v>32003220.036725219</v>
      </c>
      <c r="E54" s="125">
        <f t="shared" si="1"/>
        <v>17050275.92964318</v>
      </c>
      <c r="F54" s="126">
        <v>0</v>
      </c>
    </row>
    <row r="55" spans="1:6" x14ac:dyDescent="0.2">
      <c r="A55" s="122" t="s">
        <v>408</v>
      </c>
      <c r="B55" s="133">
        <v>1.8981858785745088E-2</v>
      </c>
      <c r="C55" s="123">
        <f t="shared" si="0"/>
        <v>236917710.01658633</v>
      </c>
      <c r="D55" s="124">
        <f>C55*'SFY 2018 PROJECTED'!$E$119</f>
        <v>154568587.92401382</v>
      </c>
      <c r="E55" s="125">
        <f t="shared" si="1"/>
        <v>82349122.09257251</v>
      </c>
      <c r="F55" s="126">
        <v>0</v>
      </c>
    </row>
    <row r="56" spans="1:6" x14ac:dyDescent="0.2">
      <c r="A56" s="122" t="s">
        <v>409</v>
      </c>
      <c r="B56" s="133">
        <v>1.2727780158091327E-3</v>
      </c>
      <c r="C56" s="123">
        <f t="shared" si="0"/>
        <v>15885886.428119788</v>
      </c>
      <c r="D56" s="124">
        <f>C56*'SFY 2018 PROJECTED'!$E$119</f>
        <v>10364185.239439582</v>
      </c>
      <c r="E56" s="125">
        <f t="shared" si="1"/>
        <v>5521701.1886802055</v>
      </c>
      <c r="F56" s="126">
        <v>0</v>
      </c>
    </row>
    <row r="57" spans="1:6" x14ac:dyDescent="0.2">
      <c r="A57" s="122" t="s">
        <v>410</v>
      </c>
      <c r="B57" s="133">
        <v>6.5729490940734346E-3</v>
      </c>
      <c r="C57" s="123">
        <f t="shared" si="0"/>
        <v>82038754.212676436</v>
      </c>
      <c r="D57" s="124">
        <f>C57*'SFY 2018 PROJECTED'!$E$119</f>
        <v>53523286.177343525</v>
      </c>
      <c r="E57" s="125">
        <f t="shared" si="1"/>
        <v>28515468.035332911</v>
      </c>
      <c r="F57" s="126">
        <v>0</v>
      </c>
    </row>
    <row r="58" spans="1:6" x14ac:dyDescent="0.2">
      <c r="A58" s="122" t="s">
        <v>411</v>
      </c>
      <c r="B58" s="133">
        <v>8.9544831982240509E-3</v>
      </c>
      <c r="C58" s="123">
        <f t="shared" si="0"/>
        <v>111763325.05952561</v>
      </c>
      <c r="D58" s="124">
        <f>C58*'SFY 2018 PROJECTED'!$E$119</f>
        <v>72916032.047304571</v>
      </c>
      <c r="E58" s="125">
        <f t="shared" si="1"/>
        <v>38847293.012221038</v>
      </c>
      <c r="F58" s="126">
        <v>0</v>
      </c>
    </row>
    <row r="59" spans="1:6" x14ac:dyDescent="0.2">
      <c r="A59" s="122" t="s">
        <v>412</v>
      </c>
      <c r="B59" s="133">
        <v>7.7283522802567995E-3</v>
      </c>
      <c r="C59" s="123">
        <f t="shared" si="0"/>
        <v>96459653.667581186</v>
      </c>
      <c r="D59" s="124">
        <f>C59*'SFY 2018 PROJECTED'!$E$119</f>
        <v>62931692.434447549</v>
      </c>
      <c r="E59" s="125">
        <f t="shared" si="1"/>
        <v>33527961.233133636</v>
      </c>
      <c r="F59" s="126">
        <v>0</v>
      </c>
    </row>
    <row r="60" spans="1:6" x14ac:dyDescent="0.2">
      <c r="A60" s="122" t="s">
        <v>413</v>
      </c>
      <c r="B60" s="133">
        <v>3.8967669190710322E-3</v>
      </c>
      <c r="C60" s="123">
        <f t="shared" si="0"/>
        <v>48636601.154572278</v>
      </c>
      <c r="D60" s="124">
        <f>C60*'SFY 2018 PROJECTED'!$E$119</f>
        <v>31731231.748607531</v>
      </c>
      <c r="E60" s="125">
        <f t="shared" si="1"/>
        <v>16905369.405964747</v>
      </c>
      <c r="F60" s="126">
        <v>0</v>
      </c>
    </row>
    <row r="61" spans="1:6" x14ac:dyDescent="0.2">
      <c r="A61" s="122" t="s">
        <v>414</v>
      </c>
      <c r="B61" s="133">
        <v>2.7737218860046202E-3</v>
      </c>
      <c r="C61" s="123">
        <f t="shared" si="0"/>
        <v>34619572.554643624</v>
      </c>
      <c r="D61" s="124">
        <f>C61*'SFY 2018 PROJECTED'!$E$119</f>
        <v>22586316.759222366</v>
      </c>
      <c r="E61" s="125">
        <f t="shared" si="1"/>
        <v>12033255.795421258</v>
      </c>
      <c r="F61" s="126">
        <v>0</v>
      </c>
    </row>
    <row r="62" spans="1:6" x14ac:dyDescent="0.2">
      <c r="A62" s="122" t="s">
        <v>415</v>
      </c>
      <c r="B62" s="133">
        <v>3.7908286614029129E-3</v>
      </c>
      <c r="C62" s="123">
        <f t="shared" si="0"/>
        <v>47314357.1270945</v>
      </c>
      <c r="D62" s="124">
        <f>C62*'SFY 2018 PROJECTED'!$E$119</f>
        <v>30868580.357101627</v>
      </c>
      <c r="E62" s="125">
        <f t="shared" si="1"/>
        <v>16445776.769992873</v>
      </c>
      <c r="F62" s="126">
        <v>0</v>
      </c>
    </row>
    <row r="63" spans="1:6" x14ac:dyDescent="0.2">
      <c r="A63" s="122" t="s">
        <v>416</v>
      </c>
      <c r="B63" s="133">
        <v>6.3916133556949908E-3</v>
      </c>
      <c r="C63" s="123">
        <f t="shared" si="0"/>
        <v>79775453.849645019</v>
      </c>
      <c r="D63" s="124">
        <f>C63*'SFY 2018 PROJECTED'!$E$119</f>
        <v>52046675.833873704</v>
      </c>
      <c r="E63" s="125">
        <f t="shared" si="1"/>
        <v>27728778.015771315</v>
      </c>
      <c r="F63" s="126">
        <v>0</v>
      </c>
    </row>
    <row r="64" spans="1:6" x14ac:dyDescent="0.2">
      <c r="A64" s="122" t="s">
        <v>417</v>
      </c>
      <c r="B64" s="133">
        <v>8.6505203582972437E-2</v>
      </c>
      <c r="C64" s="123">
        <f t="shared" si="0"/>
        <v>1079694826.9780295</v>
      </c>
      <c r="D64" s="124">
        <f>C64*'SFY 2018 PROJECTED'!$E$119</f>
        <v>704408736.61649382</v>
      </c>
      <c r="E64" s="125">
        <f t="shared" si="1"/>
        <v>375286090.36153567</v>
      </c>
      <c r="F64" s="126">
        <v>0</v>
      </c>
    </row>
    <row r="65" spans="1:6" x14ac:dyDescent="0.2">
      <c r="A65" s="122" t="s">
        <v>418</v>
      </c>
      <c r="B65" s="133">
        <v>2.1181215637081051E-3</v>
      </c>
      <c r="C65" s="123">
        <f t="shared" si="0"/>
        <v>26436847.733127706</v>
      </c>
      <c r="D65" s="124">
        <f>C65*'SFY 2018 PROJECTED'!$E$119</f>
        <v>17247787.102895927</v>
      </c>
      <c r="E65" s="125">
        <f t="shared" si="1"/>
        <v>9189060.6302317791</v>
      </c>
      <c r="F65" s="126">
        <v>0</v>
      </c>
    </row>
    <row r="66" spans="1:6" x14ac:dyDescent="0.2">
      <c r="A66" s="122" t="s">
        <v>419</v>
      </c>
      <c r="B66" s="133">
        <v>3.2143789598851986E-3</v>
      </c>
      <c r="C66" s="123">
        <f t="shared" si="0"/>
        <v>40119532.596744336</v>
      </c>
      <c r="D66" s="124">
        <f>C66*'SFY 2018 PROJECTED'!$E$119</f>
        <v>26174571.336250357</v>
      </c>
      <c r="E66" s="125">
        <f t="shared" si="1"/>
        <v>13944961.260493979</v>
      </c>
      <c r="F66" s="126">
        <v>0</v>
      </c>
    </row>
    <row r="67" spans="1:6" x14ac:dyDescent="0.2">
      <c r="A67" s="122" t="s">
        <v>420</v>
      </c>
      <c r="B67" s="133">
        <v>7.8392311195854582E-3</v>
      </c>
      <c r="C67" s="123">
        <f t="shared" si="0"/>
        <v>97843562.43012926</v>
      </c>
      <c r="D67" s="124">
        <f>C67*'SFY 2018 PROJECTED'!$E$119</f>
        <v>63834574.803299375</v>
      </c>
      <c r="E67" s="125">
        <f t="shared" si="1"/>
        <v>34008987.626829885</v>
      </c>
      <c r="F67" s="126">
        <v>0</v>
      </c>
    </row>
    <row r="68" spans="1:6" x14ac:dyDescent="0.2">
      <c r="A68" s="122" t="s">
        <v>421</v>
      </c>
      <c r="B68" s="133">
        <v>1.1655149354527146E-2</v>
      </c>
      <c r="C68" s="123">
        <f t="shared" si="0"/>
        <v>145471069.30589658</v>
      </c>
      <c r="D68" s="124">
        <f>C68*'SFY 2018 PROJECTED'!$E$119</f>
        <v>94907458.648129836</v>
      </c>
      <c r="E68" s="125">
        <f t="shared" si="1"/>
        <v>50563610.657766744</v>
      </c>
      <c r="F68" s="126">
        <v>0</v>
      </c>
    </row>
    <row r="69" spans="1:6" x14ac:dyDescent="0.2">
      <c r="A69" s="122" t="s">
        <v>422</v>
      </c>
      <c r="B69" s="133">
        <v>1.9203503248567805E-2</v>
      </c>
      <c r="C69" s="123">
        <f t="shared" si="0"/>
        <v>239684114.46425033</v>
      </c>
      <c r="D69" s="124">
        <f>C69*'SFY 2018 PROJECTED'!$E$119</f>
        <v>156373430.74928087</v>
      </c>
      <c r="E69" s="125">
        <f t="shared" si="1"/>
        <v>83310683.714969456</v>
      </c>
      <c r="F69" s="126">
        <v>0</v>
      </c>
    </row>
    <row r="70" spans="1:6" x14ac:dyDescent="0.2">
      <c r="A70" s="122" t="s">
        <v>423</v>
      </c>
      <c r="B70" s="133">
        <v>3.3618842528578474E-3</v>
      </c>
      <c r="C70" s="123">
        <f t="shared" ref="C70:C104" si="2">+B70*C$106</f>
        <v>41960586.026804075</v>
      </c>
      <c r="D70" s="124">
        <f>C70*'SFY 2018 PROJECTED'!$E$119</f>
        <v>27375701.589269746</v>
      </c>
      <c r="E70" s="125">
        <f t="shared" si="1"/>
        <v>14584884.437534329</v>
      </c>
      <c r="F70" s="126">
        <v>0</v>
      </c>
    </row>
    <row r="71" spans="1:6" x14ac:dyDescent="0.2">
      <c r="A71" s="122" t="s">
        <v>424</v>
      </c>
      <c r="B71" s="133">
        <v>1.4796328946952124E-2</v>
      </c>
      <c r="C71" s="123">
        <f t="shared" si="2"/>
        <v>184676980.81267887</v>
      </c>
      <c r="D71" s="124">
        <f>C71*'SFY 2018 PROJECTED'!$E$119</f>
        <v>120485970.18892148</v>
      </c>
      <c r="E71" s="125">
        <f t="shared" ref="E71:E104" si="3">+C71-D71</f>
        <v>64191010.623757392</v>
      </c>
      <c r="F71" s="126">
        <v>0</v>
      </c>
    </row>
    <row r="72" spans="1:6" x14ac:dyDescent="0.2">
      <c r="A72" s="122" t="s">
        <v>425</v>
      </c>
      <c r="B72" s="133">
        <v>8.0971324864580908E-3</v>
      </c>
      <c r="C72" s="123">
        <f t="shared" si="2"/>
        <v>101062499.09693754</v>
      </c>
      <c r="D72" s="124">
        <f>C72*'SFY 2018 PROJECTED'!$E$119</f>
        <v>65934656.283787072</v>
      </c>
      <c r="E72" s="125">
        <f t="shared" si="3"/>
        <v>35127842.813150465</v>
      </c>
      <c r="F72" s="126">
        <v>0</v>
      </c>
    </row>
    <row r="73" spans="1:6" x14ac:dyDescent="0.2">
      <c r="A73" s="122" t="s">
        <v>426</v>
      </c>
      <c r="B73" s="133">
        <v>1.4225739222632767E-3</v>
      </c>
      <c r="C73" s="123">
        <f t="shared" si="2"/>
        <v>17755529.624160536</v>
      </c>
      <c r="D73" s="124">
        <f>C73*'SFY 2018 PROJECTED'!$E$119</f>
        <v>11583967.874994883</v>
      </c>
      <c r="E73" s="125">
        <f t="shared" si="3"/>
        <v>6171561.7491656523</v>
      </c>
      <c r="F73" s="126">
        <v>0</v>
      </c>
    </row>
    <row r="74" spans="1:6" x14ac:dyDescent="0.2">
      <c r="A74" s="122" t="s">
        <v>427</v>
      </c>
      <c r="B74" s="133">
        <v>4.2924668286899986E-3</v>
      </c>
      <c r="C74" s="123">
        <f t="shared" si="2"/>
        <v>53575438.678276666</v>
      </c>
      <c r="D74" s="124">
        <f>C74*'SFY 2018 PROJECTED'!$E$119</f>
        <v>34953401.766930252</v>
      </c>
      <c r="E74" s="125">
        <f t="shared" si="3"/>
        <v>18622036.911346413</v>
      </c>
      <c r="F74" s="126">
        <v>0</v>
      </c>
    </row>
    <row r="75" spans="1:6" x14ac:dyDescent="0.2">
      <c r="A75" s="122" t="s">
        <v>428</v>
      </c>
      <c r="B75" s="133">
        <v>6.0583635544904342E-3</v>
      </c>
      <c r="C75" s="123">
        <f t="shared" si="2"/>
        <v>75616073.00838843</v>
      </c>
      <c r="D75" s="124">
        <f>C75*'SFY 2018 PROJECTED'!$E$119</f>
        <v>49333034.784303293</v>
      </c>
      <c r="E75" s="125">
        <f t="shared" si="3"/>
        <v>26283038.224085137</v>
      </c>
      <c r="F75" s="126">
        <v>0</v>
      </c>
    </row>
    <row r="76" spans="1:6" x14ac:dyDescent="0.2">
      <c r="A76" s="122" t="s">
        <v>429</v>
      </c>
      <c r="B76" s="133">
        <v>1.3914903144651145E-3</v>
      </c>
      <c r="C76" s="123">
        <f t="shared" si="2"/>
        <v>17367566.713798739</v>
      </c>
      <c r="D76" s="124">
        <f>C76*'SFY 2018 PROJECTED'!$E$119</f>
        <v>11330855.183599565</v>
      </c>
      <c r="E76" s="125">
        <f t="shared" si="3"/>
        <v>6036711.5301991738</v>
      </c>
      <c r="F76" s="126">
        <v>0</v>
      </c>
    </row>
    <row r="77" spans="1:6" x14ac:dyDescent="0.2">
      <c r="A77" s="122" t="s">
        <v>430</v>
      </c>
      <c r="B77" s="133">
        <v>4.7823198996500022E-3</v>
      </c>
      <c r="C77" s="123">
        <f t="shared" si="2"/>
        <v>59689427.256865755</v>
      </c>
      <c r="D77" s="124">
        <f>C77*'SFY 2018 PROJECTED'!$E$119</f>
        <v>38942257.564624324</v>
      </c>
      <c r="E77" s="125">
        <f t="shared" si="3"/>
        <v>20747169.69224143</v>
      </c>
      <c r="F77" s="126">
        <v>0</v>
      </c>
    </row>
    <row r="78" spans="1:6" x14ac:dyDescent="0.2">
      <c r="A78" s="122" t="s">
        <v>431</v>
      </c>
      <c r="B78" s="133">
        <v>1.8457622923198039E-2</v>
      </c>
      <c r="C78" s="123">
        <f t="shared" si="2"/>
        <v>230374580.52304652</v>
      </c>
      <c r="D78" s="124">
        <f>C78*'SFY 2018 PROJECTED'!$E$119</f>
        <v>150299754.30094016</v>
      </c>
      <c r="E78" s="125">
        <f t="shared" si="3"/>
        <v>80074826.222106367</v>
      </c>
      <c r="F78" s="126">
        <v>0</v>
      </c>
    </row>
    <row r="79" spans="1:6" x14ac:dyDescent="0.2">
      <c r="A79" s="122" t="s">
        <v>432</v>
      </c>
      <c r="B79" s="133">
        <v>1.9910015429698493E-3</v>
      </c>
      <c r="C79" s="123">
        <f t="shared" si="2"/>
        <v>24850228.395658731</v>
      </c>
      <c r="D79" s="124">
        <f>C79*'SFY 2018 PROJECTED'!$E$119</f>
        <v>16212653.382633545</v>
      </c>
      <c r="E79" s="125">
        <f t="shared" si="3"/>
        <v>8637575.013025187</v>
      </c>
      <c r="F79" s="126">
        <v>0</v>
      </c>
    </row>
    <row r="80" spans="1:6" x14ac:dyDescent="0.2">
      <c r="A80" s="122" t="s">
        <v>433</v>
      </c>
      <c r="B80" s="133">
        <v>1.5984128506723396E-2</v>
      </c>
      <c r="C80" s="123">
        <f t="shared" si="2"/>
        <v>199502228.16258815</v>
      </c>
      <c r="D80" s="124">
        <f>C80*'SFY 2018 PROJECTED'!$E$119</f>
        <v>130158178.94165373</v>
      </c>
      <c r="E80" s="125">
        <f t="shared" si="3"/>
        <v>69344049.220934421</v>
      </c>
      <c r="F80" s="126">
        <v>0</v>
      </c>
    </row>
    <row r="81" spans="1:6" x14ac:dyDescent="0.2">
      <c r="A81" s="122" t="s">
        <v>434</v>
      </c>
      <c r="B81" s="133">
        <v>7.3464883658205657E-3</v>
      </c>
      <c r="C81" s="123">
        <f t="shared" si="2"/>
        <v>91693506.939414442</v>
      </c>
      <c r="D81" s="124">
        <f>C81*'SFY 2018 PROJECTED'!$E$119</f>
        <v>59822188.423287652</v>
      </c>
      <c r="E81" s="125">
        <f t="shared" si="3"/>
        <v>31871318.516126789</v>
      </c>
      <c r="F81" s="126">
        <v>0</v>
      </c>
    </row>
    <row r="82" spans="1:6" x14ac:dyDescent="0.2">
      <c r="A82" s="122" t="s">
        <v>435</v>
      </c>
      <c r="B82" s="133">
        <v>2.5420074841428112E-2</v>
      </c>
      <c r="C82" s="123">
        <f t="shared" si="2"/>
        <v>317274824.76079279</v>
      </c>
      <c r="D82" s="124">
        <f>C82*'SFY 2018 PROJECTED'!$E$119</f>
        <v>206994747.85435581</v>
      </c>
      <c r="E82" s="125">
        <f t="shared" si="3"/>
        <v>110280076.90643698</v>
      </c>
      <c r="F82" s="126">
        <v>0</v>
      </c>
    </row>
    <row r="83" spans="1:6" x14ac:dyDescent="0.2">
      <c r="A83" s="122" t="s">
        <v>436</v>
      </c>
      <c r="B83" s="133">
        <v>1.1792032225217774E-2</v>
      </c>
      <c r="C83" s="123">
        <f t="shared" si="2"/>
        <v>147179541.41237304</v>
      </c>
      <c r="D83" s="124">
        <f>C83*'SFY 2018 PROJECTED'!$E$119</f>
        <v>96022090.901612043</v>
      </c>
      <c r="E83" s="125">
        <f t="shared" si="3"/>
        <v>51157450.510760993</v>
      </c>
      <c r="F83" s="126">
        <v>0</v>
      </c>
    </row>
    <row r="84" spans="1:6" x14ac:dyDescent="0.2">
      <c r="A84" s="122" t="s">
        <v>437</v>
      </c>
      <c r="B84" s="133">
        <v>1.5927803845264602E-2</v>
      </c>
      <c r="C84" s="123">
        <f t="shared" si="2"/>
        <v>198799224.83920982</v>
      </c>
      <c r="D84" s="124">
        <f>C84*'SFY 2018 PROJECTED'!$E$119</f>
        <v>129699529.26538906</v>
      </c>
      <c r="E84" s="125">
        <f t="shared" si="3"/>
        <v>69099695.57382077</v>
      </c>
      <c r="F84" s="126">
        <v>0</v>
      </c>
    </row>
    <row r="85" spans="1:6" x14ac:dyDescent="0.2">
      <c r="A85" s="122" t="s">
        <v>438</v>
      </c>
      <c r="B85" s="133">
        <v>8.9271016564028052E-3</v>
      </c>
      <c r="C85" s="123">
        <f t="shared" si="2"/>
        <v>111421568.63523461</v>
      </c>
      <c r="D85" s="124">
        <f>C85*'SFY 2018 PROJECTED'!$E$119</f>
        <v>72693065.144944593</v>
      </c>
      <c r="E85" s="125">
        <f t="shared" si="3"/>
        <v>38728503.490290016</v>
      </c>
      <c r="F85" s="126">
        <v>0</v>
      </c>
    </row>
    <row r="86" spans="1:6" x14ac:dyDescent="0.2">
      <c r="A86" s="122" t="s">
        <v>439</v>
      </c>
      <c r="B86" s="133">
        <v>8.3965376420497041E-3</v>
      </c>
      <c r="C86" s="123">
        <f t="shared" si="2"/>
        <v>104799455.76859894</v>
      </c>
      <c r="D86" s="124">
        <f>C86*'SFY 2018 PROJECTED'!$E$119</f>
        <v>68372701.611135066</v>
      </c>
      <c r="E86" s="125">
        <f t="shared" si="3"/>
        <v>36426754.157463878</v>
      </c>
      <c r="F86" s="126">
        <v>0</v>
      </c>
    </row>
    <row r="87" spans="1:6" x14ac:dyDescent="0.2">
      <c r="A87" s="122" t="s">
        <v>440</v>
      </c>
      <c r="B87" s="133">
        <v>6.1691571981769824E-3</v>
      </c>
      <c r="C87" s="123">
        <f t="shared" si="2"/>
        <v>76998918.421100229</v>
      </c>
      <c r="D87" s="124">
        <f>C87*'SFY 2018 PROJECTED'!$E$119</f>
        <v>50235223.408130102</v>
      </c>
      <c r="E87" s="125">
        <f t="shared" si="3"/>
        <v>26763695.012970127</v>
      </c>
      <c r="F87" s="126">
        <v>0</v>
      </c>
    </row>
    <row r="88" spans="1:6" x14ac:dyDescent="0.2">
      <c r="A88" s="122" t="s">
        <v>441</v>
      </c>
      <c r="B88" s="133">
        <v>6.8719909429700125E-3</v>
      </c>
      <c r="C88" s="123">
        <f t="shared" si="2"/>
        <v>85771176.355280742</v>
      </c>
      <c r="D88" s="124">
        <f>C88*'SFY 2018 PROJECTED'!$E$119</f>
        <v>55958373.111445159</v>
      </c>
      <c r="E88" s="125">
        <f t="shared" si="3"/>
        <v>29812803.243835583</v>
      </c>
      <c r="F88" s="126">
        <v>0</v>
      </c>
    </row>
    <row r="89" spans="1:6" x14ac:dyDescent="0.2">
      <c r="A89" s="122" t="s">
        <v>442</v>
      </c>
      <c r="B89" s="133">
        <v>4.700985894521067E-3</v>
      </c>
      <c r="C89" s="123">
        <f t="shared" si="2"/>
        <v>58674275.555489935</v>
      </c>
      <c r="D89" s="124">
        <f>C89*'SFY 2018 PROJECTED'!$E$119</f>
        <v>38279957.709542423</v>
      </c>
      <c r="E89" s="125">
        <f t="shared" si="3"/>
        <v>20394317.845947511</v>
      </c>
      <c r="F89" s="126">
        <v>0</v>
      </c>
    </row>
    <row r="90" spans="1:6" x14ac:dyDescent="0.2">
      <c r="A90" s="122" t="s">
        <v>443</v>
      </c>
      <c r="B90" s="133">
        <v>9.3653502913115024E-3</v>
      </c>
      <c r="C90" s="123">
        <f t="shared" si="2"/>
        <v>116891468.29956235</v>
      </c>
      <c r="D90" s="124">
        <f>C90*'SFY 2018 PROJECTED'!$E$119</f>
        <v>76261707.890740097</v>
      </c>
      <c r="E90" s="125">
        <f t="shared" si="3"/>
        <v>40629760.408822253</v>
      </c>
      <c r="F90" s="126">
        <v>0</v>
      </c>
    </row>
    <row r="91" spans="1:6" x14ac:dyDescent="0.2">
      <c r="A91" s="122" t="s">
        <v>444</v>
      </c>
      <c r="B91" s="133">
        <v>2.5373499523488161E-3</v>
      </c>
      <c r="C91" s="123">
        <f t="shared" si="2"/>
        <v>31669350.562897444</v>
      </c>
      <c r="D91" s="124">
        <f>C91*'SFY 2018 PROJECTED'!$E$119</f>
        <v>20661548.672891237</v>
      </c>
      <c r="E91" s="125">
        <f t="shared" si="3"/>
        <v>11007801.890006207</v>
      </c>
      <c r="F91" s="126">
        <v>0</v>
      </c>
    </row>
    <row r="92" spans="1:6" x14ac:dyDescent="0.2">
      <c r="A92" s="122" t="s">
        <v>445</v>
      </c>
      <c r="B92" s="133">
        <v>3.4560824097024019E-3</v>
      </c>
      <c r="C92" s="123">
        <f t="shared" si="2"/>
        <v>43136298.682729781</v>
      </c>
      <c r="D92" s="124">
        <f>C92*'SFY 2018 PROJECTED'!$E$119</f>
        <v>28142753.765394974</v>
      </c>
      <c r="E92" s="125">
        <f t="shared" si="3"/>
        <v>14993544.917334806</v>
      </c>
      <c r="F92" s="126">
        <v>0</v>
      </c>
    </row>
    <row r="93" spans="1:6" x14ac:dyDescent="0.2">
      <c r="A93" s="122" t="s">
        <v>446</v>
      </c>
      <c r="B93" s="133">
        <v>5.1742231835845941E-4</v>
      </c>
      <c r="C93" s="123">
        <f t="shared" si="2"/>
        <v>6458087.8069232497</v>
      </c>
      <c r="D93" s="124">
        <f>C93*'SFY 2018 PROJECTED'!$E$119</f>
        <v>4213351.1797642056</v>
      </c>
      <c r="E93" s="125">
        <f t="shared" si="3"/>
        <v>2244736.6271590441</v>
      </c>
      <c r="F93" s="126">
        <v>0</v>
      </c>
    </row>
    <row r="94" spans="1:6" x14ac:dyDescent="0.2">
      <c r="A94" s="122" t="s">
        <v>447</v>
      </c>
      <c r="B94" s="133">
        <v>1.4351446893087988E-2</v>
      </c>
      <c r="C94" s="123">
        <f t="shared" si="2"/>
        <v>179124287.65345466</v>
      </c>
      <c r="D94" s="124">
        <f>C94*'SFY 2018 PROJECTED'!$E$119</f>
        <v>116863311.7530598</v>
      </c>
      <c r="E94" s="125">
        <f t="shared" si="3"/>
        <v>62260975.900394857</v>
      </c>
      <c r="F94" s="126">
        <v>0</v>
      </c>
    </row>
    <row r="95" spans="1:6" x14ac:dyDescent="0.2">
      <c r="A95" s="122" t="s">
        <v>448</v>
      </c>
      <c r="B95" s="133">
        <v>8.0485204762016285E-3</v>
      </c>
      <c r="C95" s="123">
        <f t="shared" si="2"/>
        <v>100455759.45782943</v>
      </c>
      <c r="D95" s="124">
        <f>C95*'SFY 2018 PROJECTED'!$E$119</f>
        <v>65538810.446648508</v>
      </c>
      <c r="E95" s="125">
        <f t="shared" si="3"/>
        <v>34916949.011180922</v>
      </c>
      <c r="F95" s="126">
        <v>0</v>
      </c>
    </row>
    <row r="96" spans="1:6" x14ac:dyDescent="0.2">
      <c r="A96" s="122" t="s">
        <v>449</v>
      </c>
      <c r="B96" s="133">
        <v>5.6206606892916879E-2</v>
      </c>
      <c r="C96" s="123">
        <f t="shared" si="2"/>
        <v>701529852.43323958</v>
      </c>
      <c r="D96" s="124">
        <f>C96*'SFY 2018 PROJECTED'!$E$119</f>
        <v>457688362.21469581</v>
      </c>
      <c r="E96" s="125">
        <f t="shared" si="3"/>
        <v>243841490.21854377</v>
      </c>
      <c r="F96" s="126">
        <v>0</v>
      </c>
    </row>
    <row r="97" spans="1:6" x14ac:dyDescent="0.2">
      <c r="A97" s="122" t="s">
        <v>450</v>
      </c>
      <c r="B97" s="133">
        <v>3.0701997286141005E-3</v>
      </c>
      <c r="C97" s="123">
        <f t="shared" si="2"/>
        <v>38319992.641766235</v>
      </c>
      <c r="D97" s="124">
        <f>C97*'SFY 2018 PROJECTED'!$E$119</f>
        <v>25000525.083083656</v>
      </c>
      <c r="E97" s="125">
        <f t="shared" si="3"/>
        <v>13319467.55868258</v>
      </c>
      <c r="F97" s="126">
        <v>0</v>
      </c>
    </row>
    <row r="98" spans="1:6" x14ac:dyDescent="0.2">
      <c r="A98" s="122" t="s">
        <v>451</v>
      </c>
      <c r="B98" s="133">
        <v>2.1712111157159973E-3</v>
      </c>
      <c r="C98" s="123">
        <f t="shared" si="2"/>
        <v>27099472.781047773</v>
      </c>
      <c r="D98" s="124">
        <f>C98*'SFY 2018 PROJECTED'!$E$119</f>
        <v>17680093.400187574</v>
      </c>
      <c r="E98" s="125">
        <f t="shared" si="3"/>
        <v>9419379.3808601983</v>
      </c>
      <c r="F98" s="126">
        <v>0</v>
      </c>
    </row>
    <row r="99" spans="1:6" x14ac:dyDescent="0.2">
      <c r="A99" s="122" t="s">
        <v>452</v>
      </c>
      <c r="B99" s="133">
        <v>2.7201934286602064E-3</v>
      </c>
      <c r="C99" s="123">
        <f t="shared" si="2"/>
        <v>33951469.410588898</v>
      </c>
      <c r="D99" s="124">
        <f>C99*'SFY 2018 PROJECTED'!$E$119</f>
        <v>22150436.471687496</v>
      </c>
      <c r="E99" s="125">
        <f t="shared" si="3"/>
        <v>11801032.938901402</v>
      </c>
      <c r="F99" s="126">
        <v>0</v>
      </c>
    </row>
    <row r="100" spans="1:6" x14ac:dyDescent="0.2">
      <c r="A100" s="122" t="s">
        <v>453</v>
      </c>
      <c r="B100" s="133">
        <v>1.4496441384015157E-2</v>
      </c>
      <c r="C100" s="123">
        <f t="shared" si="2"/>
        <v>180934003.08455265</v>
      </c>
      <c r="D100" s="124">
        <f>C100*'SFY 2018 PROJECTED'!$E$119</f>
        <v>118043996.63604948</v>
      </c>
      <c r="E100" s="125">
        <f t="shared" si="3"/>
        <v>62890006.448503166</v>
      </c>
      <c r="F100" s="126">
        <v>0</v>
      </c>
    </row>
    <row r="101" spans="1:6" x14ac:dyDescent="0.2">
      <c r="A101" s="122" t="s">
        <v>454</v>
      </c>
      <c r="B101" s="133">
        <v>9.4554523988460825E-3</v>
      </c>
      <c r="C101" s="123">
        <f t="shared" si="2"/>
        <v>118016057.05694957</v>
      </c>
      <c r="D101" s="124">
        <f>C101*'SFY 2018 PROJECTED'!$E$119</f>
        <v>76995406.085832372</v>
      </c>
      <c r="E101" s="125">
        <f t="shared" si="3"/>
        <v>41020650.971117198</v>
      </c>
      <c r="F101" s="126">
        <v>0</v>
      </c>
    </row>
    <row r="102" spans="1:6" x14ac:dyDescent="0.2">
      <c r="A102" s="122" t="s">
        <v>455</v>
      </c>
      <c r="B102" s="133">
        <v>1.0913532748422794E-2</v>
      </c>
      <c r="C102" s="123">
        <f t="shared" si="2"/>
        <v>136214751.99726379</v>
      </c>
      <c r="D102" s="124">
        <f>C102*'SFY 2018 PROJECTED'!$E$119</f>
        <v>88868501.511190534</v>
      </c>
      <c r="E102" s="125">
        <f t="shared" si="3"/>
        <v>47346250.486073256</v>
      </c>
      <c r="F102" s="126">
        <v>0</v>
      </c>
    </row>
    <row r="103" spans="1:6" x14ac:dyDescent="0.2">
      <c r="A103" s="122" t="s">
        <v>456</v>
      </c>
      <c r="B103" s="133">
        <v>4.2820216316869549E-3</v>
      </c>
      <c r="C103" s="123">
        <f t="shared" si="2"/>
        <v>53445069.351301603</v>
      </c>
      <c r="D103" s="124">
        <f>C103*'SFY 2018 PROJECTED'!$E$119</f>
        <v>34868346.906414635</v>
      </c>
      <c r="E103" s="125">
        <f t="shared" si="3"/>
        <v>18576722.444886968</v>
      </c>
      <c r="F103" s="126">
        <v>0</v>
      </c>
    </row>
    <row r="104" spans="1:6" x14ac:dyDescent="0.2">
      <c r="A104" s="122" t="s">
        <v>457</v>
      </c>
      <c r="B104" s="133">
        <v>2.2939189714198164E-3</v>
      </c>
      <c r="C104" s="123">
        <f t="shared" si="2"/>
        <v>28631022.694179919</v>
      </c>
      <c r="D104" s="124">
        <f>C104*'SFY 2018 PROJECTED'!$E$119</f>
        <v>18679299.020533174</v>
      </c>
      <c r="E104" s="125">
        <f t="shared" si="3"/>
        <v>9951723.6736467443</v>
      </c>
      <c r="F104" s="126">
        <v>0</v>
      </c>
    </row>
    <row r="105" spans="1:6" x14ac:dyDescent="0.2">
      <c r="A105" s="122"/>
      <c r="B105" s="127"/>
      <c r="C105" s="123"/>
      <c r="D105" s="127"/>
      <c r="E105" s="127"/>
      <c r="F105" s="128"/>
    </row>
    <row r="106" spans="1:6" ht="13.5" thickBot="1" x14ac:dyDescent="0.25">
      <c r="A106" s="129" t="s">
        <v>505</v>
      </c>
      <c r="B106" s="130"/>
      <c r="C106" s="141">
        <f>'SFY 2018 PROJECTED'!D112</f>
        <v>12481270285</v>
      </c>
      <c r="D106" s="141">
        <f>SUM(D5:D104)</f>
        <v>8142963746.0000048</v>
      </c>
      <c r="E106" s="141">
        <f>SUM(E5:E104)</f>
        <v>4338306539.0000029</v>
      </c>
      <c r="F106" s="131">
        <f>SUM(F5:F104)</f>
        <v>0</v>
      </c>
    </row>
    <row r="108" spans="1:6" x14ac:dyDescent="0.2">
      <c r="A108" s="116" t="s">
        <v>508</v>
      </c>
      <c r="D108" s="170"/>
    </row>
    <row r="110" spans="1:6" x14ac:dyDescent="0.2">
      <c r="D110" s="172"/>
    </row>
  </sheetData>
  <mergeCells count="2">
    <mergeCell ref="A1:F1"/>
    <mergeCell ref="A2:F2"/>
  </mergeCells>
  <phoneticPr fontId="2" type="noConversion"/>
  <printOptions horizontalCentered="1" gridLines="1"/>
  <pageMargins left="0.25" right="0.25" top="0.5" bottom="1" header="0.5" footer="0.5"/>
  <pageSetup orientation="portrait" horizontalDpi="4294967294" r:id="rId1"/>
  <headerFooter alignWithMargins="0">
    <oddFooter>&amp;L&amp;"Arial,Regular"&amp;D&amp;C&amp;"Arial,Regular"Page &amp;P of &amp;N&amp;R&amp;"Arial,Regular"&amp;F
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READ ME FIRST</vt:lpstr>
      <vt:lpstr>SFY 2018 PROJECTED</vt:lpstr>
      <vt:lpstr>TRANSADMIN YTD DEC 2014</vt:lpstr>
      <vt:lpstr>SFY 2017 BLENDED SHARES</vt:lpstr>
      <vt:lpstr>County Estimates</vt:lpstr>
      <vt:lpstr>'READ ME FIRST'!Print_Area</vt:lpstr>
      <vt:lpstr>'SFY 2017 BLENDED SHARES'!Print_Area</vt:lpstr>
      <vt:lpstr>'SFY 2018 PROJECTED'!Print_Area</vt:lpstr>
      <vt:lpstr>'County Estimates'!Print_Titles</vt:lpstr>
      <vt:lpstr>'SFY 2017 BLENDED SHARES'!Print_Titles</vt:lpstr>
      <vt:lpstr>'SFY 2018 PROJECTED'!Print_Titles</vt:lpstr>
      <vt:lpstr>'TRANSADMIN YTD DEC 2014'!Print_Titles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SHANNA GAO</dc:creator>
  <cp:lastModifiedBy>Wayne Mohr</cp:lastModifiedBy>
  <cp:lastPrinted>2017-01-18T16:18:34Z</cp:lastPrinted>
  <dcterms:created xsi:type="dcterms:W3CDTF">2004-06-15T15:41:35Z</dcterms:created>
  <dcterms:modified xsi:type="dcterms:W3CDTF">2017-01-18T17:49:41Z</dcterms:modified>
</cp:coreProperties>
</file>