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New S Drive Structure\_CSBG\Allocations\SFY 2017-18\"/>
    </mc:Choice>
  </mc:AlternateContent>
  <bookViews>
    <workbookView xWindow="0" yWindow="0" windowWidth="19200" windowHeight="11175" activeTab="3"/>
  </bookViews>
  <sheets>
    <sheet name="No Carry forward" sheetId="1" r:id="rId1"/>
    <sheet name="Carry forward " sheetId="3" r:id="rId2"/>
    <sheet name="Print format" sheetId="5" r:id="rId3"/>
    <sheet name="Print format (2)" sheetId="6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6" l="1"/>
  <c r="F133" i="6"/>
  <c r="F127" i="6"/>
  <c r="F126" i="6"/>
  <c r="F116" i="6"/>
  <c r="F115" i="6"/>
  <c r="F114" i="6"/>
  <c r="F111" i="6"/>
  <c r="F108" i="6"/>
  <c r="F106" i="6"/>
  <c r="F82" i="6"/>
  <c r="F81" i="6"/>
  <c r="F79" i="6"/>
  <c r="D79" i="6"/>
  <c r="F72" i="6"/>
  <c r="F70" i="6"/>
  <c r="F69" i="6"/>
  <c r="F67" i="6"/>
  <c r="F64" i="6"/>
  <c r="D64" i="6"/>
  <c r="F58" i="6"/>
  <c r="F57" i="6"/>
  <c r="F55" i="6"/>
  <c r="F54" i="6"/>
  <c r="F53" i="6"/>
  <c r="F52" i="6"/>
  <c r="F43" i="6"/>
  <c r="F41" i="6"/>
  <c r="F39" i="6"/>
  <c r="F38" i="6"/>
  <c r="F36" i="6"/>
  <c r="F19" i="6"/>
  <c r="F18" i="6"/>
  <c r="B5" i="6"/>
  <c r="B4" i="6"/>
  <c r="B3" i="6"/>
  <c r="F139" i="3" l="1"/>
  <c r="D64" i="5" l="1"/>
  <c r="D79" i="5"/>
  <c r="B5" i="5"/>
  <c r="B4" i="5"/>
  <c r="B3" i="5"/>
  <c r="F135" i="5"/>
  <c r="F133" i="5"/>
  <c r="F127" i="5"/>
  <c r="F126" i="5"/>
  <c r="F116" i="5"/>
  <c r="F115" i="5"/>
  <c r="F114" i="5"/>
  <c r="F111" i="5"/>
  <c r="F108" i="5"/>
  <c r="F106" i="5"/>
  <c r="F82" i="5"/>
  <c r="F79" i="5"/>
  <c r="F81" i="5"/>
  <c r="F72" i="5"/>
  <c r="F70" i="5"/>
  <c r="F69" i="5"/>
  <c r="F64" i="5"/>
  <c r="F67" i="5"/>
  <c r="F58" i="5"/>
  <c r="F57" i="5"/>
  <c r="F55" i="5"/>
  <c r="F54" i="5"/>
  <c r="F53" i="5"/>
  <c r="F52" i="5"/>
  <c r="F43" i="5"/>
  <c r="F41" i="5"/>
  <c r="F39" i="5"/>
  <c r="F38" i="5"/>
  <c r="F36" i="5"/>
  <c r="F19" i="5"/>
  <c r="F18" i="5"/>
  <c r="G122" i="3" l="1"/>
  <c r="G121" i="3"/>
  <c r="G120" i="3"/>
  <c r="G117" i="3"/>
  <c r="H11" i="3" l="1"/>
  <c r="H15" i="3"/>
  <c r="H19" i="3"/>
  <c r="H21" i="3"/>
  <c r="H23" i="3"/>
  <c r="H29" i="3"/>
  <c r="H34" i="3"/>
  <c r="H38" i="3"/>
  <c r="H41" i="3"/>
  <c r="H43" i="3"/>
  <c r="H47" i="3"/>
  <c r="H58" i="3"/>
  <c r="H60" i="3"/>
  <c r="H65" i="3"/>
  <c r="H70" i="3"/>
  <c r="H75" i="3"/>
  <c r="H80" i="3"/>
  <c r="H83" i="3"/>
  <c r="H87" i="3"/>
  <c r="H92" i="3"/>
  <c r="H93" i="3"/>
  <c r="H94" i="3"/>
  <c r="H98" i="3"/>
  <c r="H101" i="3"/>
  <c r="H105" i="3"/>
  <c r="H107" i="3"/>
  <c r="H110" i="3"/>
  <c r="H115" i="3"/>
  <c r="H123" i="3"/>
  <c r="H127" i="3"/>
  <c r="H129" i="3"/>
  <c r="H130" i="3"/>
  <c r="H133" i="3"/>
  <c r="H134" i="3"/>
  <c r="H136" i="3"/>
  <c r="H138" i="3"/>
  <c r="H142" i="3"/>
  <c r="G18" i="3" l="1"/>
  <c r="G17" i="3"/>
  <c r="E130" i="3" l="1"/>
  <c r="G69" i="3" l="1"/>
  <c r="G66" i="3"/>
  <c r="G67" i="3"/>
  <c r="G63" i="3"/>
  <c r="G64" i="3"/>
  <c r="G141" i="3" l="1"/>
  <c r="G139" i="3"/>
  <c r="G132" i="3"/>
  <c r="H132" i="3" s="1"/>
  <c r="G131" i="3"/>
  <c r="H131" i="3" s="1"/>
  <c r="G114" i="3"/>
  <c r="G112" i="3"/>
  <c r="G79" i="3"/>
  <c r="G78" i="3"/>
  <c r="G77" i="3"/>
  <c r="G55" i="3"/>
  <c r="G54" i="3"/>
  <c r="G52" i="3"/>
  <c r="G51" i="3"/>
  <c r="G50" i="3"/>
  <c r="G49" i="3"/>
  <c r="G37" i="3"/>
  <c r="G35" i="3"/>
  <c r="G33" i="3"/>
  <c r="G32" i="3"/>
  <c r="G30" i="3"/>
  <c r="G147" i="3" l="1"/>
  <c r="I130" i="3"/>
  <c r="C147" i="3" l="1"/>
  <c r="C148" i="3" s="1"/>
  <c r="C149" i="3" s="1"/>
  <c r="I93" i="3" l="1"/>
  <c r="E133" i="3" l="1"/>
  <c r="E132" i="3"/>
  <c r="E131" i="3"/>
  <c r="D130" i="3" l="1"/>
  <c r="G156" i="3"/>
  <c r="C7" i="3"/>
  <c r="B7" i="3"/>
  <c r="C6" i="3"/>
  <c r="E6" i="3" s="1"/>
  <c r="F152" i="3" s="1"/>
  <c r="I152" i="3" s="1"/>
  <c r="B6" i="3"/>
  <c r="C5" i="3"/>
  <c r="L133" i="3" s="1"/>
  <c r="B5" i="3"/>
  <c r="B155" i="3" l="1"/>
  <c r="L26" i="3"/>
  <c r="L78" i="3"/>
  <c r="L79" i="3"/>
  <c r="L76" i="3"/>
  <c r="L77" i="3"/>
  <c r="L74" i="3"/>
  <c r="L27" i="3"/>
  <c r="F153" i="3"/>
  <c r="I153" i="3" s="1"/>
  <c r="F154" i="3"/>
  <c r="I154" i="3" s="1"/>
  <c r="F155" i="3"/>
  <c r="I155" i="3" s="1"/>
  <c r="L28" i="3"/>
  <c r="L124" i="3"/>
  <c r="L72" i="3"/>
  <c r="L35" i="3"/>
  <c r="L141" i="3"/>
  <c r="L54" i="3"/>
  <c r="L137" i="3"/>
  <c r="M137" i="3" s="1"/>
  <c r="L16" i="3"/>
  <c r="L56" i="3"/>
  <c r="L119" i="3"/>
  <c r="L71" i="3"/>
  <c r="L32" i="3"/>
  <c r="L10" i="3"/>
  <c r="L50" i="3"/>
  <c r="L102" i="3"/>
  <c r="L145" i="3"/>
  <c r="L12" i="3"/>
  <c r="L52" i="3"/>
  <c r="L103" i="3"/>
  <c r="L13" i="3"/>
  <c r="L106" i="3"/>
  <c r="M106" i="3" s="1"/>
  <c r="L25" i="3"/>
  <c r="L68" i="3"/>
  <c r="L121" i="3"/>
  <c r="L20" i="3"/>
  <c r="M20" i="3" s="1"/>
  <c r="L39" i="3"/>
  <c r="L61" i="3"/>
  <c r="L82" i="3"/>
  <c r="L109" i="3"/>
  <c r="L128" i="3"/>
  <c r="M128" i="3" s="1"/>
  <c r="L17" i="3"/>
  <c r="L36" i="3"/>
  <c r="L59" i="3"/>
  <c r="M59" i="3" s="1"/>
  <c r="L81" i="3"/>
  <c r="L108" i="3"/>
  <c r="L125" i="3"/>
  <c r="L22" i="3"/>
  <c r="M22" i="3" s="1"/>
  <c r="L40" i="3"/>
  <c r="L62" i="3"/>
  <c r="L86" i="3"/>
  <c r="L113" i="3"/>
  <c r="L130" i="3"/>
  <c r="L24" i="3"/>
  <c r="L46" i="3"/>
  <c r="L64" i="3"/>
  <c r="L90" i="3"/>
  <c r="L116" i="3"/>
  <c r="L131" i="3"/>
  <c r="L97" i="3"/>
  <c r="L117" i="3"/>
  <c r="B154" i="3"/>
  <c r="B152" i="3"/>
  <c r="M10" i="3"/>
  <c r="B153" i="3"/>
  <c r="L14" i="3"/>
  <c r="L18" i="3"/>
  <c r="L31" i="3"/>
  <c r="L51" i="3"/>
  <c r="L55" i="3"/>
  <c r="L63" i="3"/>
  <c r="L67" i="3"/>
  <c r="L85" i="3"/>
  <c r="L89" i="3"/>
  <c r="L114" i="3"/>
  <c r="L118" i="3"/>
  <c r="L122" i="3"/>
  <c r="L126" i="3"/>
  <c r="L146" i="3"/>
  <c r="L44" i="3"/>
  <c r="L48" i="3"/>
  <c r="L95" i="3"/>
  <c r="L99" i="3"/>
  <c r="L111" i="3"/>
  <c r="L135" i="3"/>
  <c r="M135" i="3" s="1"/>
  <c r="L139" i="3"/>
  <c r="L143" i="3"/>
  <c r="L33" i="3"/>
  <c r="L45" i="3"/>
  <c r="L53" i="3"/>
  <c r="L57" i="3"/>
  <c r="L69" i="3"/>
  <c r="L73" i="3"/>
  <c r="L91" i="3"/>
  <c r="L96" i="3"/>
  <c r="L100" i="3"/>
  <c r="L104" i="3"/>
  <c r="L112" i="3"/>
  <c r="L120" i="3"/>
  <c r="L132" i="3"/>
  <c r="L140" i="3"/>
  <c r="L144" i="3"/>
  <c r="L37" i="3"/>
  <c r="L49" i="3"/>
  <c r="L30" i="3"/>
  <c r="L42" i="3"/>
  <c r="M42" i="3" s="1"/>
  <c r="L66" i="3"/>
  <c r="L84" i="3"/>
  <c r="L88" i="3"/>
  <c r="L93" i="3"/>
  <c r="M93" i="3" s="1"/>
  <c r="B151" i="3" l="1"/>
  <c r="B156" i="3" s="1"/>
  <c r="F151" i="3"/>
  <c r="L147" i="3"/>
  <c r="M71" i="3"/>
  <c r="M130" i="3"/>
  <c r="M102" i="3"/>
  <c r="M24" i="3"/>
  <c r="M16" i="3"/>
  <c r="M66" i="3"/>
  <c r="M76" i="3"/>
  <c r="M81" i="3"/>
  <c r="M35" i="3"/>
  <c r="M12" i="3"/>
  <c r="M116" i="3"/>
  <c r="M48" i="3"/>
  <c r="M108" i="3"/>
  <c r="M44" i="3"/>
  <c r="M61" i="3"/>
  <c r="M39" i="3"/>
  <c r="M30" i="3"/>
  <c r="M124" i="3"/>
  <c r="M111" i="3"/>
  <c r="M99" i="3"/>
  <c r="M95" i="3"/>
  <c r="M88" i="3"/>
  <c r="M139" i="3"/>
  <c r="M143" i="3"/>
  <c r="M84" i="3"/>
  <c r="L149" i="3" l="1"/>
  <c r="L150" i="3" s="1"/>
  <c r="L151" i="3"/>
  <c r="I151" i="3"/>
  <c r="I156" i="3" s="1"/>
  <c r="F156" i="3"/>
  <c r="E77" i="3"/>
  <c r="E76" i="3"/>
  <c r="M147" i="3"/>
  <c r="L152" i="3" l="1"/>
  <c r="E27" i="3"/>
  <c r="E78" i="3"/>
  <c r="E79" i="3"/>
  <c r="E28" i="3"/>
  <c r="E135" i="3"/>
  <c r="D135" i="3" s="1"/>
  <c r="E26" i="3"/>
  <c r="F145" i="3"/>
  <c r="H145" i="3" s="1"/>
  <c r="E96" i="3"/>
  <c r="E102" i="3"/>
  <c r="E139" i="3"/>
  <c r="E44" i="3"/>
  <c r="E91" i="3"/>
  <c r="E146" i="3"/>
  <c r="E99" i="3"/>
  <c r="E126" i="3"/>
  <c r="E46" i="3"/>
  <c r="E72" i="3"/>
  <c r="E105" i="3"/>
  <c r="E31" i="3"/>
  <c r="E118" i="3"/>
  <c r="E104" i="3"/>
  <c r="E141" i="3"/>
  <c r="E144" i="3"/>
  <c r="E89" i="3"/>
  <c r="E124" i="3"/>
  <c r="E36" i="3"/>
  <c r="E64" i="3"/>
  <c r="E100" i="3"/>
  <c r="E69" i="3"/>
  <c r="E113" i="3"/>
  <c r="E18" i="3"/>
  <c r="E67" i="3"/>
  <c r="E116" i="3"/>
  <c r="E22" i="3"/>
  <c r="D22" i="3" s="1"/>
  <c r="E88" i="3"/>
  <c r="E111" i="3"/>
  <c r="E54" i="3"/>
  <c r="E61" i="3"/>
  <c r="E24" i="3"/>
  <c r="E122" i="3"/>
  <c r="E17" i="3"/>
  <c r="E48" i="3"/>
  <c r="E97" i="3"/>
  <c r="E12" i="3"/>
  <c r="E51" i="3"/>
  <c r="E128" i="3"/>
  <c r="D128" i="3" s="1"/>
  <c r="E81" i="3"/>
  <c r="E86" i="3"/>
  <c r="E40" i="3"/>
  <c r="E114" i="3"/>
  <c r="E68" i="3"/>
  <c r="E109" i="3"/>
  <c r="E63" i="3"/>
  <c r="E50" i="3"/>
  <c r="E14" i="3"/>
  <c r="E59" i="3"/>
  <c r="D59" i="3" s="1"/>
  <c r="E10" i="3"/>
  <c r="D10" i="3" s="1"/>
  <c r="E39" i="3"/>
  <c r="E119" i="3"/>
  <c r="E53" i="3"/>
  <c r="E16" i="3"/>
  <c r="E84" i="3"/>
  <c r="E13" i="3"/>
  <c r="E62" i="3"/>
  <c r="E120" i="3"/>
  <c r="E140" i="3"/>
  <c r="E37" i="3"/>
  <c r="E33" i="3"/>
  <c r="E108" i="3"/>
  <c r="E95" i="3"/>
  <c r="E143" i="3"/>
  <c r="E56" i="3"/>
  <c r="E85" i="3"/>
  <c r="E145" i="3"/>
  <c r="E25" i="3"/>
  <c r="E137" i="3"/>
  <c r="D137" i="3" s="1"/>
  <c r="E52" i="3"/>
  <c r="E90" i="3"/>
  <c r="E125" i="3"/>
  <c r="E106" i="3"/>
  <c r="D106" i="3" s="1"/>
  <c r="E103" i="3"/>
  <c r="E71" i="3"/>
  <c r="E30" i="3"/>
  <c r="E73" i="3"/>
  <c r="E117" i="3"/>
  <c r="E42" i="3"/>
  <c r="D42" i="3" s="1"/>
  <c r="E112" i="3"/>
  <c r="E82" i="3"/>
  <c r="E66" i="3"/>
  <c r="E20" i="3"/>
  <c r="D20" i="3" s="1"/>
  <c r="E74" i="3"/>
  <c r="E35" i="3"/>
  <c r="E121" i="3"/>
  <c r="E45" i="3"/>
  <c r="E49" i="3"/>
  <c r="E32" i="3"/>
  <c r="E55" i="3"/>
  <c r="E57" i="3"/>
  <c r="F76" i="3" l="1"/>
  <c r="H76" i="3" s="1"/>
  <c r="F10" i="3"/>
  <c r="F96" i="3"/>
  <c r="H96" i="3" s="1"/>
  <c r="F128" i="3"/>
  <c r="H128" i="3" s="1"/>
  <c r="F27" i="3"/>
  <c r="H27" i="3" s="1"/>
  <c r="F137" i="3"/>
  <c r="H137" i="3" s="1"/>
  <c r="F12" i="3"/>
  <c r="H12" i="3" s="1"/>
  <c r="D24" i="3"/>
  <c r="D99" i="3"/>
  <c r="D39" i="3"/>
  <c r="D108" i="3"/>
  <c r="D61" i="3"/>
  <c r="D76" i="3"/>
  <c r="D16" i="3"/>
  <c r="D88" i="3"/>
  <c r="D95" i="3"/>
  <c r="F78" i="3"/>
  <c r="H78" i="3" s="1"/>
  <c r="F79" i="3"/>
  <c r="H79" i="3" s="1"/>
  <c r="D35" i="3"/>
  <c r="D30" i="3"/>
  <c r="D143" i="3"/>
  <c r="D48" i="3"/>
  <c r="D71" i="3"/>
  <c r="D116" i="3"/>
  <c r="D12" i="3"/>
  <c r="D81" i="3"/>
  <c r="D84" i="3"/>
  <c r="D66" i="3"/>
  <c r="D44" i="3"/>
  <c r="D111" i="3"/>
  <c r="D124" i="3"/>
  <c r="D139" i="3"/>
  <c r="D102" i="3"/>
  <c r="E147" i="3"/>
  <c r="F57" i="3"/>
  <c r="H57" i="3" s="1"/>
  <c r="F117" i="3"/>
  <c r="H117" i="3" s="1"/>
  <c r="F84" i="3"/>
  <c r="H84" i="3" s="1"/>
  <c r="F121" i="3"/>
  <c r="H121" i="3" s="1"/>
  <c r="F82" i="3"/>
  <c r="H82" i="3" s="1"/>
  <c r="F114" i="3"/>
  <c r="H114" i="3" s="1"/>
  <c r="F26" i="3"/>
  <c r="H26" i="3" s="1"/>
  <c r="F30" i="3"/>
  <c r="H30" i="3" s="1"/>
  <c r="F100" i="3"/>
  <c r="H100" i="3" s="1"/>
  <c r="F73" i="3"/>
  <c r="H73" i="3" s="1"/>
  <c r="H10" i="3"/>
  <c r="F52" i="3"/>
  <c r="H52" i="3" s="1"/>
  <c r="F25" i="3"/>
  <c r="H25" i="3" s="1"/>
  <c r="F144" i="3"/>
  <c r="H144" i="3" s="1"/>
  <c r="F56" i="3"/>
  <c r="H56" i="3" s="1"/>
  <c r="F77" i="3"/>
  <c r="H77" i="3" s="1"/>
  <c r="F125" i="3"/>
  <c r="H125" i="3" s="1"/>
  <c r="F44" i="3"/>
  <c r="H44" i="3" s="1"/>
  <c r="F39" i="3"/>
  <c r="H39" i="3" s="1"/>
  <c r="F63" i="3"/>
  <c r="H63" i="3" s="1"/>
  <c r="F143" i="3"/>
  <c r="H143" i="3" s="1"/>
  <c r="F49" i="3"/>
  <c r="H49" i="3" s="1"/>
  <c r="F88" i="3"/>
  <c r="H88" i="3" s="1"/>
  <c r="F31" i="3"/>
  <c r="H31" i="3" s="1"/>
  <c r="F91" i="3"/>
  <c r="H91" i="3" s="1"/>
  <c r="F141" i="3"/>
  <c r="H141" i="3" s="1"/>
  <c r="F61" i="3"/>
  <c r="H61" i="3" s="1"/>
  <c r="F111" i="3"/>
  <c r="H111" i="3" s="1"/>
  <c r="F54" i="3"/>
  <c r="H54" i="3" s="1"/>
  <c r="F122" i="3"/>
  <c r="H122" i="3" s="1"/>
  <c r="F69" i="3"/>
  <c r="H69" i="3" s="1"/>
  <c r="F36" i="3"/>
  <c r="H36" i="3" s="1"/>
  <c r="F51" i="3"/>
  <c r="H51" i="3" s="1"/>
  <c r="F66" i="3"/>
  <c r="H66" i="3" s="1"/>
  <c r="F40" i="3"/>
  <c r="H40" i="3" s="1"/>
  <c r="F116" i="3"/>
  <c r="H116" i="3" s="1"/>
  <c r="F45" i="3"/>
  <c r="H45" i="3" s="1"/>
  <c r="F85" i="3"/>
  <c r="H85" i="3" s="1"/>
  <c r="F86" i="3"/>
  <c r="H86" i="3" s="1"/>
  <c r="F135" i="3"/>
  <c r="F89" i="3"/>
  <c r="H89" i="3" s="1"/>
  <c r="F113" i="3"/>
  <c r="H113" i="3" s="1"/>
  <c r="F35" i="3"/>
  <c r="H35" i="3" s="1"/>
  <c r="F32" i="3"/>
  <c r="H32" i="3" s="1"/>
  <c r="F118" i="3"/>
  <c r="H118" i="3" s="1"/>
  <c r="F53" i="3"/>
  <c r="H53" i="3" s="1"/>
  <c r="F16" i="3"/>
  <c r="H16" i="3" s="1"/>
  <c r="F64" i="3"/>
  <c r="H64" i="3" s="1"/>
  <c r="F124" i="3"/>
  <c r="H124" i="3" s="1"/>
  <c r="F102" i="3"/>
  <c r="H102" i="3" s="1"/>
  <c r="F119" i="3"/>
  <c r="H119" i="3" s="1"/>
  <c r="F48" i="3"/>
  <c r="H48" i="3" s="1"/>
  <c r="F120" i="3"/>
  <c r="H120" i="3" s="1"/>
  <c r="F22" i="3"/>
  <c r="F14" i="3"/>
  <c r="H14" i="3" s="1"/>
  <c r="F67" i="3"/>
  <c r="H67" i="3" s="1"/>
  <c r="F72" i="3"/>
  <c r="H72" i="3" s="1"/>
  <c r="F20" i="3"/>
  <c r="F109" i="3"/>
  <c r="H109" i="3" s="1"/>
  <c r="F50" i="3"/>
  <c r="H50" i="3" s="1"/>
  <c r="F81" i="3"/>
  <c r="H81" i="3" s="1"/>
  <c r="F24" i="3"/>
  <c r="H24" i="3" s="1"/>
  <c r="F71" i="3"/>
  <c r="H71" i="3" s="1"/>
  <c r="F55" i="3"/>
  <c r="H55" i="3" s="1"/>
  <c r="F97" i="3"/>
  <c r="H97" i="3" s="1"/>
  <c r="H139" i="3"/>
  <c r="F37" i="3"/>
  <c r="H37" i="3" s="1"/>
  <c r="F126" i="3"/>
  <c r="H126" i="3" s="1"/>
  <c r="I128" i="3"/>
  <c r="F59" i="3"/>
  <c r="F112" i="3"/>
  <c r="H112" i="3" s="1"/>
  <c r="F103" i="3"/>
  <c r="H103" i="3" s="1"/>
  <c r="F33" i="3"/>
  <c r="H33" i="3" s="1"/>
  <c r="F90" i="3"/>
  <c r="H90" i="3" s="1"/>
  <c r="F106" i="3"/>
  <c r="F146" i="3"/>
  <c r="H146" i="3" s="1"/>
  <c r="F17" i="3"/>
  <c r="H17" i="3" s="1"/>
  <c r="F104" i="3"/>
  <c r="H104" i="3" s="1"/>
  <c r="F95" i="3"/>
  <c r="H95" i="3" s="1"/>
  <c r="F18" i="3"/>
  <c r="H18" i="3" s="1"/>
  <c r="F62" i="3"/>
  <c r="H62" i="3" s="1"/>
  <c r="F13" i="3"/>
  <c r="H13" i="3" s="1"/>
  <c r="F28" i="3"/>
  <c r="H28" i="3" s="1"/>
  <c r="F140" i="3"/>
  <c r="H140" i="3" s="1"/>
  <c r="F42" i="3"/>
  <c r="F68" i="3"/>
  <c r="H68" i="3" s="1"/>
  <c r="F99" i="3"/>
  <c r="H99" i="3" s="1"/>
  <c r="F108" i="3"/>
  <c r="H108" i="3" s="1"/>
  <c r="F46" i="3"/>
  <c r="H46" i="3" s="1"/>
  <c r="F74" i="3"/>
  <c r="H74" i="3" s="1"/>
  <c r="C5" i="1"/>
  <c r="C6" i="1"/>
  <c r="C7" i="1"/>
  <c r="B7" i="1"/>
  <c r="B6" i="1"/>
  <c r="B5" i="1"/>
  <c r="I20" i="3" l="1"/>
  <c r="H20" i="3"/>
  <c r="I135" i="3"/>
  <c r="H135" i="3"/>
  <c r="I59" i="3"/>
  <c r="H59" i="3"/>
  <c r="I22" i="3"/>
  <c r="H22" i="3"/>
  <c r="I42" i="3"/>
  <c r="H42" i="3"/>
  <c r="I106" i="3"/>
  <c r="H106" i="3"/>
  <c r="I137" i="3"/>
  <c r="I16" i="3"/>
  <c r="I88" i="3"/>
  <c r="I102" i="3"/>
  <c r="I24" i="3"/>
  <c r="I66" i="3"/>
  <c r="I108" i="3"/>
  <c r="I61" i="3"/>
  <c r="F147" i="3"/>
  <c r="F149" i="3" s="1"/>
  <c r="I71" i="3"/>
  <c r="I48" i="3"/>
  <c r="I99" i="3"/>
  <c r="I44" i="3"/>
  <c r="I76" i="3"/>
  <c r="I35" i="3"/>
  <c r="I139" i="3"/>
  <c r="I84" i="3"/>
  <c r="I111" i="3"/>
  <c r="I30" i="3"/>
  <c r="I116" i="3"/>
  <c r="I81" i="3"/>
  <c r="I39" i="3"/>
  <c r="I124" i="3"/>
  <c r="D148" i="3"/>
  <c r="I95" i="3"/>
  <c r="I12" i="3"/>
  <c r="I10" i="3"/>
  <c r="I143" i="3"/>
  <c r="B152" i="1"/>
  <c r="B151" i="1"/>
  <c r="B150" i="1"/>
  <c r="C144" i="1"/>
  <c r="C145" i="1" s="1"/>
  <c r="B149" i="1"/>
  <c r="I147" i="3" l="1"/>
  <c r="B148" i="1"/>
  <c r="H140" i="1"/>
  <c r="H136" i="1"/>
  <c r="H134" i="1"/>
  <c r="I134" i="1" s="1"/>
  <c r="H132" i="1"/>
  <c r="I132" i="1" s="1"/>
  <c r="H123" i="1"/>
  <c r="H127" i="1"/>
  <c r="H122" i="1"/>
  <c r="H118" i="1"/>
  <c r="H116" i="1"/>
  <c r="H32" i="1"/>
  <c r="H36" i="1"/>
  <c r="H44" i="1"/>
  <c r="H48" i="1"/>
  <c r="H52" i="1"/>
  <c r="H56" i="1"/>
  <c r="H68" i="1"/>
  <c r="H72" i="1"/>
  <c r="H76" i="1"/>
  <c r="H88" i="1"/>
  <c r="H93" i="1"/>
  <c r="H97" i="1"/>
  <c r="H101" i="1"/>
  <c r="H109" i="1"/>
  <c r="H119" i="1"/>
  <c r="H13" i="1"/>
  <c r="H17" i="1"/>
  <c r="H25" i="1"/>
  <c r="H45" i="1"/>
  <c r="H49" i="1"/>
  <c r="H53" i="1"/>
  <c r="H61" i="1"/>
  <c r="H73" i="1"/>
  <c r="H94" i="1"/>
  <c r="H106" i="1"/>
  <c r="H110" i="1"/>
  <c r="H114" i="1"/>
  <c r="H14" i="1"/>
  <c r="H18" i="1"/>
  <c r="H26" i="1"/>
  <c r="H30" i="1"/>
  <c r="H50" i="1"/>
  <c r="H54" i="1"/>
  <c r="H62" i="1"/>
  <c r="H66" i="1"/>
  <c r="H82" i="1"/>
  <c r="H86" i="1"/>
  <c r="H111" i="1"/>
  <c r="H115" i="1"/>
  <c r="H142" i="1"/>
  <c r="H27" i="1"/>
  <c r="H31" i="1"/>
  <c r="H35" i="1"/>
  <c r="H39" i="1"/>
  <c r="H51" i="1"/>
  <c r="H55" i="1"/>
  <c r="H63" i="1"/>
  <c r="H67" i="1"/>
  <c r="H71" i="1"/>
  <c r="H79" i="1"/>
  <c r="H83" i="1"/>
  <c r="H87" i="1"/>
  <c r="H100" i="1"/>
  <c r="H117" i="1"/>
  <c r="H10" i="1"/>
  <c r="H12" i="1"/>
  <c r="H16" i="1"/>
  <c r="H20" i="1"/>
  <c r="I20" i="1" s="1"/>
  <c r="H22" i="1"/>
  <c r="I22" i="1" s="1"/>
  <c r="H24" i="1"/>
  <c r="H34" i="1"/>
  <c r="H38" i="1"/>
  <c r="H58" i="1"/>
  <c r="I58" i="1" s="1"/>
  <c r="H60" i="1"/>
  <c r="H70" i="1"/>
  <c r="H78" i="1"/>
  <c r="H99" i="1"/>
  <c r="H103" i="1"/>
  <c r="I103" i="1" s="1"/>
  <c r="H105" i="1"/>
  <c r="H113" i="1"/>
  <c r="H121" i="1"/>
  <c r="H125" i="1"/>
  <c r="I125" i="1" s="1"/>
  <c r="H129" i="1"/>
  <c r="H137" i="1"/>
  <c r="H141" i="1"/>
  <c r="H143" i="1"/>
  <c r="H29" i="1"/>
  <c r="H41" i="1"/>
  <c r="I41" i="1" s="1"/>
  <c r="H43" i="1"/>
  <c r="H47" i="1"/>
  <c r="H65" i="1"/>
  <c r="H75" i="1"/>
  <c r="H81" i="1"/>
  <c r="H85" i="1"/>
  <c r="H90" i="1"/>
  <c r="I90" i="1" s="1"/>
  <c r="H92" i="1"/>
  <c r="H96" i="1"/>
  <c r="H108" i="1"/>
  <c r="H128" i="1"/>
  <c r="H130" i="1"/>
  <c r="H138" i="1"/>
  <c r="I38" i="1" l="1"/>
  <c r="I121" i="1"/>
  <c r="I78" i="1"/>
  <c r="I81" i="1"/>
  <c r="I43" i="1"/>
  <c r="I96" i="1"/>
  <c r="I34" i="1"/>
  <c r="I105" i="1"/>
  <c r="I29" i="1"/>
  <c r="I99" i="1"/>
  <c r="I65" i="1"/>
  <c r="I70" i="1"/>
  <c r="I16" i="1"/>
  <c r="I108" i="1"/>
  <c r="I12" i="1"/>
  <c r="H144" i="1"/>
  <c r="H146" i="1" s="1"/>
  <c r="I10" i="1"/>
  <c r="I92" i="1"/>
  <c r="I75" i="1"/>
  <c r="I113" i="1"/>
  <c r="I127" i="1"/>
  <c r="I136" i="1"/>
  <c r="I85" i="1"/>
  <c r="I47" i="1"/>
  <c r="I60" i="1"/>
  <c r="I24" i="1"/>
  <c r="I140" i="1"/>
  <c r="E128" i="1" l="1"/>
  <c r="E127" i="1"/>
  <c r="E130" i="1"/>
  <c r="E129" i="1"/>
  <c r="I144" i="1"/>
  <c r="D127" i="1" l="1"/>
  <c r="E122" i="1"/>
  <c r="E110" i="1"/>
  <c r="E87" i="1"/>
  <c r="E71" i="1"/>
  <c r="E55" i="1"/>
  <c r="E45" i="1"/>
  <c r="E27" i="1"/>
  <c r="E142" i="1"/>
  <c r="E134" i="1"/>
  <c r="D134" i="1" s="1"/>
  <c r="E117" i="1"/>
  <c r="E101" i="1"/>
  <c r="E86" i="1"/>
  <c r="E68" i="1"/>
  <c r="E54" i="1"/>
  <c r="E44" i="1"/>
  <c r="E26" i="1"/>
  <c r="E141" i="1"/>
  <c r="E113" i="1"/>
  <c r="E20" i="1"/>
  <c r="D20" i="1" s="1"/>
  <c r="E96" i="1"/>
  <c r="E43" i="1"/>
  <c r="E70" i="1"/>
  <c r="E22" i="1"/>
  <c r="D22" i="1" s="1"/>
  <c r="E65" i="1"/>
  <c r="E118" i="1"/>
  <c r="E106" i="1"/>
  <c r="E83" i="1"/>
  <c r="E67" i="1"/>
  <c r="E53" i="1"/>
  <c r="E39" i="1"/>
  <c r="E25" i="1"/>
  <c r="E138" i="1"/>
  <c r="E132" i="1"/>
  <c r="D132" i="1" s="1"/>
  <c r="E115" i="1"/>
  <c r="E97" i="1"/>
  <c r="E82" i="1"/>
  <c r="E66" i="1"/>
  <c r="E52" i="1"/>
  <c r="E36" i="1"/>
  <c r="E18" i="1"/>
  <c r="E137" i="1"/>
  <c r="E105" i="1"/>
  <c r="D105" i="1" s="1"/>
  <c r="E16" i="1"/>
  <c r="E92" i="1"/>
  <c r="E103" i="1"/>
  <c r="D103" i="1" s="1"/>
  <c r="E58" i="1"/>
  <c r="D58" i="1" s="1"/>
  <c r="E41" i="1"/>
  <c r="D41" i="1" s="1"/>
  <c r="E116" i="1"/>
  <c r="E100" i="1"/>
  <c r="E79" i="1"/>
  <c r="E63" i="1"/>
  <c r="E51" i="1"/>
  <c r="E35" i="1"/>
  <c r="E17" i="1"/>
  <c r="E140" i="1"/>
  <c r="E123" i="1"/>
  <c r="E111" i="1"/>
  <c r="E93" i="1"/>
  <c r="E76" i="1"/>
  <c r="E62" i="1"/>
  <c r="E50" i="1"/>
  <c r="E32" i="1"/>
  <c r="E14" i="1"/>
  <c r="E125" i="1"/>
  <c r="D125" i="1" s="1"/>
  <c r="E60" i="1"/>
  <c r="E12" i="1"/>
  <c r="E75" i="1"/>
  <c r="D75" i="1" s="1"/>
  <c r="E99" i="1"/>
  <c r="E38" i="1"/>
  <c r="E85" i="1"/>
  <c r="E29" i="1"/>
  <c r="E114" i="1"/>
  <c r="E94" i="1"/>
  <c r="E73" i="1"/>
  <c r="E61" i="1"/>
  <c r="E49" i="1"/>
  <c r="E31" i="1"/>
  <c r="E13" i="1"/>
  <c r="E136" i="1"/>
  <c r="E119" i="1"/>
  <c r="E109" i="1"/>
  <c r="E88" i="1"/>
  <c r="E72" i="1"/>
  <c r="E56" i="1"/>
  <c r="E48" i="1"/>
  <c r="E30" i="1"/>
  <c r="E143" i="1"/>
  <c r="E121" i="1"/>
  <c r="E24" i="1"/>
  <c r="E108" i="1"/>
  <c r="E47" i="1"/>
  <c r="E78" i="1"/>
  <c r="E34" i="1"/>
  <c r="E81" i="1"/>
  <c r="E10" i="1"/>
  <c r="D81" i="1" l="1"/>
  <c r="D78" i="1"/>
  <c r="D96" i="1"/>
  <c r="D121" i="1"/>
  <c r="D99" i="1"/>
  <c r="D34" i="1"/>
  <c r="D108" i="1"/>
  <c r="D92" i="1"/>
  <c r="D65" i="1"/>
  <c r="E144" i="1"/>
  <c r="D10" i="1"/>
  <c r="D47" i="1"/>
  <c r="D136" i="1"/>
  <c r="D29" i="1"/>
  <c r="D140" i="1"/>
  <c r="D16" i="1"/>
  <c r="D85" i="1"/>
  <c r="D12" i="1"/>
  <c r="D70" i="1"/>
  <c r="D113" i="1"/>
  <c r="D24" i="1"/>
  <c r="D38" i="1"/>
  <c r="D60" i="1"/>
  <c r="D43" i="1"/>
  <c r="D145" i="1" l="1"/>
  <c r="B153" i="1" l="1"/>
</calcChain>
</file>

<file path=xl/comments1.xml><?xml version="1.0" encoding="utf-8"?>
<comments xmlns="http://schemas.openxmlformats.org/spreadsheetml/2006/main">
  <authors>
    <author>Elliott, Natasha J</author>
  </authors>
  <commentList>
    <comment ref="G35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CAO still owes $163 back so this is reduced from Buncombe Cty as well as the admin support amt of $20,962 as they did not break out the county allocation for the admin support</t>
        </r>
      </text>
    </comment>
    <comment ref="G39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Includes $80,656 in funds paid back after June 2016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Includes $4,806.70 in funds paid back after June 2016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Includes $22,846 in funds paid back after June 2016</t>
        </r>
      </text>
    </comment>
    <comment ref="G66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Includes $65,090.86 in funds owed to be paid back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Includes $29,676 in funds paid back after June 2016</t>
        </r>
      </text>
    </comment>
    <comment ref="G147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includes total of $215,004.31 in funds paid back or to be paid back</t>
        </r>
      </text>
    </comment>
    <comment ref="C149" authorId="0" shapeId="0">
      <text>
        <r>
          <rPr>
            <b/>
            <sz val="8"/>
            <color indexed="81"/>
            <rFont val="Tahoma"/>
            <charset val="1"/>
          </rPr>
          <t>Elliott, Natasha J:</t>
        </r>
        <r>
          <rPr>
            <sz val="8"/>
            <color indexed="81"/>
            <rFont val="Tahoma"/>
            <charset val="1"/>
          </rPr>
          <t xml:space="preserve">
Does not include # of poor for WAMY and MPP</t>
        </r>
      </text>
    </comment>
    <comment ref="G152" authorId="0" shapeId="0">
      <text>
        <r>
          <rPr>
            <b/>
            <sz val="8"/>
            <color indexed="81"/>
            <rFont val="Tahoma"/>
            <family val="2"/>
          </rPr>
          <t>Elliott, Natasha J:</t>
        </r>
        <r>
          <rPr>
            <sz val="8"/>
            <color indexed="81"/>
            <rFont val="Tahoma"/>
            <family val="2"/>
          </rPr>
          <t xml:space="preserve">
Includes $11,928.75 in funds paid back after June 2016</t>
        </r>
      </text>
    </comment>
    <comment ref="L152" authorId="0" shapeId="0">
      <text>
        <r>
          <rPr>
            <b/>
            <sz val="8"/>
            <color indexed="81"/>
            <rFont val="Tahoma"/>
            <charset val="1"/>
          </rPr>
          <t>Elliott, Natasha J:</t>
        </r>
        <r>
          <rPr>
            <sz val="8"/>
            <color indexed="81"/>
            <rFont val="Tahoma"/>
            <charset val="1"/>
          </rPr>
          <t xml:space="preserve">
This number does not include the allocation amounts for MPP and WAMY or the carry of $4,186,149 forward</t>
        </r>
      </text>
    </comment>
  </commentList>
</comments>
</file>

<file path=xl/sharedStrings.xml><?xml version="1.0" encoding="utf-8"?>
<sst xmlns="http://schemas.openxmlformats.org/spreadsheetml/2006/main" count="650" uniqueCount="182">
  <si>
    <t xml:space="preserve">N.C. FY 2016-2017 Community Services Block Grant Final Allocations </t>
  </si>
  <si>
    <t xml:space="preserve">                                     Distribution </t>
  </si>
  <si>
    <t>90% eligible entity                                   $21,408,612</t>
  </si>
  <si>
    <t>5% descretionary                                     $1,189,367</t>
  </si>
  <si>
    <t>5% administrative                                    $1,189,367</t>
  </si>
  <si>
    <t xml:space="preserve">Community Action Agency </t>
  </si>
  <si>
    <t>County</t>
  </si>
  <si>
    <t>$120,000 minimum</t>
  </si>
  <si>
    <t>Minimum Allocation           (80% of FY 1982 Allocation)</t>
  </si>
  <si>
    <t>County Allocation with no special conditions</t>
  </si>
  <si>
    <t>Agecny Allocations with no special conditions</t>
  </si>
  <si>
    <t>Alamance County Community Services Agency, Inc.</t>
  </si>
  <si>
    <t xml:space="preserve">Alamance </t>
  </si>
  <si>
    <t>Blue Ridge Community Action, Inc.</t>
  </si>
  <si>
    <t xml:space="preserve">Burke </t>
  </si>
  <si>
    <t xml:space="preserve">Caldwell </t>
  </si>
  <si>
    <t xml:space="preserve">Rutherford </t>
  </si>
  <si>
    <t>Blue Ridge Opportunity Commission, Inc.</t>
  </si>
  <si>
    <t xml:space="preserve">Alleghany </t>
  </si>
  <si>
    <t xml:space="preserve">Ashe </t>
  </si>
  <si>
    <t xml:space="preserve">Wilkes </t>
  </si>
  <si>
    <t>Catawba County Department of Social Services</t>
  </si>
  <si>
    <t xml:space="preserve">Catawba </t>
  </si>
  <si>
    <t>Charlotte Area Fund</t>
  </si>
  <si>
    <t>Mecklenburg</t>
  </si>
  <si>
    <t>Choanoke Area Development Association, Inc.</t>
  </si>
  <si>
    <t xml:space="preserve">Bertie </t>
  </si>
  <si>
    <t xml:space="preserve">Halifax </t>
  </si>
  <si>
    <t xml:space="preserve">Hertford </t>
  </si>
  <si>
    <t>Northampton</t>
  </si>
  <si>
    <t>Coastal Community Action, Inc.</t>
  </si>
  <si>
    <t xml:space="preserve">Carteret </t>
  </si>
  <si>
    <t>Craven</t>
  </si>
  <si>
    <t xml:space="preserve">Jones </t>
  </si>
  <si>
    <t xml:space="preserve">Pamlico </t>
  </si>
  <si>
    <t>Community Action Opportunities, Inc.</t>
  </si>
  <si>
    <t xml:space="preserve">Buncombe </t>
  </si>
  <si>
    <t xml:space="preserve">Madison </t>
  </si>
  <si>
    <t xml:space="preserve">McDowell </t>
  </si>
  <si>
    <t xml:space="preserve">Cumberland </t>
  </si>
  <si>
    <t xml:space="preserve">Sampson </t>
  </si>
  <si>
    <t>Davidson County Community Action, Inc.</t>
  </si>
  <si>
    <t xml:space="preserve">Davidson </t>
  </si>
  <si>
    <t>Eastern Carolina Human Services Agency, Inc.</t>
  </si>
  <si>
    <t xml:space="preserve">Duplin </t>
  </si>
  <si>
    <t xml:space="preserve">New Hanover </t>
  </si>
  <si>
    <t xml:space="preserve">Onslow </t>
  </si>
  <si>
    <t>Economic Improvement Council, Inc.</t>
  </si>
  <si>
    <t xml:space="preserve">Camden </t>
  </si>
  <si>
    <t xml:space="preserve">Chowan </t>
  </si>
  <si>
    <t xml:space="preserve">Currituck </t>
  </si>
  <si>
    <t xml:space="preserve">Dare </t>
  </si>
  <si>
    <t xml:space="preserve">Gates </t>
  </si>
  <si>
    <t xml:space="preserve">Hyde </t>
  </si>
  <si>
    <t>Pasquotank</t>
  </si>
  <si>
    <t xml:space="preserve">Perquimans </t>
  </si>
  <si>
    <t xml:space="preserve">Tyrrell </t>
  </si>
  <si>
    <t xml:space="preserve">Washington </t>
  </si>
  <si>
    <t>Experiment in Self-Reliance, Inc.</t>
  </si>
  <si>
    <t xml:space="preserve">Forsyth </t>
  </si>
  <si>
    <t>Four Square Community Action, Inc.</t>
  </si>
  <si>
    <t xml:space="preserve">Clay </t>
  </si>
  <si>
    <t xml:space="preserve">Graham </t>
  </si>
  <si>
    <t xml:space="preserve">Swain </t>
  </si>
  <si>
    <t xml:space="preserve">Cherokee </t>
  </si>
  <si>
    <t>Franklin-Vance-Warren Opportunity, Inc.</t>
  </si>
  <si>
    <t xml:space="preserve">Franklin </t>
  </si>
  <si>
    <t xml:space="preserve">Granville </t>
  </si>
  <si>
    <t xml:space="preserve">Vance </t>
  </si>
  <si>
    <t>Warren</t>
  </si>
  <si>
    <t>Gaston Community Action, Inc.</t>
  </si>
  <si>
    <t xml:space="preserve">Cleveland </t>
  </si>
  <si>
    <t xml:space="preserve">Gaston </t>
  </si>
  <si>
    <t xml:space="preserve">Lincoln </t>
  </si>
  <si>
    <t xml:space="preserve">Stanly </t>
  </si>
  <si>
    <t>Greene Lamp, Inc.</t>
  </si>
  <si>
    <t xml:space="preserve">Greene </t>
  </si>
  <si>
    <t xml:space="preserve">Lenoir </t>
  </si>
  <si>
    <t>ICARE, Inc.</t>
  </si>
  <si>
    <t>Alexander</t>
  </si>
  <si>
    <t xml:space="preserve">Iredell </t>
  </si>
  <si>
    <t>Johnston-Lee-Harnett Community Action, Inc.</t>
  </si>
  <si>
    <t xml:space="preserve">Harnett </t>
  </si>
  <si>
    <t xml:space="preserve">Johnston </t>
  </si>
  <si>
    <t xml:space="preserve">Lee </t>
  </si>
  <si>
    <t>Joint Orange-Chatham Community Action, Inc.</t>
  </si>
  <si>
    <t xml:space="preserve">Chatham </t>
  </si>
  <si>
    <t>Durham</t>
  </si>
  <si>
    <t xml:space="preserve">Orange </t>
  </si>
  <si>
    <t xml:space="preserve">Randolph </t>
  </si>
  <si>
    <r>
      <t xml:space="preserve">Macon Program for Progress </t>
    </r>
    <r>
      <rPr>
        <b/>
        <sz val="8"/>
        <color indexed="10"/>
        <rFont val="Calibri"/>
        <family val="2"/>
        <scheme val="minor"/>
      </rPr>
      <t>*</t>
    </r>
  </si>
  <si>
    <t>Macon</t>
  </si>
  <si>
    <t>Martin County Community Action, Inc.</t>
  </si>
  <si>
    <t xml:space="preserve">Beaufort </t>
  </si>
  <si>
    <t xml:space="preserve">Martin </t>
  </si>
  <si>
    <t xml:space="preserve">Pitt </t>
  </si>
  <si>
    <t>Mountain Projects, Inc.</t>
  </si>
  <si>
    <t xml:space="preserve">Haywood </t>
  </si>
  <si>
    <t xml:space="preserve">Jackson </t>
  </si>
  <si>
    <t>Nash-Edgecombe Economic Development, Inc.</t>
  </si>
  <si>
    <t xml:space="preserve">Edgecombe </t>
  </si>
  <si>
    <t xml:space="preserve">Nash </t>
  </si>
  <si>
    <t xml:space="preserve">Wilson </t>
  </si>
  <si>
    <t>Passage Home</t>
  </si>
  <si>
    <t xml:space="preserve">Wake </t>
  </si>
  <si>
    <t>Salisbury-Rowan Community Action Agency, Inc.</t>
  </si>
  <si>
    <t xml:space="preserve">Cabarrus </t>
  </si>
  <si>
    <t xml:space="preserve">Rowan </t>
  </si>
  <si>
    <t>Sandhills Community Action Program, Inc.</t>
  </si>
  <si>
    <t xml:space="preserve">Anson </t>
  </si>
  <si>
    <t xml:space="preserve">Montgomery </t>
  </si>
  <si>
    <t>Moore</t>
  </si>
  <si>
    <t xml:space="preserve">Richmond </t>
  </si>
  <si>
    <t>Southeastern Community &amp; Family Services, Inc.</t>
  </si>
  <si>
    <t xml:space="preserve">Bladen </t>
  </si>
  <si>
    <t xml:space="preserve">Brunswick </t>
  </si>
  <si>
    <t xml:space="preserve">Columbus </t>
  </si>
  <si>
    <t>Hoke</t>
  </si>
  <si>
    <t xml:space="preserve">Pender </t>
  </si>
  <si>
    <t xml:space="preserve">Robeson </t>
  </si>
  <si>
    <t xml:space="preserve">Scotland </t>
  </si>
  <si>
    <t xml:space="preserve">Telamon Corporation </t>
  </si>
  <si>
    <t>Caswell</t>
  </si>
  <si>
    <t>Person</t>
  </si>
  <si>
    <t>Rockingham</t>
  </si>
  <si>
    <t>Union County Community Action, Inc.</t>
  </si>
  <si>
    <t xml:space="preserve">Union </t>
  </si>
  <si>
    <t xml:space="preserve">Mitchell </t>
  </si>
  <si>
    <t xml:space="preserve">Watauga </t>
  </si>
  <si>
    <t xml:space="preserve">Yancey </t>
  </si>
  <si>
    <t xml:space="preserve">Avery </t>
  </si>
  <si>
    <t>Wayne Action Group for Economic Solvency, Inc.</t>
  </si>
  <si>
    <t xml:space="preserve">Wayne </t>
  </si>
  <si>
    <t>Welfare Reform Liaison Project, Inc.</t>
  </si>
  <si>
    <t xml:space="preserve">Guilford </t>
  </si>
  <si>
    <t>Western Carolina Community Action, Inc.</t>
  </si>
  <si>
    <t>Henderson</t>
  </si>
  <si>
    <t xml:space="preserve">Polk </t>
  </si>
  <si>
    <t xml:space="preserve">Transylvania </t>
  </si>
  <si>
    <t>Yadkin Valley Economic Development District, Inc.</t>
  </si>
  <si>
    <t xml:space="preserve">Davie </t>
  </si>
  <si>
    <t xml:space="preserve">Stokes </t>
  </si>
  <si>
    <t xml:space="preserve">Surry </t>
  </si>
  <si>
    <t xml:space="preserve">Yadkin </t>
  </si>
  <si>
    <t>DISCRETIONARY/                                       LIMITED PURPOSE AGENCIES</t>
  </si>
  <si>
    <t>Discretionary</t>
  </si>
  <si>
    <t>Western Economic Development Organization, Inc.</t>
  </si>
  <si>
    <t>The Affordable Housing Group, Inc.</t>
  </si>
  <si>
    <t>Telamon Corporation</t>
  </si>
  <si>
    <t>N.C. Commission of Indian Affairs</t>
  </si>
  <si>
    <t xml:space="preserve">Total </t>
  </si>
  <si>
    <t>Action Pathways, Inc. dba CCAP</t>
  </si>
  <si>
    <t>SFY 207-18 Allocation                             $23,787,347</t>
  </si>
  <si>
    <t>Poor by County  SAIPE (2014)</t>
  </si>
  <si>
    <t>FY 2017-18 CSBG Agency Allocation</t>
  </si>
  <si>
    <t>FY 2017-18  CSBG County Allocation</t>
  </si>
  <si>
    <t>SFY 2017-18 Allocation</t>
  </si>
  <si>
    <t>WAMY Community Action, Inc.</t>
  </si>
  <si>
    <t>Central Piedmont Community Action, Inc.</t>
  </si>
  <si>
    <t>FY 2017-18 Allocation Based on Amt w/carry forward backed out</t>
  </si>
  <si>
    <t xml:space="preserve">FY 15-16 Carry Forward </t>
  </si>
  <si>
    <t>FY 2017-18 Allocation including carry forward</t>
  </si>
  <si>
    <t>Martin</t>
  </si>
  <si>
    <t xml:space="preserve">SFY 2017-18 Allocation                       </t>
  </si>
  <si>
    <t xml:space="preserve">90% eligible entity                            </t>
  </si>
  <si>
    <t xml:space="preserve">5% descretionary                                   </t>
  </si>
  <si>
    <t xml:space="preserve">5% administrative                                  </t>
  </si>
  <si>
    <t>Alamance County Community Services Agency</t>
  </si>
  <si>
    <t>Western Economic Development Organization</t>
  </si>
  <si>
    <t>The Affordable Housing Group</t>
  </si>
  <si>
    <t>-</t>
  </si>
  <si>
    <t xml:space="preserve">FY 2017-18 County Base Allocation </t>
  </si>
  <si>
    <t>FY 2017-18 County Allocation including carry forward</t>
  </si>
  <si>
    <t xml:space="preserve">Action Pathways, Inc. </t>
  </si>
  <si>
    <t xml:space="preserve">County Carry Forward </t>
  </si>
  <si>
    <t xml:space="preserve">N.C. FY 2017-2018Community Services Block Grant Final Allocations </t>
  </si>
  <si>
    <t xml:space="preserve"> County Allocation Including Carry Forward</t>
  </si>
  <si>
    <t>Agency Allocation Including Carry Forward</t>
  </si>
  <si>
    <t xml:space="preserve"> Carry Forward </t>
  </si>
  <si>
    <t xml:space="preserve"> Base Allocation</t>
  </si>
  <si>
    <t xml:space="preserve"> Allocation including carry forward</t>
  </si>
  <si>
    <t xml:space="preserve">Four Square Community Action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</si>
</sst>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00000_);[Red]\(&quot;$&quot;#,##0.00000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Lucida Sans"/>
      <family val="2"/>
    </font>
    <font>
      <sz val="8"/>
      <color theme="1"/>
      <name val="Lucida Sans"/>
      <family val="2"/>
    </font>
    <font>
      <sz val="8"/>
      <color theme="0"/>
      <name val="Lucida Sans"/>
      <family val="2"/>
    </font>
    <font>
      <sz val="8"/>
      <color rgb="FF1F497D"/>
      <name val="Lucida Sans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indexed="10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  <scheme val="minor"/>
    </font>
    <font>
      <b/>
      <sz val="8"/>
      <name val="Lucida Sans"/>
      <family val="2"/>
    </font>
    <font>
      <sz val="10"/>
      <name val="Arial"/>
      <family val="2"/>
    </font>
    <font>
      <sz val="8"/>
      <name val="Lucida Sans"/>
      <family val="2"/>
    </font>
    <font>
      <b/>
      <sz val="10"/>
      <color theme="1"/>
      <name val="Lucida Sans"/>
      <family val="2"/>
    </font>
    <font>
      <sz val="8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/>
    <xf numFmtId="0" fontId="0" fillId="2" borderId="0" xfId="0" applyFont="1" applyFill="1" applyAlignment="1">
      <alignment horizontal="center" vertical="center"/>
    </xf>
    <xf numFmtId="6" fontId="0" fillId="0" borderId="0" xfId="0" applyNumberFormat="1" applyFont="1" applyAlignment="1">
      <alignment horizontal="center" vertical="center"/>
    </xf>
    <xf numFmtId="6" fontId="0" fillId="0" borderId="0" xfId="0" applyNumberFormat="1" applyFont="1"/>
    <xf numFmtId="164" fontId="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6" fontId="5" fillId="0" borderId="0" xfId="0" applyNumberFormat="1" applyFont="1"/>
    <xf numFmtId="164" fontId="7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8" fontId="6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 applyProtection="1">
      <alignment horizontal="left" vertical="top"/>
      <protection locked="0"/>
    </xf>
    <xf numFmtId="3" fontId="9" fillId="0" borderId="1" xfId="0" applyNumberFormat="1" applyFont="1" applyBorder="1" applyAlignment="1">
      <alignment horizontal="left" wrapText="1"/>
    </xf>
    <xf numFmtId="164" fontId="10" fillId="2" borderId="1" xfId="0" applyNumberFormat="1" applyFont="1" applyFill="1" applyBorder="1" applyAlignment="1">
      <alignment horizontal="center" vertical="center"/>
    </xf>
    <xf numFmtId="6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4" fontId="11" fillId="0" borderId="1" xfId="0" applyNumberFormat="1" applyFont="1" applyBorder="1" applyAlignment="1">
      <alignment horizontal="center"/>
    </xf>
    <xf numFmtId="6" fontId="12" fillId="0" borderId="1" xfId="0" applyNumberFormat="1" applyFont="1" applyBorder="1"/>
    <xf numFmtId="164" fontId="9" fillId="0" borderId="1" xfId="0" applyNumberFormat="1" applyFont="1" applyBorder="1" applyAlignment="1">
      <alignment horizontal="center" wrapText="1"/>
    </xf>
    <xf numFmtId="3" fontId="8" fillId="3" borderId="1" xfId="0" applyNumberFormat="1" applyFont="1" applyFill="1" applyBorder="1" applyAlignment="1" applyProtection="1">
      <alignment horizontal="left" vertical="top"/>
      <protection locked="0"/>
    </xf>
    <xf numFmtId="3" fontId="9" fillId="3" borderId="1" xfId="0" applyNumberFormat="1" applyFont="1" applyFill="1" applyBorder="1" applyAlignment="1">
      <alignment horizontal="left" wrapText="1"/>
    </xf>
    <xf numFmtId="3" fontId="9" fillId="3" borderId="1" xfId="0" applyNumberFormat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vertical="center"/>
    </xf>
    <xf numFmtId="6" fontId="10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164" fontId="11" fillId="3" borderId="1" xfId="0" applyNumberFormat="1" applyFont="1" applyFill="1" applyBorder="1" applyAlignment="1">
      <alignment horizontal="center"/>
    </xf>
    <xf numFmtId="6" fontId="12" fillId="3" borderId="1" xfId="0" applyNumberFormat="1" applyFont="1" applyFill="1" applyBorder="1"/>
    <xf numFmtId="164" fontId="9" fillId="3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/>
    <xf numFmtId="164" fontId="1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 applyProtection="1">
      <alignment horizontal="left" vertical="top"/>
      <protection locked="0"/>
    </xf>
    <xf numFmtId="164" fontId="14" fillId="2" borderId="1" xfId="1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/>
    <xf numFmtId="3" fontId="9" fillId="2" borderId="1" xfId="0" applyNumberFormat="1" applyFont="1" applyFill="1" applyBorder="1" applyAlignment="1">
      <alignment horizontal="left" wrapText="1"/>
    </xf>
    <xf numFmtId="6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6" fontId="1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 wrapText="1"/>
    </xf>
    <xf numFmtId="3" fontId="15" fillId="2" borderId="1" xfId="0" applyNumberFormat="1" applyFont="1" applyFill="1" applyBorder="1" applyAlignment="1" applyProtection="1">
      <alignment horizontal="left" vertical="top"/>
      <protection locked="0"/>
    </xf>
    <xf numFmtId="3" fontId="15" fillId="0" borderId="1" xfId="0" applyNumberFormat="1" applyFont="1" applyBorder="1" applyAlignment="1" applyProtection="1">
      <alignment horizontal="left" vertical="top"/>
      <protection locked="0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5" fontId="16" fillId="2" borderId="1" xfId="0" applyNumberFormat="1" applyFont="1" applyFill="1" applyBorder="1" applyAlignment="1" applyProtection="1">
      <alignment horizontal="center" vertical="top"/>
      <protection locked="0"/>
    </xf>
    <xf numFmtId="5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6" fontId="0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6" fontId="5" fillId="0" borderId="0" xfId="0" applyNumberFormat="1" applyFont="1" applyBorder="1" applyAlignment="1">
      <alignment horizontal="center" vertical="center"/>
    </xf>
    <xf numFmtId="0" fontId="3" fillId="0" borderId="0" xfId="0" applyFont="1"/>
    <xf numFmtId="8" fontId="18" fillId="0" borderId="0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165" fontId="19" fillId="0" borderId="0" xfId="1" applyNumberFormat="1" applyFont="1"/>
    <xf numFmtId="165" fontId="19" fillId="0" borderId="0" xfId="1" applyNumberFormat="1" applyFont="1" applyBorder="1"/>
    <xf numFmtId="0" fontId="20" fillId="0" borderId="0" xfId="0" applyFont="1"/>
    <xf numFmtId="0" fontId="18" fillId="0" borderId="0" xfId="0" applyFont="1"/>
    <xf numFmtId="0" fontId="18" fillId="2" borderId="0" xfId="0" applyFont="1" applyFill="1" applyAlignment="1">
      <alignment horizontal="center" vertical="center"/>
    </xf>
    <xf numFmtId="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6" fontId="18" fillId="0" borderId="0" xfId="0" applyNumberFormat="1" applyFont="1"/>
    <xf numFmtId="164" fontId="18" fillId="0" borderId="0" xfId="0" applyNumberFormat="1" applyFont="1" applyAlignment="1">
      <alignment horizontal="center"/>
    </xf>
    <xf numFmtId="164" fontId="18" fillId="2" borderId="0" xfId="0" applyNumberFormat="1" applyFont="1" applyFill="1" applyAlignment="1">
      <alignment horizontal="center" vertical="center"/>
    </xf>
    <xf numFmtId="6" fontId="18" fillId="2" borderId="0" xfId="0" applyNumberFormat="1" applyFont="1" applyFill="1"/>
    <xf numFmtId="3" fontId="17" fillId="2" borderId="1" xfId="0" applyNumberFormat="1" applyFont="1" applyFill="1" applyBorder="1" applyAlignment="1">
      <alignment horizontal="right" wrapText="1"/>
    </xf>
    <xf numFmtId="6" fontId="18" fillId="5" borderId="0" xfId="0" applyNumberFormat="1" applyFont="1" applyFill="1"/>
    <xf numFmtId="3" fontId="18" fillId="5" borderId="0" xfId="0" applyNumberFormat="1" applyFont="1" applyFill="1" applyAlignment="1">
      <alignment horizontal="center"/>
    </xf>
    <xf numFmtId="8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0" fillId="0" borderId="0" xfId="0" applyNumberFormat="1" applyFont="1"/>
    <xf numFmtId="8" fontId="18" fillId="0" borderId="0" xfId="0" applyNumberFormat="1" applyFont="1" applyAlignment="1">
      <alignment horizontal="center" vertical="center"/>
    </xf>
    <xf numFmtId="8" fontId="5" fillId="0" borderId="0" xfId="0" applyNumberFormat="1" applyFont="1" applyBorder="1"/>
    <xf numFmtId="6" fontId="5" fillId="6" borderId="0" xfId="0" applyNumberFormat="1" applyFont="1" applyFill="1"/>
    <xf numFmtId="6" fontId="18" fillId="6" borderId="0" xfId="0" applyNumberFormat="1" applyFont="1" applyFill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8" fontId="10" fillId="0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8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0" xfId="1" applyNumberFormat="1" applyFont="1" applyAlignment="1"/>
    <xf numFmtId="6" fontId="4" fillId="2" borderId="1" xfId="0" applyNumberFormat="1" applyFont="1" applyFill="1" applyBorder="1" applyAlignment="1">
      <alignment horizontal="center" vertical="center" wrapText="1"/>
    </xf>
    <xf numFmtId="8" fontId="10" fillId="2" borderId="1" xfId="0" applyNumberFormat="1" applyFont="1" applyFill="1" applyBorder="1" applyAlignment="1">
      <alignment horizontal="center" vertical="center"/>
    </xf>
    <xf numFmtId="6" fontId="18" fillId="2" borderId="0" xfId="0" applyNumberFormat="1" applyFont="1" applyFill="1" applyAlignment="1">
      <alignment horizontal="center" vertical="center"/>
    </xf>
    <xf numFmtId="0" fontId="2" fillId="0" borderId="0" xfId="0" applyFont="1"/>
    <xf numFmtId="3" fontId="20" fillId="0" borderId="1" xfId="0" applyNumberFormat="1" applyFont="1" applyBorder="1" applyAlignment="1">
      <alignment horizontal="left" wrapText="1"/>
    </xf>
    <xf numFmtId="3" fontId="20" fillId="3" borderId="1" xfId="0" applyNumberFormat="1" applyFont="1" applyFill="1" applyBorder="1" applyAlignment="1">
      <alignment horizontal="left" wrapText="1"/>
    </xf>
    <xf numFmtId="3" fontId="20" fillId="2" borderId="1" xfId="0" applyNumberFormat="1" applyFont="1" applyFill="1" applyBorder="1" applyAlignment="1">
      <alignment horizontal="left" wrapText="1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6" fillId="0" borderId="1" xfId="0" applyNumberFormat="1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center" vertical="center"/>
    </xf>
    <xf numFmtId="165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6" fontId="18" fillId="0" borderId="1" xfId="0" applyNumberFormat="1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165" fontId="23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165" fontId="23" fillId="3" borderId="1" xfId="1" applyNumberFormat="1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3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0" xfId="1" applyNumberFormat="1" applyFont="1" applyAlignment="1"/>
    <xf numFmtId="0" fontId="2" fillId="0" borderId="0" xfId="0" applyFont="1" applyAlignment="1">
      <alignment horizontal="center" vertical="center"/>
    </xf>
    <xf numFmtId="3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5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5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0" xfId="1" applyNumberFormat="1" applyFont="1" applyAlignment="1"/>
    <xf numFmtId="165" fontId="19" fillId="0" borderId="0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opLeftCell="A22" workbookViewId="0">
      <selection activeCell="H74" sqref="H74"/>
    </sheetView>
  </sheetViews>
  <sheetFormatPr defaultRowHeight="15" x14ac:dyDescent="0.25"/>
  <cols>
    <col min="1" max="1" width="35.5703125" style="1" customWidth="1"/>
    <col min="2" max="2" width="13.42578125" style="1" customWidth="1"/>
    <col min="3" max="3" width="17.7109375" style="3" customWidth="1"/>
    <col min="4" max="4" width="12.140625" style="5" customWidth="1"/>
    <col min="5" max="5" width="12.140625" style="6" customWidth="1"/>
    <col min="6" max="6" width="12.7109375" style="1" customWidth="1"/>
    <col min="7" max="7" width="10.140625" style="3" customWidth="1"/>
    <col min="8" max="8" width="11" style="7" customWidth="1"/>
    <col min="9" max="9" width="10.85546875" style="8" customWidth="1"/>
    <col min="10" max="16384" width="9.140625" style="1"/>
  </cols>
  <sheetData>
    <row r="1" spans="1:9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x14ac:dyDescent="0.25">
      <c r="A2" s="2"/>
      <c r="B2" s="2"/>
      <c r="C2" s="64"/>
      <c r="D2" s="64"/>
      <c r="E2" s="64"/>
      <c r="H2" s="2"/>
      <c r="I2" s="2"/>
    </row>
    <row r="3" spans="1:9" x14ac:dyDescent="0.25">
      <c r="A3" s="4" t="s">
        <v>152</v>
      </c>
      <c r="B3" s="73">
        <v>26874602</v>
      </c>
      <c r="C3" s="65"/>
      <c r="D3" s="66"/>
      <c r="E3" s="67"/>
    </row>
    <row r="4" spans="1:9" x14ac:dyDescent="0.25">
      <c r="A4" s="9" t="s">
        <v>1</v>
      </c>
      <c r="B4" s="73"/>
      <c r="C4" s="18">
        <v>23787347</v>
      </c>
      <c r="D4" s="68"/>
      <c r="E4" s="69"/>
      <c r="F4" s="10"/>
      <c r="G4" s="13"/>
      <c r="H4" s="14"/>
      <c r="I4" s="15"/>
    </row>
    <row r="5" spans="1:9" x14ac:dyDescent="0.25">
      <c r="A5" s="16" t="s">
        <v>2</v>
      </c>
      <c r="B5" s="73">
        <f>B3*0.9</f>
        <v>24187141.800000001</v>
      </c>
      <c r="C5" s="71">
        <f>B3*0.9</f>
        <v>24187141.800000001</v>
      </c>
      <c r="D5" s="68"/>
      <c r="E5" s="17"/>
      <c r="F5" s="10"/>
      <c r="G5" s="13"/>
      <c r="H5" s="14"/>
      <c r="I5" s="19"/>
    </row>
    <row r="6" spans="1:9" x14ac:dyDescent="0.25">
      <c r="A6" s="16" t="s">
        <v>3</v>
      </c>
      <c r="B6" s="74">
        <f>B3*0.05</f>
        <v>1343730.1</v>
      </c>
      <c r="C6" s="71">
        <f>B3*0.05</f>
        <v>1343730.1</v>
      </c>
      <c r="D6" s="68"/>
      <c r="E6" s="17"/>
      <c r="F6" s="10"/>
      <c r="G6" s="13"/>
      <c r="H6" s="14"/>
      <c r="I6" s="19"/>
    </row>
    <row r="7" spans="1:9" ht="16.5" customHeight="1" x14ac:dyDescent="0.25">
      <c r="A7" s="16" t="s">
        <v>4</v>
      </c>
      <c r="B7" s="74">
        <f>B3*0.05</f>
        <v>1343730.1</v>
      </c>
      <c r="C7" s="71">
        <f>B3*0.05</f>
        <v>1343730.1</v>
      </c>
      <c r="D7" s="68"/>
      <c r="E7" s="17"/>
      <c r="F7" s="10"/>
      <c r="G7" s="13"/>
      <c r="H7" s="14"/>
      <c r="I7" s="19"/>
    </row>
    <row r="8" spans="1:9" ht="16.5" customHeight="1" x14ac:dyDescent="0.25">
      <c r="A8" s="16"/>
      <c r="B8" s="17"/>
      <c r="C8" s="18"/>
      <c r="D8" s="68"/>
      <c r="E8" s="69"/>
      <c r="F8" s="10"/>
      <c r="G8" s="13"/>
      <c r="H8" s="14"/>
      <c r="I8" s="19"/>
    </row>
    <row r="9" spans="1:9" ht="79.5" customHeight="1" x14ac:dyDescent="0.25">
      <c r="A9" s="20" t="s">
        <v>5</v>
      </c>
      <c r="B9" s="20" t="s">
        <v>6</v>
      </c>
      <c r="C9" s="21" t="s">
        <v>153</v>
      </c>
      <c r="D9" s="22" t="s">
        <v>154</v>
      </c>
      <c r="E9" s="23" t="s">
        <v>155</v>
      </c>
      <c r="F9" s="24" t="s">
        <v>7</v>
      </c>
      <c r="G9" s="22" t="s">
        <v>8</v>
      </c>
      <c r="H9" s="23" t="s">
        <v>9</v>
      </c>
      <c r="I9" s="25" t="s">
        <v>10</v>
      </c>
    </row>
    <row r="10" spans="1:9" ht="16.5" customHeight="1" x14ac:dyDescent="0.25">
      <c r="A10" s="26" t="s">
        <v>11</v>
      </c>
      <c r="B10" s="27" t="s">
        <v>12</v>
      </c>
      <c r="C10" s="84">
        <v>27115</v>
      </c>
      <c r="D10" s="28">
        <f>SUM(E10)</f>
        <v>393621.61370792228</v>
      </c>
      <c r="E10" s="29">
        <f>(C10/C145)*H146</f>
        <v>393621.61370792228</v>
      </c>
      <c r="F10" s="30"/>
      <c r="G10" s="31"/>
      <c r="H10" s="32">
        <f>(C10/C144)*C5</f>
        <v>394143.30000919499</v>
      </c>
      <c r="I10" s="33">
        <f>H10</f>
        <v>394143.30000919499</v>
      </c>
    </row>
    <row r="11" spans="1:9" ht="16.5" customHeight="1" x14ac:dyDescent="0.25">
      <c r="A11" s="34"/>
      <c r="B11" s="35"/>
      <c r="C11" s="36"/>
      <c r="D11" s="37"/>
      <c r="E11" s="38"/>
      <c r="F11" s="39"/>
      <c r="G11" s="40"/>
      <c r="H11" s="41"/>
      <c r="I11" s="42"/>
    </row>
    <row r="12" spans="1:9" x14ac:dyDescent="0.25">
      <c r="A12" s="26" t="s">
        <v>13</v>
      </c>
      <c r="B12" s="27" t="s">
        <v>14</v>
      </c>
      <c r="C12" s="84">
        <v>17732</v>
      </c>
      <c r="D12" s="28">
        <f>SUM(E12:E14)</f>
        <v>680530.61512128683</v>
      </c>
      <c r="E12" s="29">
        <f>(C12/C145)*H146</f>
        <v>257410.97010027213</v>
      </c>
      <c r="F12" s="30"/>
      <c r="G12" s="31"/>
      <c r="H12" s="32">
        <f>(C12/C144)*C5</f>
        <v>257752.12966118555</v>
      </c>
      <c r="I12" s="33">
        <f>SUM(H12:H14)</f>
        <v>681432.55619144579</v>
      </c>
    </row>
    <row r="13" spans="1:9" x14ac:dyDescent="0.25">
      <c r="A13" s="26"/>
      <c r="B13" s="27" t="s">
        <v>15</v>
      </c>
      <c r="C13" s="84">
        <v>15102</v>
      </c>
      <c r="D13" s="28"/>
      <c r="E13" s="29">
        <f>(C13/C145)*H146</f>
        <v>219231.92366649615</v>
      </c>
      <c r="F13" s="43"/>
      <c r="G13" s="44"/>
      <c r="H13" s="32">
        <f>(C13/C144)*C5</f>
        <v>219522.48263835008</v>
      </c>
      <c r="I13" s="33"/>
    </row>
    <row r="14" spans="1:9" x14ac:dyDescent="0.25">
      <c r="A14" s="26"/>
      <c r="B14" s="27" t="s">
        <v>16</v>
      </c>
      <c r="C14" s="84">
        <v>14045</v>
      </c>
      <c r="D14" s="28"/>
      <c r="E14" s="29">
        <f>(C14/C145)*H146</f>
        <v>203887.72135451849</v>
      </c>
      <c r="F14" s="30"/>
      <c r="G14" s="31"/>
      <c r="H14" s="32">
        <f>(C14/C144)*C5</f>
        <v>204157.94389191014</v>
      </c>
      <c r="I14" s="33"/>
    </row>
    <row r="15" spans="1:9" x14ac:dyDescent="0.25">
      <c r="A15" s="34"/>
      <c r="B15" s="35"/>
      <c r="C15" s="36"/>
      <c r="D15" s="37"/>
      <c r="E15" s="38"/>
      <c r="F15" s="39"/>
      <c r="G15" s="40"/>
      <c r="H15" s="41"/>
      <c r="I15" s="42"/>
    </row>
    <row r="16" spans="1:9" x14ac:dyDescent="0.25">
      <c r="A16" s="26" t="s">
        <v>17</v>
      </c>
      <c r="B16" s="27" t="s">
        <v>18</v>
      </c>
      <c r="C16" s="84">
        <v>2205</v>
      </c>
      <c r="D16" s="28">
        <f>SUM(E16:E18)</f>
        <v>344322.73854096292</v>
      </c>
      <c r="E16" s="29">
        <f>(C16/C145)*H146</f>
        <v>32009.428664059331</v>
      </c>
      <c r="F16" s="30"/>
      <c r="G16" s="31">
        <v>148800</v>
      </c>
      <c r="H16" s="32">
        <f>(C16/C144)*C5</f>
        <v>32051.852351844922</v>
      </c>
      <c r="I16" s="33">
        <f>SUM(H16:H18)</f>
        <v>344779.08659111551</v>
      </c>
    </row>
    <row r="17" spans="1:9" x14ac:dyDescent="0.25">
      <c r="A17" s="26"/>
      <c r="B17" s="27" t="s">
        <v>19</v>
      </c>
      <c r="C17" s="84">
        <v>5629</v>
      </c>
      <c r="D17" s="28"/>
      <c r="E17" s="29">
        <f>(C17/C145)*H146</f>
        <v>81714.772766435359</v>
      </c>
      <c r="F17" s="30"/>
      <c r="G17" s="31"/>
      <c r="H17" s="32">
        <f>(C17/C144)*C5</f>
        <v>81823.073418836764</v>
      </c>
      <c r="I17" s="33"/>
    </row>
    <row r="18" spans="1:9" x14ac:dyDescent="0.25">
      <c r="A18" s="26"/>
      <c r="B18" s="27" t="s">
        <v>20</v>
      </c>
      <c r="C18" s="84">
        <v>15885</v>
      </c>
      <c r="D18" s="28"/>
      <c r="E18" s="29">
        <f>(C18/C145)*H146</f>
        <v>230598.53711046823</v>
      </c>
      <c r="F18" s="30"/>
      <c r="G18" s="31"/>
      <c r="H18" s="32">
        <f>(C18/C144)*C5</f>
        <v>230904.16082043381</v>
      </c>
      <c r="I18" s="33"/>
    </row>
    <row r="19" spans="1:9" x14ac:dyDescent="0.25">
      <c r="A19" s="34"/>
      <c r="B19" s="35"/>
      <c r="C19" s="36"/>
      <c r="D19" s="37"/>
      <c r="E19" s="38"/>
      <c r="F19" s="39"/>
      <c r="G19" s="40"/>
      <c r="H19" s="41"/>
      <c r="I19" s="42"/>
    </row>
    <row r="20" spans="1:9" x14ac:dyDescent="0.25">
      <c r="A20" s="26" t="s">
        <v>21</v>
      </c>
      <c r="B20" s="27" t="s">
        <v>22</v>
      </c>
      <c r="C20" s="84">
        <v>24642</v>
      </c>
      <c r="D20" s="28">
        <f>SUM(E20)</f>
        <v>357721.69666201813</v>
      </c>
      <c r="E20" s="29">
        <f>(C20/C145)*H146</f>
        <v>357721.69666201813</v>
      </c>
      <c r="F20" s="30"/>
      <c r="G20" s="31"/>
      <c r="H20" s="32">
        <f>(C20/C144)*C5</f>
        <v>358195.80301776074</v>
      </c>
      <c r="I20" s="33">
        <f>SUM(H20)</f>
        <v>358195.80301776074</v>
      </c>
    </row>
    <row r="21" spans="1:9" x14ac:dyDescent="0.25">
      <c r="A21" s="34"/>
      <c r="B21" s="35"/>
      <c r="C21" s="36"/>
      <c r="D21" s="37"/>
      <c r="E21" s="38"/>
      <c r="F21" s="39"/>
      <c r="G21" s="40"/>
      <c r="H21" s="41"/>
      <c r="I21" s="42"/>
    </row>
    <row r="22" spans="1:9" x14ac:dyDescent="0.25">
      <c r="A22" s="26" t="s">
        <v>23</v>
      </c>
      <c r="B22" s="27" t="s">
        <v>24</v>
      </c>
      <c r="C22" s="84">
        <v>151386</v>
      </c>
      <c r="D22" s="28">
        <f>SUM(E22)</f>
        <v>2197632.3663207646</v>
      </c>
      <c r="E22" s="29">
        <f>(C22/C145)*H146</f>
        <v>2197632.3663207646</v>
      </c>
      <c r="F22" s="30"/>
      <c r="G22" s="31">
        <v>316270</v>
      </c>
      <c r="H22" s="32">
        <f>(C22/C144)*C5</f>
        <v>2200544.9977942836</v>
      </c>
      <c r="I22" s="33">
        <f>SUM(H22)</f>
        <v>2200544.9977942836</v>
      </c>
    </row>
    <row r="23" spans="1:9" x14ac:dyDescent="0.25">
      <c r="A23" s="34"/>
      <c r="B23" s="35"/>
      <c r="C23" s="36"/>
      <c r="D23" s="37"/>
      <c r="E23" s="38"/>
      <c r="F23" s="39"/>
      <c r="G23" s="40"/>
      <c r="H23" s="41"/>
      <c r="I23" s="42"/>
    </row>
    <row r="24" spans="1:9" x14ac:dyDescent="0.25">
      <c r="A24" s="45" t="s">
        <v>25</v>
      </c>
      <c r="B24" s="27" t="s">
        <v>26</v>
      </c>
      <c r="C24" s="84">
        <v>5212</v>
      </c>
      <c r="D24" s="28">
        <f>SUM(E24:E27)</f>
        <v>407760.92596134357</v>
      </c>
      <c r="E24" s="29">
        <f>(C24/C145)*H146</f>
        <v>75661.288978266311</v>
      </c>
      <c r="F24" s="30"/>
      <c r="G24" s="31">
        <v>286879</v>
      </c>
      <c r="H24" s="32">
        <f>(C24/C144)*C5</f>
        <v>75761.566647535481</v>
      </c>
      <c r="I24" s="33">
        <f>SUM(H24:H27)</f>
        <v>408301.35179635917</v>
      </c>
    </row>
    <row r="25" spans="1:9" x14ac:dyDescent="0.25">
      <c r="A25" s="45"/>
      <c r="B25" s="27" t="s">
        <v>27</v>
      </c>
      <c r="C25" s="84">
        <v>12128</v>
      </c>
      <c r="D25" s="28"/>
      <c r="E25" s="29">
        <f>(C25/C145)*H146</f>
        <v>176059.11602617303</v>
      </c>
      <c r="F25" s="30"/>
      <c r="G25" s="31"/>
      <c r="H25" s="32">
        <f>(C25/C144)*C5</f>
        <v>176292.45592887764</v>
      </c>
      <c r="I25" s="33"/>
    </row>
    <row r="26" spans="1:9" x14ac:dyDescent="0.25">
      <c r="A26" s="45"/>
      <c r="B26" s="27" t="s">
        <v>28</v>
      </c>
      <c r="C26" s="84">
        <v>5632</v>
      </c>
      <c r="D26" s="28"/>
      <c r="E26" s="29">
        <f>(C26/C145)*H146</f>
        <v>81758.323009515705</v>
      </c>
      <c r="F26" s="30"/>
      <c r="G26" s="31"/>
      <c r="H26" s="32">
        <f>(C26/C144)*C5</f>
        <v>81866.681381220216</v>
      </c>
      <c r="I26" s="33"/>
    </row>
    <row r="27" spans="1:9" x14ac:dyDescent="0.25">
      <c r="A27" s="45"/>
      <c r="B27" s="27" t="s">
        <v>29</v>
      </c>
      <c r="C27" s="84">
        <v>5117</v>
      </c>
      <c r="D27" s="28"/>
      <c r="E27" s="29">
        <f>(C27/C145)*H146</f>
        <v>74282.197947388486</v>
      </c>
      <c r="F27" s="30"/>
      <c r="G27" s="31"/>
      <c r="H27" s="32">
        <f>(C27/C144)*C5</f>
        <v>74380.647838725825</v>
      </c>
      <c r="I27" s="33"/>
    </row>
    <row r="28" spans="1:9" x14ac:dyDescent="0.25">
      <c r="A28" s="34"/>
      <c r="B28" s="35"/>
      <c r="C28" s="36"/>
      <c r="D28" s="37"/>
      <c r="E28" s="38"/>
      <c r="F28" s="39"/>
      <c r="G28" s="40"/>
      <c r="H28" s="41"/>
      <c r="I28" s="42"/>
    </row>
    <row r="29" spans="1:9" x14ac:dyDescent="0.25">
      <c r="A29" s="26" t="s">
        <v>30</v>
      </c>
      <c r="B29" s="27" t="s">
        <v>31</v>
      </c>
      <c r="C29" s="84">
        <v>9945</v>
      </c>
      <c r="D29" s="28">
        <f>SUM(E29:E32)</f>
        <v>444662.49859809584</v>
      </c>
      <c r="E29" s="29">
        <f>(C29/C145)*H146</f>
        <v>144369.05581136965</v>
      </c>
      <c r="F29" s="30"/>
      <c r="G29" s="31"/>
      <c r="H29" s="32">
        <f>(C29/C144)*C5</f>
        <v>144560.39530117813</v>
      </c>
      <c r="I29" s="33">
        <f>SUM(H29:H32)</f>
        <v>445251.83192261308</v>
      </c>
    </row>
    <row r="30" spans="1:9" x14ac:dyDescent="0.25">
      <c r="A30" s="26"/>
      <c r="B30" s="27" t="s">
        <v>32</v>
      </c>
      <c r="C30" s="84">
        <v>16289</v>
      </c>
      <c r="D30" s="28"/>
      <c r="E30" s="29">
        <f>(C30/C145)*H146</f>
        <v>236463.30317862239</v>
      </c>
      <c r="F30" s="30"/>
      <c r="G30" s="31"/>
      <c r="H30" s="32">
        <f>(C30/C144)*C5</f>
        <v>236776.69975474008</v>
      </c>
      <c r="I30" s="33"/>
    </row>
    <row r="31" spans="1:9" x14ac:dyDescent="0.25">
      <c r="A31" s="26"/>
      <c r="B31" s="27" t="s">
        <v>33</v>
      </c>
      <c r="C31" s="84">
        <v>2213</v>
      </c>
      <c r="D31" s="28"/>
      <c r="E31" s="29">
        <f>(C31/C145)*H146</f>
        <v>32125.562645606937</v>
      </c>
      <c r="F31" s="30"/>
      <c r="G31" s="31"/>
      <c r="H31" s="32">
        <f>(C31/C144)*C5</f>
        <v>32168.140251534154</v>
      </c>
      <c r="I31" s="33"/>
    </row>
    <row r="32" spans="1:9" x14ac:dyDescent="0.25">
      <c r="A32" s="26"/>
      <c r="B32" s="27" t="s">
        <v>34</v>
      </c>
      <c r="C32" s="84">
        <v>2184</v>
      </c>
      <c r="D32" s="28"/>
      <c r="E32" s="29">
        <f>(C32/C145)*H146</f>
        <v>31704.57696249686</v>
      </c>
      <c r="F32" s="30"/>
      <c r="G32" s="31"/>
      <c r="H32" s="32">
        <f>(C32/C144)*C5</f>
        <v>31746.596615160684</v>
      </c>
      <c r="I32" s="33"/>
    </row>
    <row r="33" spans="1:9" x14ac:dyDescent="0.25">
      <c r="A33" s="34"/>
      <c r="B33" s="35"/>
      <c r="C33" s="36"/>
      <c r="D33" s="37"/>
      <c r="E33" s="38"/>
      <c r="F33" s="39"/>
      <c r="G33" s="40"/>
      <c r="H33" s="41"/>
      <c r="I33" s="42"/>
    </row>
    <row r="34" spans="1:9" x14ac:dyDescent="0.25">
      <c r="A34" s="26" t="s">
        <v>35</v>
      </c>
      <c r="B34" s="27" t="s">
        <v>36</v>
      </c>
      <c r="C34" s="84">
        <v>33936</v>
      </c>
      <c r="D34" s="28">
        <f>SUM(E34:E36)</f>
        <v>661862.07758750883</v>
      </c>
      <c r="E34" s="29">
        <f>(C34/C145)*H146</f>
        <v>492640.3497249512</v>
      </c>
      <c r="F34" s="30"/>
      <c r="G34" s="31">
        <v>334160</v>
      </c>
      <c r="H34" s="32">
        <f>(C34/C144)*C5</f>
        <v>493293.27048172749</v>
      </c>
      <c r="I34" s="33">
        <f>SUM(H34:H36)</f>
        <v>662739.27631640143</v>
      </c>
    </row>
    <row r="35" spans="1:9" x14ac:dyDescent="0.25">
      <c r="A35" s="26"/>
      <c r="B35" s="27" t="s">
        <v>37</v>
      </c>
      <c r="C35" s="84">
        <v>3972</v>
      </c>
      <c r="D35" s="28"/>
      <c r="E35" s="29">
        <f>(C35/C145)*H146</f>
        <v>57660.521838387147</v>
      </c>
      <c r="F35" s="30"/>
      <c r="G35" s="31"/>
      <c r="H35" s="32">
        <f>(C35/C144)*C5</f>
        <v>57736.942195704323</v>
      </c>
      <c r="I35" s="33"/>
    </row>
    <row r="36" spans="1:9" x14ac:dyDescent="0.25">
      <c r="A36" s="26"/>
      <c r="B36" s="27" t="s">
        <v>38</v>
      </c>
      <c r="C36" s="84">
        <v>7685</v>
      </c>
      <c r="D36" s="28"/>
      <c r="E36" s="29">
        <f>(C36/C145)*H146</f>
        <v>111561.2060241705</v>
      </c>
      <c r="F36" s="30"/>
      <c r="G36" s="31"/>
      <c r="H36" s="32">
        <f>(C36/C144)*C5</f>
        <v>111709.0636389697</v>
      </c>
      <c r="I36" s="33"/>
    </row>
    <row r="37" spans="1:9" x14ac:dyDescent="0.25">
      <c r="A37" s="34"/>
      <c r="B37" s="35"/>
      <c r="C37" s="36"/>
      <c r="D37" s="37"/>
      <c r="E37" s="38"/>
      <c r="F37" s="39"/>
      <c r="G37" s="40"/>
      <c r="H37" s="41"/>
      <c r="I37" s="42"/>
    </row>
    <row r="38" spans="1:9" x14ac:dyDescent="0.25">
      <c r="A38" s="26" t="s">
        <v>151</v>
      </c>
      <c r="B38" s="27" t="s">
        <v>39</v>
      </c>
      <c r="C38" s="84">
        <v>55792</v>
      </c>
      <c r="D38" s="28">
        <f>SUM(E38:E39)</f>
        <v>1074384.4967923043</v>
      </c>
      <c r="E38" s="29">
        <f>(C38/C145)*H146</f>
        <v>809918.38731301506</v>
      </c>
      <c r="F38" s="30"/>
      <c r="G38" s="31">
        <v>207652</v>
      </c>
      <c r="H38" s="32">
        <f>(C38/C144)*C5</f>
        <v>810991.81243271288</v>
      </c>
      <c r="I38" s="33">
        <f>SUM(H38:H39)</f>
        <v>1075808.4320000194</v>
      </c>
    </row>
    <row r="39" spans="1:9" x14ac:dyDescent="0.25">
      <c r="A39" s="26"/>
      <c r="B39" s="27" t="s">
        <v>40</v>
      </c>
      <c r="C39" s="84">
        <v>18218</v>
      </c>
      <c r="D39" s="28"/>
      <c r="E39" s="29">
        <f>(C39/C145)*H146</f>
        <v>264466.10947928927</v>
      </c>
      <c r="F39" s="30"/>
      <c r="G39" s="31"/>
      <c r="H39" s="32">
        <f>(C39/C144)*C5</f>
        <v>264816.61956730648</v>
      </c>
      <c r="I39" s="33"/>
    </row>
    <row r="40" spans="1:9" x14ac:dyDescent="0.25">
      <c r="A40" s="34"/>
      <c r="B40" s="35"/>
      <c r="C40" s="36"/>
      <c r="D40" s="37"/>
      <c r="E40" s="38"/>
      <c r="F40" s="39"/>
      <c r="G40" s="40"/>
      <c r="H40" s="41"/>
      <c r="I40" s="42"/>
    </row>
    <row r="41" spans="1:9" x14ac:dyDescent="0.25">
      <c r="A41" s="26" t="s">
        <v>41</v>
      </c>
      <c r="B41" s="27" t="s">
        <v>42</v>
      </c>
      <c r="C41" s="84">
        <v>27440</v>
      </c>
      <c r="D41" s="28">
        <f>SUM(E41)</f>
        <v>398339.55670829391</v>
      </c>
      <c r="E41" s="29">
        <f>(C41/C145)*H146</f>
        <v>398339.55670829391</v>
      </c>
      <c r="F41" s="30"/>
      <c r="G41" s="31"/>
      <c r="H41" s="32">
        <f>(C41/C144)*C5</f>
        <v>398867.49593407015</v>
      </c>
      <c r="I41" s="33">
        <f>SUM(H41)</f>
        <v>398867.49593407015</v>
      </c>
    </row>
    <row r="42" spans="1:9" x14ac:dyDescent="0.25">
      <c r="A42" s="34"/>
      <c r="B42" s="35"/>
      <c r="C42" s="36"/>
      <c r="D42" s="37"/>
      <c r="E42" s="38"/>
      <c r="F42" s="39"/>
      <c r="G42" s="40"/>
      <c r="H42" s="41"/>
      <c r="I42" s="42"/>
    </row>
    <row r="43" spans="1:9" x14ac:dyDescent="0.25">
      <c r="A43" s="26" t="s">
        <v>43</v>
      </c>
      <c r="B43" s="27" t="s">
        <v>44</v>
      </c>
      <c r="C43" s="84">
        <v>16419</v>
      </c>
      <c r="D43" s="28">
        <f>SUM(E43:E45)</f>
        <v>1146024.6466594846</v>
      </c>
      <c r="E43" s="29">
        <f>(C43/C145)*H146</f>
        <v>238350.48037877103</v>
      </c>
      <c r="F43" s="30"/>
      <c r="G43" s="31"/>
      <c r="H43" s="32">
        <f>(C43/C144)*C5</f>
        <v>238666.37812469012</v>
      </c>
      <c r="I43" s="33">
        <f>SUM(H43:H45)</f>
        <v>1147543.5301208149</v>
      </c>
    </row>
    <row r="44" spans="1:9" x14ac:dyDescent="0.25">
      <c r="A44" s="26"/>
      <c r="B44" s="27" t="s">
        <v>45</v>
      </c>
      <c r="C44" s="84">
        <v>37908</v>
      </c>
      <c r="D44" s="28"/>
      <c r="E44" s="29">
        <f>(C44/C145)*H146</f>
        <v>550300.87156333833</v>
      </c>
      <c r="F44" s="30"/>
      <c r="G44" s="31"/>
      <c r="H44" s="32">
        <f>(C44/C144)*C5</f>
        <v>551030.21267743176</v>
      </c>
      <c r="I44" s="33"/>
    </row>
    <row r="45" spans="1:9" x14ac:dyDescent="0.25">
      <c r="A45" s="26"/>
      <c r="B45" s="27" t="s">
        <v>46</v>
      </c>
      <c r="C45" s="84">
        <v>24618</v>
      </c>
      <c r="D45" s="28"/>
      <c r="E45" s="29">
        <f>(C45/C145)*H146</f>
        <v>357373.29471737531</v>
      </c>
      <c r="F45" s="30"/>
      <c r="G45" s="31"/>
      <c r="H45" s="32">
        <f>(C45/C144)*C5</f>
        <v>357846.93931869307</v>
      </c>
      <c r="I45" s="33"/>
    </row>
    <row r="46" spans="1:9" x14ac:dyDescent="0.25">
      <c r="A46" s="34"/>
      <c r="B46" s="35"/>
      <c r="C46" s="36"/>
      <c r="D46" s="37"/>
      <c r="E46" s="38"/>
      <c r="F46" s="39"/>
      <c r="G46" s="40"/>
      <c r="H46" s="41"/>
      <c r="I46" s="42"/>
    </row>
    <row r="47" spans="1:9" ht="16.5" customHeight="1" x14ac:dyDescent="0.25">
      <c r="A47" s="26" t="s">
        <v>47</v>
      </c>
      <c r="B47" s="27" t="s">
        <v>48</v>
      </c>
      <c r="C47" s="84">
        <v>1002</v>
      </c>
      <c r="D47" s="28">
        <f>SUM(E47:E56)</f>
        <v>397729.85330516892</v>
      </c>
      <c r="E47" s="29">
        <f>(C47/C145)*H146</f>
        <v>14545.781188837846</v>
      </c>
      <c r="F47" s="30"/>
      <c r="G47" s="31">
        <v>231931</v>
      </c>
      <c r="H47" s="32">
        <f>(C47/C144)*C5</f>
        <v>14565.059436076468</v>
      </c>
      <c r="I47" s="33">
        <f>SUM(H47:H56)</f>
        <v>398256.98446070158</v>
      </c>
    </row>
    <row r="48" spans="1:9" x14ac:dyDescent="0.25">
      <c r="A48" s="26"/>
      <c r="B48" s="27" t="s">
        <v>49</v>
      </c>
      <c r="C48" s="84">
        <v>3310</v>
      </c>
      <c r="D48" s="28"/>
      <c r="E48" s="29">
        <f>(C48/C145)*H146</f>
        <v>48050.434865322619</v>
      </c>
      <c r="F48" s="30"/>
      <c r="G48" s="31"/>
      <c r="H48" s="32">
        <f>(C48/C144)*C5</f>
        <v>48114.118496420269</v>
      </c>
      <c r="I48" s="33"/>
    </row>
    <row r="49" spans="1:9" x14ac:dyDescent="0.25">
      <c r="A49" s="26"/>
      <c r="B49" s="27" t="s">
        <v>50</v>
      </c>
      <c r="C49" s="84">
        <v>2758</v>
      </c>
      <c r="D49" s="28"/>
      <c r="E49" s="29">
        <f>(C49/C145)*H146</f>
        <v>40037.190138537699</v>
      </c>
      <c r="F49" s="30"/>
      <c r="G49" s="31"/>
      <c r="H49" s="32">
        <f>(C49/C144)*C5</f>
        <v>40090.253417863169</v>
      </c>
      <c r="I49" s="33"/>
    </row>
    <row r="50" spans="1:9" x14ac:dyDescent="0.25">
      <c r="A50" s="26"/>
      <c r="B50" s="27" t="s">
        <v>51</v>
      </c>
      <c r="C50" s="84">
        <v>3831</v>
      </c>
      <c r="D50" s="28"/>
      <c r="E50" s="29">
        <f>(C50/C145)*H146</f>
        <v>55613.66041361056</v>
      </c>
      <c r="F50" s="30"/>
      <c r="G50" s="31"/>
      <c r="H50" s="32">
        <f>(C50/C144)*C5</f>
        <v>55687.367963681587</v>
      </c>
      <c r="I50" s="33"/>
    </row>
    <row r="51" spans="1:9" x14ac:dyDescent="0.25">
      <c r="A51" s="26"/>
      <c r="B51" s="27" t="s">
        <v>52</v>
      </c>
      <c r="C51" s="84">
        <v>1794</v>
      </c>
      <c r="D51" s="28"/>
      <c r="E51" s="29">
        <f>(C51/C145)*H146</f>
        <v>26043.045362050994</v>
      </c>
      <c r="F51" s="30"/>
      <c r="G51" s="31"/>
      <c r="H51" s="32">
        <f>(C51/C144)*C5</f>
        <v>26077.561505310561</v>
      </c>
      <c r="I51" s="33"/>
    </row>
    <row r="52" spans="1:9" x14ac:dyDescent="0.25">
      <c r="A52" s="26"/>
      <c r="B52" s="27" t="s">
        <v>53</v>
      </c>
      <c r="C52" s="84">
        <v>1080</v>
      </c>
      <c r="D52" s="28"/>
      <c r="E52" s="29">
        <f>(C52/C145)*H146</f>
        <v>15678.087508927019</v>
      </c>
      <c r="F52" s="30"/>
      <c r="G52" s="31"/>
      <c r="H52" s="32">
        <f>(C52/C144)*C5</f>
        <v>15698.86645804649</v>
      </c>
      <c r="I52" s="33"/>
    </row>
    <row r="53" spans="1:9" x14ac:dyDescent="0.25">
      <c r="A53" s="26"/>
      <c r="B53" s="27" t="s">
        <v>54</v>
      </c>
      <c r="C53" s="84">
        <v>6978</v>
      </c>
      <c r="D53" s="28"/>
      <c r="E53" s="29">
        <f>(C53/C145)*H146</f>
        <v>101297.86540490069</v>
      </c>
      <c r="F53" s="30"/>
      <c r="G53" s="31"/>
      <c r="H53" s="32">
        <f>(C53/C144)*C5</f>
        <v>101432.12050393372</v>
      </c>
      <c r="I53" s="33"/>
    </row>
    <row r="54" spans="1:9" x14ac:dyDescent="0.25">
      <c r="A54" s="26"/>
      <c r="B54" s="27" t="s">
        <v>55</v>
      </c>
      <c r="C54" s="84">
        <v>2293</v>
      </c>
      <c r="D54" s="28"/>
      <c r="E54" s="29">
        <f>(C54/C145)*H146</f>
        <v>33286.902461083009</v>
      </c>
      <c r="F54" s="30"/>
      <c r="G54" s="31"/>
      <c r="H54" s="32">
        <f>(C54/C144)*C5</f>
        <v>33331.019248426484</v>
      </c>
      <c r="I54" s="33"/>
    </row>
    <row r="55" spans="1:9" x14ac:dyDescent="0.25">
      <c r="A55" s="26"/>
      <c r="B55" s="27" t="s">
        <v>56</v>
      </c>
      <c r="C55" s="84">
        <v>1018</v>
      </c>
      <c r="D55" s="28"/>
      <c r="E55" s="29">
        <f>(C55/C145)*H146</f>
        <v>14778.049151933061</v>
      </c>
      <c r="F55" s="30"/>
      <c r="G55" s="31"/>
      <c r="H55" s="32">
        <f>(C55/C144)*C5</f>
        <v>14797.635235454934</v>
      </c>
      <c r="I55" s="33"/>
    </row>
    <row r="56" spans="1:9" x14ac:dyDescent="0.25">
      <c r="A56" s="26"/>
      <c r="B56" s="27" t="s">
        <v>57</v>
      </c>
      <c r="C56" s="84">
        <v>3334</v>
      </c>
      <c r="D56" s="28"/>
      <c r="E56" s="29">
        <f>(C56/C145)*H146</f>
        <v>48398.83680996544</v>
      </c>
      <c r="F56" s="30"/>
      <c r="G56" s="31"/>
      <c r="H56" s="32">
        <f>(C56/C144)*C5</f>
        <v>48462.982195487959</v>
      </c>
      <c r="I56" s="33"/>
    </row>
    <row r="57" spans="1:9" x14ac:dyDescent="0.25">
      <c r="A57" s="34"/>
      <c r="B57" s="35"/>
      <c r="C57" s="36"/>
      <c r="D57" s="37"/>
      <c r="E57" s="38"/>
      <c r="F57" s="39"/>
      <c r="G57" s="40"/>
      <c r="H57" s="41"/>
      <c r="I57" s="42"/>
    </row>
    <row r="58" spans="1:9" x14ac:dyDescent="0.25">
      <c r="A58" s="26" t="s">
        <v>58</v>
      </c>
      <c r="B58" s="27" t="s">
        <v>59</v>
      </c>
      <c r="C58" s="84">
        <v>69871</v>
      </c>
      <c r="D58" s="28">
        <f>SUM(E58)</f>
        <v>1014299.6780891108</v>
      </c>
      <c r="E58" s="29">
        <f>(C58/C145)*H146</f>
        <v>1014299.6780891108</v>
      </c>
      <c r="F58" s="30"/>
      <c r="G58" s="31">
        <v>472169</v>
      </c>
      <c r="H58" s="32">
        <f>(C58/C144)*C5</f>
        <v>1015643.9798983022</v>
      </c>
      <c r="I58" s="33">
        <f>SUM(H58)</f>
        <v>1015643.9798983022</v>
      </c>
    </row>
    <row r="59" spans="1:9" x14ac:dyDescent="0.25">
      <c r="A59" s="34"/>
      <c r="B59" s="35"/>
      <c r="C59" s="36"/>
      <c r="D59" s="37"/>
      <c r="E59" s="38"/>
      <c r="F59" s="39"/>
      <c r="G59" s="40"/>
      <c r="H59" s="41"/>
      <c r="I59" s="42"/>
    </row>
    <row r="60" spans="1:9" x14ac:dyDescent="0.25">
      <c r="A60" s="45" t="s">
        <v>60</v>
      </c>
      <c r="B60" s="27" t="s">
        <v>61</v>
      </c>
      <c r="C60" s="84">
        <v>1935</v>
      </c>
      <c r="D60" s="28">
        <f>SUM(E60:E63)</f>
        <v>174563.89101374761</v>
      </c>
      <c r="E60" s="29">
        <f>(C60/C145)*H146</f>
        <v>28089.906786827578</v>
      </c>
      <c r="F60" s="30"/>
      <c r="G60" s="31"/>
      <c r="H60" s="32">
        <f>(C60/C144)*C5</f>
        <v>28127.135737333298</v>
      </c>
      <c r="I60" s="33">
        <f>SUM(H60:H63)</f>
        <v>174795.24922037876</v>
      </c>
    </row>
    <row r="61" spans="1:9" x14ac:dyDescent="0.25">
      <c r="A61" s="45"/>
      <c r="B61" s="27" t="s">
        <v>62</v>
      </c>
      <c r="C61" s="84">
        <v>1754</v>
      </c>
      <c r="D61" s="28"/>
      <c r="E61" s="29">
        <f>(C61/C145)*H146</f>
        <v>25462.375454312954</v>
      </c>
      <c r="F61" s="30"/>
      <c r="G61" s="31"/>
      <c r="H61" s="32">
        <f>(C61/C144)*C5</f>
        <v>25496.122006864396</v>
      </c>
      <c r="I61" s="33"/>
    </row>
    <row r="62" spans="1:9" x14ac:dyDescent="0.25">
      <c r="A62" s="45"/>
      <c r="B62" s="27" t="s">
        <v>63</v>
      </c>
      <c r="C62" s="84">
        <v>2716</v>
      </c>
      <c r="D62" s="28"/>
      <c r="E62" s="29">
        <f>(C62/C145)*H146</f>
        <v>39427.486735412756</v>
      </c>
      <c r="F62" s="30"/>
      <c r="G62" s="31"/>
      <c r="H62" s="32">
        <f>(C62/C144)*C5</f>
        <v>39479.741944494694</v>
      </c>
      <c r="I62" s="33"/>
    </row>
    <row r="63" spans="1:9" x14ac:dyDescent="0.25">
      <c r="A63" s="45"/>
      <c r="B63" s="27" t="s">
        <v>64</v>
      </c>
      <c r="C63" s="84">
        <v>5620</v>
      </c>
      <c r="D63" s="28"/>
      <c r="E63" s="29">
        <f>(C63/C145)*H146</f>
        <v>81584.122037194305</v>
      </c>
      <c r="F63" s="30"/>
      <c r="G63" s="31"/>
      <c r="H63" s="32">
        <f>(C63/C144)*C5</f>
        <v>81692.249531686364</v>
      </c>
      <c r="I63" s="33"/>
    </row>
    <row r="64" spans="1:9" x14ac:dyDescent="0.25">
      <c r="A64" s="34"/>
      <c r="B64" s="35"/>
      <c r="C64" s="36"/>
      <c r="D64" s="37"/>
      <c r="E64" s="38"/>
      <c r="F64" s="39"/>
      <c r="G64" s="40"/>
      <c r="H64" s="41"/>
      <c r="I64" s="42"/>
    </row>
    <row r="65" spans="1:9" x14ac:dyDescent="0.25">
      <c r="A65" s="26" t="s">
        <v>65</v>
      </c>
      <c r="B65" s="27" t="s">
        <v>66</v>
      </c>
      <c r="C65" s="84">
        <v>9401</v>
      </c>
      <c r="D65" s="28">
        <f>SUM(E65:E68)</f>
        <v>498388.98181155778</v>
      </c>
      <c r="E65" s="29">
        <f>(C65/C145)*H146</f>
        <v>136471.94506613232</v>
      </c>
      <c r="F65" s="30"/>
      <c r="G65" s="31">
        <v>139926</v>
      </c>
      <c r="H65" s="32">
        <f>(C65/C144)*C5</f>
        <v>136652.81812231024</v>
      </c>
      <c r="I65" s="33">
        <f>SUM(H65:H68)</f>
        <v>499049.52151634457</v>
      </c>
    </row>
    <row r="66" spans="1:9" x14ac:dyDescent="0.25">
      <c r="A66" s="26"/>
      <c r="B66" s="27" t="s">
        <v>67</v>
      </c>
      <c r="C66" s="84">
        <v>8664</v>
      </c>
      <c r="D66" s="28"/>
      <c r="E66" s="29">
        <f>(C66/C145)*H146</f>
        <v>125773.10201605895</v>
      </c>
      <c r="F66" s="30"/>
      <c r="G66" s="31"/>
      <c r="H66" s="32">
        <f>(C66/C144)*C5</f>
        <v>125939.79536343964</v>
      </c>
      <c r="I66" s="33"/>
    </row>
    <row r="67" spans="1:9" x14ac:dyDescent="0.25">
      <c r="A67" s="26"/>
      <c r="B67" s="27" t="s">
        <v>68</v>
      </c>
      <c r="C67" s="84">
        <v>11896</v>
      </c>
      <c r="D67" s="28"/>
      <c r="E67" s="29">
        <f>(C67/C145)*H146</f>
        <v>172691.23056129241</v>
      </c>
      <c r="F67" s="30"/>
      <c r="G67" s="31"/>
      <c r="H67" s="32">
        <f>(C67/C144)*C5</f>
        <v>172920.10683788988</v>
      </c>
      <c r="I67" s="33"/>
    </row>
    <row r="68" spans="1:9" x14ac:dyDescent="0.25">
      <c r="A68" s="26"/>
      <c r="B68" s="27" t="s">
        <v>69</v>
      </c>
      <c r="C68" s="84">
        <v>4371</v>
      </c>
      <c r="D68" s="28"/>
      <c r="E68" s="29">
        <f>(C68/C145)*H146</f>
        <v>63452.704168074073</v>
      </c>
      <c r="F68" s="30"/>
      <c r="G68" s="31"/>
      <c r="H68" s="32">
        <f>(C68/C144)*C5</f>
        <v>63536.801192704828</v>
      </c>
      <c r="I68" s="33"/>
    </row>
    <row r="69" spans="1:9" x14ac:dyDescent="0.25">
      <c r="A69" s="34"/>
      <c r="B69" s="35"/>
      <c r="C69" s="36"/>
      <c r="D69" s="37"/>
      <c r="E69" s="38"/>
      <c r="F69" s="39"/>
      <c r="G69" s="40"/>
      <c r="H69" s="41"/>
      <c r="I69" s="42"/>
    </row>
    <row r="70" spans="1:9" x14ac:dyDescent="0.25">
      <c r="A70" s="26" t="s">
        <v>70</v>
      </c>
      <c r="B70" s="27" t="s">
        <v>71</v>
      </c>
      <c r="C70" s="84">
        <v>20081</v>
      </c>
      <c r="D70" s="28">
        <f>SUM(E70:E73)</f>
        <v>1120228.3860082224</v>
      </c>
      <c r="E70" s="29">
        <f>(C70/C145)*H146</f>
        <v>291510.81043218839</v>
      </c>
      <c r="F70" s="30"/>
      <c r="G70" s="31"/>
      <c r="H70" s="32">
        <f>(C70/C144)*C5</f>
        <v>291897.16420743667</v>
      </c>
      <c r="I70" s="33">
        <f>SUM(H70:H73)</f>
        <v>1121713.080402344</v>
      </c>
    </row>
    <row r="71" spans="1:9" x14ac:dyDescent="0.25">
      <c r="A71" s="26"/>
      <c r="B71" s="27" t="s">
        <v>72</v>
      </c>
      <c r="C71" s="84">
        <v>34776</v>
      </c>
      <c r="D71" s="28"/>
      <c r="E71" s="29">
        <f>(C71/C145)*H146</f>
        <v>504834.41778745002</v>
      </c>
      <c r="F71" s="30"/>
      <c r="G71" s="31"/>
      <c r="H71" s="32">
        <f>(C71/C144)*C5</f>
        <v>505503.49994909699</v>
      </c>
      <c r="I71" s="33"/>
    </row>
    <row r="72" spans="1:9" x14ac:dyDescent="0.25">
      <c r="A72" s="26"/>
      <c r="B72" s="27" t="s">
        <v>73</v>
      </c>
      <c r="C72" s="84">
        <v>12626</v>
      </c>
      <c r="D72" s="28"/>
      <c r="E72" s="29">
        <f>(C72/C145)*H146</f>
        <v>183288.45637751161</v>
      </c>
      <c r="F72" s="30"/>
      <c r="G72" s="31"/>
      <c r="H72" s="32">
        <f>(C72/C144)*C5</f>
        <v>183531.3776845324</v>
      </c>
      <c r="I72" s="33"/>
    </row>
    <row r="73" spans="1:9" x14ac:dyDescent="0.25">
      <c r="A73" s="26"/>
      <c r="B73" s="27" t="s">
        <v>74</v>
      </c>
      <c r="C73" s="84">
        <v>9685</v>
      </c>
      <c r="D73" s="28"/>
      <c r="E73" s="29">
        <f>(C73/C145)*H146</f>
        <v>140594.7014110724</v>
      </c>
      <c r="F73" s="30"/>
      <c r="G73" s="31"/>
      <c r="H73" s="32">
        <f>(C73/C144)*C5</f>
        <v>140781.03856127802</v>
      </c>
      <c r="I73" s="33"/>
    </row>
    <row r="74" spans="1:9" x14ac:dyDescent="0.25">
      <c r="A74" s="34"/>
      <c r="B74" s="35"/>
      <c r="C74" s="36"/>
      <c r="D74" s="37"/>
      <c r="E74" s="38"/>
      <c r="F74" s="39"/>
      <c r="G74" s="40"/>
      <c r="H74" s="41"/>
      <c r="I74" s="42"/>
    </row>
    <row r="75" spans="1:9" x14ac:dyDescent="0.25">
      <c r="A75" s="26" t="s">
        <v>75</v>
      </c>
      <c r="B75" s="27" t="s">
        <v>76</v>
      </c>
      <c r="C75" s="84">
        <v>5311</v>
      </c>
      <c r="D75" s="28">
        <f>SUM(E75:E76)</f>
        <v>262999.91796225071</v>
      </c>
      <c r="E75" s="29">
        <f>(C75/C145)*H146</f>
        <v>77098.446999917956</v>
      </c>
      <c r="F75" s="30"/>
      <c r="G75" s="31">
        <v>127786</v>
      </c>
      <c r="H75" s="32">
        <f>(C75/C144)*C5</f>
        <v>77200.629406189735</v>
      </c>
      <c r="I75" s="33">
        <f>SUM(H75:H76)</f>
        <v>263348.48483372986</v>
      </c>
    </row>
    <row r="76" spans="1:9" x14ac:dyDescent="0.25">
      <c r="A76" s="26"/>
      <c r="B76" s="27" t="s">
        <v>77</v>
      </c>
      <c r="C76" s="84">
        <v>12806</v>
      </c>
      <c r="D76" s="28"/>
      <c r="E76" s="29">
        <f>(C76/C145)*H146</f>
        <v>185901.47096233277</v>
      </c>
      <c r="F76" s="30"/>
      <c r="G76" s="31"/>
      <c r="H76" s="32">
        <f>(C76/C144)*C5</f>
        <v>186147.85542754014</v>
      </c>
      <c r="I76" s="33"/>
    </row>
    <row r="77" spans="1:9" x14ac:dyDescent="0.25">
      <c r="A77" s="34"/>
      <c r="B77" s="35"/>
      <c r="C77" s="36"/>
      <c r="D77" s="37"/>
      <c r="E77" s="38"/>
      <c r="F77" s="39"/>
      <c r="G77" s="40"/>
      <c r="H77" s="41"/>
      <c r="I77" s="42"/>
    </row>
    <row r="78" spans="1:9" x14ac:dyDescent="0.25">
      <c r="A78" s="26" t="s">
        <v>78</v>
      </c>
      <c r="B78" s="27" t="s">
        <v>79</v>
      </c>
      <c r="C78" s="84">
        <v>5923</v>
      </c>
      <c r="D78" s="28">
        <f>SUM(E78:E79)</f>
        <v>389629.50809222332</v>
      </c>
      <c r="E78" s="29">
        <f>(C78/C145)*H146</f>
        <v>85982.696588309933</v>
      </c>
      <c r="F78" s="30"/>
      <c r="G78" s="31"/>
      <c r="H78" s="32">
        <f>(C78/C144)*C5</f>
        <v>86096.653732416074</v>
      </c>
      <c r="I78" s="33">
        <f>SUM(H78:H79)</f>
        <v>390145.90345737757</v>
      </c>
    </row>
    <row r="79" spans="1:9" x14ac:dyDescent="0.25">
      <c r="A79" s="26"/>
      <c r="B79" s="27" t="s">
        <v>80</v>
      </c>
      <c r="C79" s="84">
        <v>20917</v>
      </c>
      <c r="D79" s="28"/>
      <c r="E79" s="29">
        <f>(C79/C145)*H146</f>
        <v>303646.81150391337</v>
      </c>
      <c r="F79" s="30"/>
      <c r="G79" s="31"/>
      <c r="H79" s="32">
        <f>(C79/C144)*C5</f>
        <v>304049.24972496153</v>
      </c>
      <c r="I79" s="33"/>
    </row>
    <row r="80" spans="1:9" x14ac:dyDescent="0.25">
      <c r="A80" s="34"/>
      <c r="B80" s="35"/>
      <c r="C80" s="36"/>
      <c r="D80" s="37"/>
      <c r="E80" s="38"/>
      <c r="F80" s="39"/>
      <c r="G80" s="40"/>
      <c r="H80" s="41"/>
      <c r="I80" s="42"/>
    </row>
    <row r="81" spans="1:9" x14ac:dyDescent="0.25">
      <c r="A81" s="26" t="s">
        <v>81</v>
      </c>
      <c r="B81" s="27" t="s">
        <v>82</v>
      </c>
      <c r="C81" s="84">
        <v>25281</v>
      </c>
      <c r="D81" s="28">
        <f>SUM(E81:E83)</f>
        <v>923482.9045188817</v>
      </c>
      <c r="E81" s="29">
        <f>(C81/C145)*H146</f>
        <v>366997.8984381333</v>
      </c>
      <c r="F81" s="30"/>
      <c r="G81" s="31">
        <v>138648</v>
      </c>
      <c r="H81" s="32">
        <f>(C81/C144)*C5</f>
        <v>367484.29900543828</v>
      </c>
      <c r="I81" s="33">
        <f>SUM(H81:H83)</f>
        <v>924706.84234132175</v>
      </c>
    </row>
    <row r="82" spans="1:9" x14ac:dyDescent="0.25">
      <c r="A82" s="26"/>
      <c r="B82" s="27" t="s">
        <v>83</v>
      </c>
      <c r="C82" s="84">
        <v>27504</v>
      </c>
      <c r="D82" s="28"/>
      <c r="E82" s="29">
        <f>(C82/C145)*H146</f>
        <v>399268.62856067473</v>
      </c>
      <c r="F82" s="30"/>
      <c r="G82" s="31"/>
      <c r="H82" s="32">
        <f>(C82/C144)*C5</f>
        <v>399797.79913158395</v>
      </c>
      <c r="I82" s="33"/>
    </row>
    <row r="83" spans="1:9" x14ac:dyDescent="0.25">
      <c r="A83" s="26"/>
      <c r="B83" s="27" t="s">
        <v>84</v>
      </c>
      <c r="C83" s="84">
        <v>10830</v>
      </c>
      <c r="D83" s="28"/>
      <c r="E83" s="29">
        <f>(C83/C145)*H146</f>
        <v>157216.3775200737</v>
      </c>
      <c r="F83" s="30"/>
      <c r="G83" s="31"/>
      <c r="H83" s="32">
        <f>(C83/C144)*C5</f>
        <v>157424.74420429955</v>
      </c>
      <c r="I83" s="33"/>
    </row>
    <row r="84" spans="1:9" x14ac:dyDescent="0.25">
      <c r="A84" s="34"/>
      <c r="B84" s="35"/>
      <c r="C84" s="36"/>
      <c r="D84" s="37"/>
      <c r="E84" s="38"/>
      <c r="F84" s="39"/>
      <c r="G84" s="40"/>
      <c r="H84" s="41"/>
      <c r="I84" s="42"/>
    </row>
    <row r="85" spans="1:9" x14ac:dyDescent="0.25">
      <c r="A85" s="26" t="s">
        <v>85</v>
      </c>
      <c r="B85" s="27" t="s">
        <v>86</v>
      </c>
      <c r="C85" s="84">
        <v>9404</v>
      </c>
      <c r="D85" s="28">
        <f>SUM(E85:E88)</f>
        <v>1428259.2553155581</v>
      </c>
      <c r="E85" s="29">
        <f>(C85/C145)*H146</f>
        <v>136515.49530921265</v>
      </c>
      <c r="F85" s="30"/>
      <c r="G85" s="31">
        <v>171872</v>
      </c>
      <c r="H85" s="32">
        <f>(C85/C144)*C5</f>
        <v>136696.4260846937</v>
      </c>
      <c r="I85" s="33">
        <f>SUM(H85:H88)</f>
        <v>1430152.1983405743</v>
      </c>
    </row>
    <row r="86" spans="1:9" x14ac:dyDescent="0.25">
      <c r="A86" s="26"/>
      <c r="B86" s="27" t="s">
        <v>87</v>
      </c>
      <c r="C86" s="84">
        <v>46899</v>
      </c>
      <c r="D86" s="28"/>
      <c r="E86" s="29">
        <f>(C86/C145)*H146</f>
        <v>680820.95007515582</v>
      </c>
      <c r="F86" s="30"/>
      <c r="G86" s="31"/>
      <c r="H86" s="32">
        <f>(C86/C144)*C5</f>
        <v>681723.27594066889</v>
      </c>
      <c r="I86" s="33"/>
    </row>
    <row r="87" spans="1:9" x14ac:dyDescent="0.25">
      <c r="A87" s="26"/>
      <c r="B87" s="27" t="s">
        <v>88</v>
      </c>
      <c r="C87" s="84">
        <v>18514</v>
      </c>
      <c r="D87" s="28"/>
      <c r="E87" s="29">
        <f>(C87/C145)*H146</f>
        <v>268763.06679655076</v>
      </c>
      <c r="F87" s="30"/>
      <c r="G87" s="31"/>
      <c r="H87" s="32">
        <f>(C87/C144)*C5</f>
        <v>269119.2718558081</v>
      </c>
      <c r="I87" s="33"/>
    </row>
    <row r="88" spans="1:9" x14ac:dyDescent="0.25">
      <c r="A88" s="26"/>
      <c r="B88" s="27" t="s">
        <v>89</v>
      </c>
      <c r="C88" s="84">
        <v>23570</v>
      </c>
      <c r="D88" s="28"/>
      <c r="E88" s="29">
        <f>(C88/C145)*H146</f>
        <v>342159.7431346387</v>
      </c>
      <c r="F88" s="30"/>
      <c r="G88" s="31"/>
      <c r="H88" s="32">
        <f>(C88/C144)*C5</f>
        <v>342613.22445940354</v>
      </c>
      <c r="I88" s="33"/>
    </row>
    <row r="89" spans="1:9" x14ac:dyDescent="0.25">
      <c r="A89" s="34"/>
      <c r="B89" s="35"/>
      <c r="C89" s="36"/>
      <c r="D89" s="37"/>
      <c r="E89" s="38"/>
      <c r="F89" s="39"/>
      <c r="G89" s="40"/>
      <c r="H89" s="41"/>
      <c r="I89" s="42"/>
    </row>
    <row r="90" spans="1:9" x14ac:dyDescent="0.25">
      <c r="A90" s="45" t="s">
        <v>90</v>
      </c>
      <c r="B90" s="27" t="s">
        <v>91</v>
      </c>
      <c r="C90" s="84">
        <v>6061</v>
      </c>
      <c r="D90" s="46">
        <v>120000</v>
      </c>
      <c r="E90" s="29">
        <v>120000</v>
      </c>
      <c r="F90" s="47">
        <v>120000</v>
      </c>
      <c r="G90" s="31"/>
      <c r="H90" s="32">
        <f>(C90/C144)*C5</f>
        <v>88102.620002055352</v>
      </c>
      <c r="I90" s="33">
        <f>SUM(H90)</f>
        <v>88102.620002055352</v>
      </c>
    </row>
    <row r="91" spans="1:9" x14ac:dyDescent="0.25">
      <c r="A91" s="34"/>
      <c r="B91" s="35"/>
      <c r="C91" s="36"/>
      <c r="D91" s="37"/>
      <c r="E91" s="38"/>
      <c r="F91" s="39"/>
      <c r="G91" s="40"/>
      <c r="H91" s="41"/>
      <c r="I91" s="42"/>
    </row>
    <row r="92" spans="1:9" x14ac:dyDescent="0.25">
      <c r="A92" s="26" t="s">
        <v>92</v>
      </c>
      <c r="B92" s="27" t="s">
        <v>93</v>
      </c>
      <c r="C92" s="84">
        <v>8863</v>
      </c>
      <c r="D92" s="28">
        <f>SUM(E92:E94)</f>
        <v>767137.53186041513</v>
      </c>
      <c r="E92" s="29">
        <f>(C92/C145)*H146</f>
        <v>128661.93480705572</v>
      </c>
      <c r="F92" s="30"/>
      <c r="G92" s="31">
        <v>122674</v>
      </c>
      <c r="H92" s="32">
        <f>(C92/C144)*C5</f>
        <v>128832.45686820931</v>
      </c>
      <c r="I92" s="33">
        <f>SUM(H92:H94)</f>
        <v>768154.2573846915</v>
      </c>
    </row>
    <row r="93" spans="1:9" x14ac:dyDescent="0.25">
      <c r="A93" s="26"/>
      <c r="B93" s="27" t="s">
        <v>94</v>
      </c>
      <c r="C93" s="84">
        <v>4584</v>
      </c>
      <c r="D93" s="28"/>
      <c r="E93" s="29">
        <f>(C93/C145)*H146</f>
        <v>66544.771426779131</v>
      </c>
      <c r="F93" s="30"/>
      <c r="G93" s="31"/>
      <c r="H93" s="32">
        <f>(C93/C144)*C5</f>
        <v>66632.966521930663</v>
      </c>
      <c r="I93" s="33"/>
    </row>
    <row r="94" spans="1:9" x14ac:dyDescent="0.25">
      <c r="A94" s="26"/>
      <c r="B94" s="27" t="s">
        <v>95</v>
      </c>
      <c r="C94" s="84">
        <v>39398</v>
      </c>
      <c r="D94" s="28"/>
      <c r="E94" s="29">
        <f>(C94/C145)*H146</f>
        <v>571930.82562658028</v>
      </c>
      <c r="F94" s="30"/>
      <c r="G94" s="31"/>
      <c r="H94" s="32">
        <f>(C94/C144)*C5</f>
        <v>572688.83399455156</v>
      </c>
      <c r="I94" s="33"/>
    </row>
    <row r="95" spans="1:9" x14ac:dyDescent="0.25">
      <c r="A95" s="34"/>
      <c r="B95" s="35"/>
      <c r="C95" s="36"/>
      <c r="D95" s="37"/>
      <c r="E95" s="38"/>
      <c r="F95" s="39"/>
      <c r="G95" s="40"/>
      <c r="H95" s="41"/>
      <c r="I95" s="42"/>
    </row>
    <row r="96" spans="1:9" x14ac:dyDescent="0.25">
      <c r="A96" s="26" t="s">
        <v>96</v>
      </c>
      <c r="B96" s="27" t="s">
        <v>97</v>
      </c>
      <c r="C96" s="84">
        <v>8961</v>
      </c>
      <c r="D96" s="28">
        <f>SUM(E96:E97)</f>
        <v>257077.08490332274</v>
      </c>
      <c r="E96" s="29">
        <f>(C96/C145)*H146</f>
        <v>130084.57608101389</v>
      </c>
      <c r="F96" s="30"/>
      <c r="G96" s="31">
        <v>214681</v>
      </c>
      <c r="H96" s="32">
        <f>(C96/C144)*C5</f>
        <v>130256.9836394024</v>
      </c>
      <c r="I96" s="33">
        <f>SUM(H96:H97)</f>
        <v>257417.80194957898</v>
      </c>
    </row>
    <row r="97" spans="1:9" x14ac:dyDescent="0.25">
      <c r="A97" s="26"/>
      <c r="B97" s="27" t="s">
        <v>98</v>
      </c>
      <c r="C97" s="84">
        <v>8748</v>
      </c>
      <c r="D97" s="28"/>
      <c r="E97" s="29">
        <f>(C97/C145)*H146</f>
        <v>126992.50882230884</v>
      </c>
      <c r="F97" s="30"/>
      <c r="G97" s="31"/>
      <c r="H97" s="32">
        <f>(C97/C144)*C5</f>
        <v>127160.81831017659</v>
      </c>
      <c r="I97" s="33"/>
    </row>
    <row r="98" spans="1:9" x14ac:dyDescent="0.25">
      <c r="A98" s="34"/>
      <c r="B98" s="35"/>
      <c r="C98" s="36"/>
      <c r="D98" s="37"/>
      <c r="E98" s="38"/>
      <c r="F98" s="39"/>
      <c r="G98" s="40"/>
      <c r="H98" s="41"/>
      <c r="I98" s="42"/>
    </row>
    <row r="99" spans="1:9" x14ac:dyDescent="0.25">
      <c r="A99" s="26" t="s">
        <v>99</v>
      </c>
      <c r="B99" s="27" t="s">
        <v>100</v>
      </c>
      <c r="C99" s="84">
        <v>13925</v>
      </c>
      <c r="D99" s="28">
        <f>SUM(E99:E101)</f>
        <v>722614.66668460099</v>
      </c>
      <c r="E99" s="29">
        <f>(C99/C145)*H146</f>
        <v>202145.71163130438</v>
      </c>
      <c r="F99" s="30"/>
      <c r="G99" s="31"/>
      <c r="H99" s="32">
        <f>(C99/C144)*C5</f>
        <v>202413.62539657168</v>
      </c>
      <c r="I99" s="33">
        <f>SUM(H99:H101)</f>
        <v>723572.38384133182</v>
      </c>
    </row>
    <row r="100" spans="1:9" x14ac:dyDescent="0.25">
      <c r="A100" s="26"/>
      <c r="B100" s="27" t="s">
        <v>101</v>
      </c>
      <c r="C100" s="84">
        <v>16796</v>
      </c>
      <c r="D100" s="28"/>
      <c r="E100" s="29">
        <f>(C100/C145)*H146</f>
        <v>243823.29425920206</v>
      </c>
      <c r="F100" s="30"/>
      <c r="G100" s="31"/>
      <c r="H100" s="32">
        <f>(C100/C144)*C5</f>
        <v>244146.44539754523</v>
      </c>
      <c r="I100" s="33"/>
    </row>
    <row r="101" spans="1:9" x14ac:dyDescent="0.25">
      <c r="A101" s="26"/>
      <c r="B101" s="27" t="s">
        <v>102</v>
      </c>
      <c r="C101" s="84">
        <v>19057</v>
      </c>
      <c r="D101" s="28"/>
      <c r="E101" s="29">
        <f>(C101/C145)*H146</f>
        <v>276645.66079409461</v>
      </c>
      <c r="F101" s="30"/>
      <c r="G101" s="31"/>
      <c r="H101" s="32">
        <f>(C101/C144)*C5</f>
        <v>277012.31304721482</v>
      </c>
      <c r="I101" s="33"/>
    </row>
    <row r="102" spans="1:9" x14ac:dyDescent="0.25">
      <c r="A102" s="34"/>
      <c r="B102" s="35"/>
      <c r="C102" s="36"/>
      <c r="D102" s="37"/>
      <c r="E102" s="38"/>
      <c r="F102" s="39"/>
      <c r="G102" s="40"/>
      <c r="H102" s="41"/>
      <c r="I102" s="42"/>
    </row>
    <row r="103" spans="1:9" x14ac:dyDescent="0.25">
      <c r="A103" s="26" t="s">
        <v>103</v>
      </c>
      <c r="B103" s="27" t="s">
        <v>104</v>
      </c>
      <c r="C103" s="84">
        <v>112936</v>
      </c>
      <c r="D103" s="28">
        <f>SUM(E103)</f>
        <v>1639463.4175075756</v>
      </c>
      <c r="E103" s="29">
        <f>(C103/C145)*H146</f>
        <v>1639463.4175075756</v>
      </c>
      <c r="F103" s="30"/>
      <c r="G103" s="31"/>
      <c r="H103" s="32">
        <f>(C103/C144)*C5</f>
        <v>1641636.279912906</v>
      </c>
      <c r="I103" s="33">
        <f>SUM(H103)</f>
        <v>1641636.279912906</v>
      </c>
    </row>
    <row r="104" spans="1:9" x14ac:dyDescent="0.25">
      <c r="A104" s="34"/>
      <c r="B104" s="35"/>
      <c r="C104" s="36"/>
      <c r="D104" s="37"/>
      <c r="E104" s="38"/>
      <c r="F104" s="39"/>
      <c r="G104" s="40"/>
      <c r="H104" s="41"/>
      <c r="I104" s="42"/>
    </row>
    <row r="105" spans="1:9" x14ac:dyDescent="0.25">
      <c r="A105" s="26" t="s">
        <v>105</v>
      </c>
      <c r="B105" s="27" t="s">
        <v>106</v>
      </c>
      <c r="C105" s="84">
        <v>23213</v>
      </c>
      <c r="D105" s="28">
        <f>SUM(E105:E106)</f>
        <v>687368.00328490208</v>
      </c>
      <c r="E105" s="29">
        <f>(C105/C145)*H146</f>
        <v>336977.26420807675</v>
      </c>
      <c r="F105" s="30"/>
      <c r="G105" s="31">
        <v>135453</v>
      </c>
      <c r="H105" s="32">
        <f>(C105/C144)*C5</f>
        <v>337423.87693577149</v>
      </c>
      <c r="I105" s="33">
        <f>SUM(H105:H106)</f>
        <v>688279.00628564949</v>
      </c>
    </row>
    <row r="106" spans="1:9" x14ac:dyDescent="0.25">
      <c r="A106" s="26"/>
      <c r="B106" s="27" t="s">
        <v>107</v>
      </c>
      <c r="C106" s="84">
        <v>24137</v>
      </c>
      <c r="D106" s="28"/>
      <c r="E106" s="29">
        <f>(C106/C145)*H146</f>
        <v>350390.73907682538</v>
      </c>
      <c r="F106" s="30"/>
      <c r="G106" s="31"/>
      <c r="H106" s="32">
        <f>(C106/C144)*C5</f>
        <v>350855.12934987794</v>
      </c>
      <c r="I106" s="33"/>
    </row>
    <row r="107" spans="1:9" x14ac:dyDescent="0.25">
      <c r="A107" s="34"/>
      <c r="B107" s="35"/>
      <c r="C107" s="36"/>
      <c r="D107" s="37"/>
      <c r="E107" s="38"/>
      <c r="F107" s="39"/>
      <c r="G107" s="40"/>
      <c r="H107" s="41"/>
      <c r="I107" s="42"/>
    </row>
    <row r="108" spans="1:9" x14ac:dyDescent="0.25">
      <c r="A108" s="26" t="s">
        <v>108</v>
      </c>
      <c r="B108" s="27" t="s">
        <v>109</v>
      </c>
      <c r="C108" s="84">
        <v>5860</v>
      </c>
      <c r="D108" s="28">
        <f>SUM(E108:E111)</f>
        <v>533316.27676200075</v>
      </c>
      <c r="E108" s="29">
        <f>(C108/C145)*H146</f>
        <v>85068.14148362253</v>
      </c>
      <c r="F108" s="30"/>
      <c r="G108" s="31">
        <v>189123</v>
      </c>
      <c r="H108" s="32">
        <f>(C108/C144)*C5</f>
        <v>85180.886522363362</v>
      </c>
      <c r="I108" s="33">
        <f>SUM(H108:H111)</f>
        <v>534023.10734788142</v>
      </c>
    </row>
    <row r="109" spans="1:9" x14ac:dyDescent="0.25">
      <c r="A109" s="26"/>
      <c r="B109" s="27" t="s">
        <v>110</v>
      </c>
      <c r="C109" s="84">
        <v>5564</v>
      </c>
      <c r="D109" s="28"/>
      <c r="E109" s="29">
        <f>(C109/C145)*H146</f>
        <v>80771.184166361039</v>
      </c>
      <c r="F109" s="30"/>
      <c r="G109" s="31"/>
      <c r="H109" s="32">
        <f>(C109/C144)*C5</f>
        <v>80878.234233861731</v>
      </c>
      <c r="I109" s="33"/>
    </row>
    <row r="110" spans="1:9" x14ac:dyDescent="0.25">
      <c r="A110" s="26"/>
      <c r="B110" s="27" t="s">
        <v>111</v>
      </c>
      <c r="C110" s="84">
        <v>14281</v>
      </c>
      <c r="D110" s="28"/>
      <c r="E110" s="29">
        <f>(C110/C145)*H146</f>
        <v>207313.67381017294</v>
      </c>
      <c r="F110" s="30"/>
      <c r="G110" s="31"/>
      <c r="H110" s="32">
        <f>(C110/C144)*C5</f>
        <v>207588.43693274254</v>
      </c>
      <c r="I110" s="33"/>
    </row>
    <row r="111" spans="1:9" x14ac:dyDescent="0.25">
      <c r="A111" s="26"/>
      <c r="B111" s="27" t="s">
        <v>112</v>
      </c>
      <c r="C111" s="84">
        <v>11033</v>
      </c>
      <c r="D111" s="28"/>
      <c r="E111" s="29">
        <f>(C111/C145)*H146</f>
        <v>160163.27730184424</v>
      </c>
      <c r="F111" s="30"/>
      <c r="G111" s="31"/>
      <c r="H111" s="32">
        <f>(C111/C144)*C5</f>
        <v>160375.54965891381</v>
      </c>
      <c r="I111" s="33"/>
    </row>
    <row r="112" spans="1:9" x14ac:dyDescent="0.25">
      <c r="A112" s="34"/>
      <c r="B112" s="35"/>
      <c r="C112" s="36"/>
      <c r="D112" s="37"/>
      <c r="E112" s="38"/>
      <c r="F112" s="39"/>
      <c r="G112" s="40"/>
      <c r="H112" s="41"/>
      <c r="I112" s="42"/>
    </row>
    <row r="113" spans="1:9" x14ac:dyDescent="0.25">
      <c r="A113" s="26" t="s">
        <v>113</v>
      </c>
      <c r="B113" s="27" t="s">
        <v>114</v>
      </c>
      <c r="C113" s="84">
        <v>8750</v>
      </c>
      <c r="D113" s="28">
        <f>SUM(E113:E119)</f>
        <v>1616889.8748442593</v>
      </c>
      <c r="E113" s="29">
        <f>(C113/C145)*H146</f>
        <v>127021.54231769576</v>
      </c>
      <c r="F113" s="30"/>
      <c r="G113" s="31">
        <v>321382</v>
      </c>
      <c r="H113" s="32">
        <f>(C113/C144)*C5</f>
        <v>127189.8902850989</v>
      </c>
      <c r="I113" s="33">
        <f>SUM(H113:H119)</f>
        <v>1619032.8194108114</v>
      </c>
    </row>
    <row r="114" spans="1:9" x14ac:dyDescent="0.25">
      <c r="A114" s="26"/>
      <c r="B114" s="27" t="s">
        <v>115</v>
      </c>
      <c r="C114" s="84">
        <v>18438</v>
      </c>
      <c r="D114" s="28"/>
      <c r="E114" s="29">
        <f>(C114/C145)*H146</f>
        <v>267659.7939718485</v>
      </c>
      <c r="F114" s="30"/>
      <c r="G114" s="31"/>
      <c r="H114" s="32">
        <f>(C114/C144)*C5</f>
        <v>268014.53680876037</v>
      </c>
      <c r="I114" s="33"/>
    </row>
    <row r="115" spans="1:9" x14ac:dyDescent="0.25">
      <c r="A115" s="26"/>
      <c r="B115" s="27" t="s">
        <v>116</v>
      </c>
      <c r="C115" s="84">
        <v>13119</v>
      </c>
      <c r="D115" s="28"/>
      <c r="E115" s="29">
        <f>(C115/C145)*H146</f>
        <v>190445.21299038292</v>
      </c>
      <c r="F115" s="30"/>
      <c r="G115" s="31"/>
      <c r="H115" s="32">
        <f>(C115/C144)*C5</f>
        <v>190697.61950288143</v>
      </c>
      <c r="I115" s="33"/>
    </row>
    <row r="116" spans="1:9" x14ac:dyDescent="0.25">
      <c r="A116" s="26"/>
      <c r="B116" s="27" t="s">
        <v>117</v>
      </c>
      <c r="C116" s="84">
        <v>9897</v>
      </c>
      <c r="D116" s="28"/>
      <c r="E116" s="29">
        <f>(C116/C145)*H146</f>
        <v>143672.25192208399</v>
      </c>
      <c r="F116" s="30"/>
      <c r="G116" s="31"/>
      <c r="H116" s="32">
        <f>(C116/C144)*C5</f>
        <v>143862.66790304272</v>
      </c>
      <c r="I116" s="33"/>
    </row>
    <row r="117" spans="1:9" x14ac:dyDescent="0.25">
      <c r="A117" s="26"/>
      <c r="B117" s="27" t="s">
        <v>118</v>
      </c>
      <c r="C117" s="84">
        <v>8502</v>
      </c>
      <c r="D117" s="28"/>
      <c r="E117" s="29">
        <f>(C117/C145)*H146</f>
        <v>123421.38888971991</v>
      </c>
      <c r="F117" s="30"/>
      <c r="G117" s="31"/>
      <c r="H117" s="32">
        <f>(C117/C144)*C5</f>
        <v>123584.96539473266</v>
      </c>
      <c r="I117" s="33"/>
    </row>
    <row r="118" spans="1:9" x14ac:dyDescent="0.25">
      <c r="A118" s="26"/>
      <c r="B118" s="27" t="s">
        <v>119</v>
      </c>
      <c r="C118" s="84">
        <v>43106</v>
      </c>
      <c r="D118" s="28"/>
      <c r="E118" s="29">
        <f>(C118/C145)*H146</f>
        <v>625758.92607389635</v>
      </c>
      <c r="F118" s="30"/>
      <c r="G118" s="31"/>
      <c r="H118" s="32">
        <f>(C118/C144)*C5</f>
        <v>626588.27550051117</v>
      </c>
      <c r="I118" s="33"/>
    </row>
    <row r="119" spans="1:9" x14ac:dyDescent="0.25">
      <c r="A119" s="26"/>
      <c r="B119" s="27" t="s">
        <v>120</v>
      </c>
      <c r="C119" s="84">
        <v>9569</v>
      </c>
      <c r="D119" s="28"/>
      <c r="E119" s="29">
        <f>(C119/C145)*H146</f>
        <v>138910.75867863206</v>
      </c>
      <c r="F119" s="30"/>
      <c r="G119" s="31"/>
      <c r="H119" s="32">
        <f>(C119/C144)*C5</f>
        <v>139094.86401578414</v>
      </c>
      <c r="I119" s="33"/>
    </row>
    <row r="120" spans="1:9" x14ac:dyDescent="0.25">
      <c r="A120" s="34"/>
      <c r="B120" s="35"/>
      <c r="C120" s="36"/>
      <c r="D120" s="37"/>
      <c r="E120" s="38"/>
      <c r="F120" s="39"/>
      <c r="G120" s="40"/>
      <c r="H120" s="41"/>
      <c r="I120" s="42"/>
    </row>
    <row r="121" spans="1:9" x14ac:dyDescent="0.25">
      <c r="A121" s="45" t="s">
        <v>121</v>
      </c>
      <c r="B121" s="48" t="s">
        <v>122</v>
      </c>
      <c r="C121" s="84">
        <v>4317</v>
      </c>
      <c r="D121" s="28">
        <f>SUM(E121:E123)</f>
        <v>422335.74064556824</v>
      </c>
      <c r="E121" s="49">
        <f>(C121/C145)*H146</f>
        <v>62668.799792627717</v>
      </c>
      <c r="F121" s="50"/>
      <c r="G121" s="44"/>
      <c r="H121" s="51">
        <f>(C121/C144)*C5</f>
        <v>62751.857869802501</v>
      </c>
      <c r="I121" s="52">
        <f>SUM(H121:H123)</f>
        <v>422895.48320735793</v>
      </c>
    </row>
    <row r="122" spans="1:9" x14ac:dyDescent="0.25">
      <c r="A122" s="45"/>
      <c r="B122" s="48" t="s">
        <v>123</v>
      </c>
      <c r="C122" s="84">
        <v>7236</v>
      </c>
      <c r="D122" s="28"/>
      <c r="E122" s="49">
        <f>(C122/C145)*H146</f>
        <v>105043.18630981102</v>
      </c>
      <c r="F122" s="50"/>
      <c r="G122" s="44"/>
      <c r="H122" s="51">
        <f>(C122/C144)*C5</f>
        <v>105182.40526891149</v>
      </c>
      <c r="I122" s="52"/>
    </row>
    <row r="123" spans="1:9" x14ac:dyDescent="0.25">
      <c r="A123" s="45"/>
      <c r="B123" s="48" t="s">
        <v>124</v>
      </c>
      <c r="C123" s="84">
        <v>17540</v>
      </c>
      <c r="D123" s="28"/>
      <c r="E123" s="49">
        <f>(C123/C145)*H146</f>
        <v>254623.75454312953</v>
      </c>
      <c r="F123" s="50"/>
      <c r="G123" s="44"/>
      <c r="H123" s="51">
        <f>(C123/C144)*C5</f>
        <v>254961.22006864395</v>
      </c>
      <c r="I123" s="52"/>
    </row>
    <row r="124" spans="1:9" x14ac:dyDescent="0.25">
      <c r="A124" s="34"/>
      <c r="B124" s="35"/>
      <c r="C124" s="36"/>
      <c r="D124" s="37"/>
      <c r="E124" s="38"/>
      <c r="F124" s="39"/>
      <c r="G124" s="40"/>
      <c r="H124" s="41"/>
      <c r="I124" s="42"/>
    </row>
    <row r="125" spans="1:9" x14ac:dyDescent="0.25">
      <c r="A125" s="26" t="s">
        <v>125</v>
      </c>
      <c r="B125" s="27" t="s">
        <v>126</v>
      </c>
      <c r="C125" s="84">
        <v>23279</v>
      </c>
      <c r="D125" s="28">
        <f>SUM(E125)</f>
        <v>337935.36955584452</v>
      </c>
      <c r="E125" s="29">
        <f>(C125/C145)*H146</f>
        <v>337935.36955584452</v>
      </c>
      <c r="F125" s="30"/>
      <c r="G125" s="31"/>
      <c r="H125" s="32">
        <f>(C125/C144)*C5</f>
        <v>338383.25210820767</v>
      </c>
      <c r="I125" s="33">
        <f>SUM(H125)</f>
        <v>338383.25210820767</v>
      </c>
    </row>
    <row r="126" spans="1:9" x14ac:dyDescent="0.25">
      <c r="A126" s="34"/>
      <c r="B126" s="35"/>
      <c r="C126" s="36"/>
      <c r="D126" s="37"/>
      <c r="E126" s="38"/>
      <c r="F126" s="39"/>
      <c r="G126" s="40"/>
      <c r="H126" s="41"/>
      <c r="I126" s="42"/>
    </row>
    <row r="127" spans="1:9" x14ac:dyDescent="0.25">
      <c r="A127" s="45" t="s">
        <v>157</v>
      </c>
      <c r="B127" s="27" t="s">
        <v>127</v>
      </c>
      <c r="C127" s="84">
        <v>2894</v>
      </c>
      <c r="D127" s="28">
        <f>SUM(E127:E130)</f>
        <v>315768.29582794488</v>
      </c>
      <c r="E127" s="87">
        <f>(C127/C145)*H146</f>
        <v>42011.46782484703</v>
      </c>
      <c r="F127" s="30"/>
      <c r="G127" s="44">
        <v>318826</v>
      </c>
      <c r="H127" s="32">
        <f>(C127/C144)*C5</f>
        <v>42067.147712580132</v>
      </c>
      <c r="I127" s="33">
        <f>SUM(H127:H130)</f>
        <v>316186.79925502528</v>
      </c>
    </row>
    <row r="128" spans="1:9" x14ac:dyDescent="0.25">
      <c r="A128" s="45"/>
      <c r="B128" s="27" t="s">
        <v>128</v>
      </c>
      <c r="C128" s="84">
        <v>12227</v>
      </c>
      <c r="D128" s="28"/>
      <c r="E128" s="87">
        <f>(C128/C145)*H146</f>
        <v>177496.27404782467</v>
      </c>
      <c r="F128" s="30"/>
      <c r="G128" s="31"/>
      <c r="H128" s="32">
        <f>(C128/C144)*C5</f>
        <v>177731.51868753191</v>
      </c>
      <c r="I128" s="33"/>
    </row>
    <row r="129" spans="1:9" x14ac:dyDescent="0.25">
      <c r="A129" s="45"/>
      <c r="B129" s="27" t="s">
        <v>129</v>
      </c>
      <c r="C129" s="84">
        <v>3590</v>
      </c>
      <c r="D129" s="28"/>
      <c r="E129" s="87">
        <f>(C129/C145)*H146</f>
        <v>52115.124219488891</v>
      </c>
      <c r="F129" s="30"/>
      <c r="G129" s="31"/>
      <c r="H129" s="32">
        <f>(C129/C144)*C5</f>
        <v>52184.194985543429</v>
      </c>
      <c r="I129" s="33"/>
    </row>
    <row r="130" spans="1:9" x14ac:dyDescent="0.25">
      <c r="A130" s="45"/>
      <c r="B130" s="27" t="s">
        <v>130</v>
      </c>
      <c r="C130" s="84">
        <v>3041</v>
      </c>
      <c r="D130" s="28"/>
      <c r="E130" s="87">
        <f>(C130/C145)*H146</f>
        <v>44145.429735784317</v>
      </c>
      <c r="F130" s="30"/>
      <c r="G130" s="31"/>
      <c r="H130" s="32">
        <f>(C130/C144)*C5</f>
        <v>44203.937869369794</v>
      </c>
      <c r="I130" s="33"/>
    </row>
    <row r="131" spans="1:9" x14ac:dyDescent="0.25">
      <c r="A131" s="34"/>
      <c r="B131" s="35"/>
      <c r="C131" s="36"/>
      <c r="D131" s="37"/>
      <c r="E131" s="38"/>
      <c r="F131" s="39"/>
      <c r="G131" s="40"/>
      <c r="H131" s="41"/>
      <c r="I131" s="42"/>
    </row>
    <row r="132" spans="1:9" x14ac:dyDescent="0.25">
      <c r="A132" s="26" t="s">
        <v>131</v>
      </c>
      <c r="B132" s="27" t="s">
        <v>132</v>
      </c>
      <c r="C132" s="84">
        <v>28355</v>
      </c>
      <c r="D132" s="28">
        <f>SUM(E132)</f>
        <v>411622.38084780151</v>
      </c>
      <c r="E132" s="29">
        <f>(C132/C145)*H146</f>
        <v>411622.38084780151</v>
      </c>
      <c r="F132" s="30"/>
      <c r="G132" s="31">
        <v>129064</v>
      </c>
      <c r="H132" s="32">
        <f>(C132/C144)*C5</f>
        <v>412167.92446102615</v>
      </c>
      <c r="I132" s="33">
        <f>SUM(H132)</f>
        <v>412167.92446102615</v>
      </c>
    </row>
    <row r="133" spans="1:9" x14ac:dyDescent="0.25">
      <c r="A133" s="34"/>
      <c r="B133" s="35"/>
      <c r="C133" s="36"/>
      <c r="D133" s="37"/>
      <c r="E133" s="38"/>
      <c r="F133" s="39"/>
      <c r="G133" s="40"/>
      <c r="H133" s="41"/>
      <c r="I133" s="42"/>
    </row>
    <row r="134" spans="1:9" x14ac:dyDescent="0.25">
      <c r="A134" s="26" t="s">
        <v>133</v>
      </c>
      <c r="B134" s="27" t="s">
        <v>134</v>
      </c>
      <c r="C134" s="84">
        <v>86041</v>
      </c>
      <c r="D134" s="28">
        <f>SUM(E134)</f>
        <v>1249035.4882922126</v>
      </c>
      <c r="E134" s="29">
        <f>(C134/C145)*H146</f>
        <v>1249035.4882922126</v>
      </c>
      <c r="F134" s="30"/>
      <c r="G134" s="31"/>
      <c r="H134" s="32">
        <f>(C134/C144)*C5</f>
        <v>1250690.8971451649</v>
      </c>
      <c r="I134" s="33">
        <f>SUM(H134)</f>
        <v>1250690.8971451649</v>
      </c>
    </row>
    <row r="135" spans="1:9" x14ac:dyDescent="0.25">
      <c r="A135" s="34"/>
      <c r="B135" s="35"/>
      <c r="C135" s="36"/>
      <c r="D135" s="37"/>
      <c r="E135" s="38"/>
      <c r="F135" s="39"/>
      <c r="G135" s="40"/>
      <c r="H135" s="41"/>
      <c r="I135" s="42"/>
    </row>
    <row r="136" spans="1:9" x14ac:dyDescent="0.25">
      <c r="A136" s="26" t="s">
        <v>135</v>
      </c>
      <c r="B136" s="27" t="s">
        <v>136</v>
      </c>
      <c r="C136" s="84">
        <v>14185</v>
      </c>
      <c r="D136" s="28">
        <f>SUM(E136:E138)</f>
        <v>324158.97599475953</v>
      </c>
      <c r="E136" s="29">
        <f>(C136/C145)*H146</f>
        <v>205920.0660316016</v>
      </c>
      <c r="F136" s="30"/>
      <c r="G136" s="31"/>
      <c r="H136" s="32">
        <f>(C136/C144)*C5</f>
        <v>206192.98213647172</v>
      </c>
      <c r="I136" s="33">
        <f>SUM(H136:H138)</f>
        <v>324588.60000757233</v>
      </c>
    </row>
    <row r="137" spans="1:9" x14ac:dyDescent="0.25">
      <c r="A137" s="53" t="s">
        <v>135</v>
      </c>
      <c r="B137" s="27" t="s">
        <v>137</v>
      </c>
      <c r="C137" s="84">
        <v>2942</v>
      </c>
      <c r="D137" s="28"/>
      <c r="E137" s="29">
        <f>(C137/C145)*H146</f>
        <v>42708.271714132672</v>
      </c>
      <c r="F137" s="30"/>
      <c r="G137" s="31"/>
      <c r="H137" s="32">
        <f>(C137/C144)*C5</f>
        <v>42764.875110715533</v>
      </c>
      <c r="I137" s="33"/>
    </row>
    <row r="138" spans="1:9" x14ac:dyDescent="0.25">
      <c r="A138" s="53" t="s">
        <v>135</v>
      </c>
      <c r="B138" s="27" t="s">
        <v>138</v>
      </c>
      <c r="C138" s="84">
        <v>5203</v>
      </c>
      <c r="D138" s="28"/>
      <c r="E138" s="29">
        <f>(C138/C145)*H146</f>
        <v>75530.638249025258</v>
      </c>
      <c r="F138" s="30"/>
      <c r="G138" s="31"/>
      <c r="H138" s="32">
        <f>(C138/C144)*C5</f>
        <v>75630.742760385081</v>
      </c>
      <c r="I138" s="33"/>
    </row>
    <row r="139" spans="1:9" x14ac:dyDescent="0.25">
      <c r="A139" s="34"/>
      <c r="B139" s="35"/>
      <c r="C139" s="36"/>
      <c r="D139" s="37"/>
      <c r="E139" s="38"/>
      <c r="F139" s="39"/>
      <c r="G139" s="40"/>
      <c r="H139" s="41"/>
      <c r="I139" s="42"/>
    </row>
    <row r="140" spans="1:9" x14ac:dyDescent="0.25">
      <c r="A140" s="26" t="s">
        <v>139</v>
      </c>
      <c r="B140" s="27" t="s">
        <v>140</v>
      </c>
      <c r="C140" s="84">
        <v>5681</v>
      </c>
      <c r="D140" s="28">
        <f>SUM(E140:E143)</f>
        <v>465973.0842120818</v>
      </c>
      <c r="E140" s="29">
        <f>(C140/C145)*H146</f>
        <v>82469.643646494806</v>
      </c>
      <c r="F140" s="30"/>
      <c r="G140" s="31">
        <v>173150</v>
      </c>
      <c r="H140" s="32">
        <f>(C140/C144)*C5</f>
        <v>82578.94476681677</v>
      </c>
      <c r="I140" s="33">
        <f>SUM(H140:H143)</f>
        <v>466590.66151558736</v>
      </c>
    </row>
    <row r="141" spans="1:9" x14ac:dyDescent="0.25">
      <c r="A141" s="54" t="s">
        <v>139</v>
      </c>
      <c r="B141" s="27" t="s">
        <v>141</v>
      </c>
      <c r="C141" s="84">
        <v>6355</v>
      </c>
      <c r="D141" s="28"/>
      <c r="E141" s="29">
        <f>(C141/C145)*H146</f>
        <v>92253.931591880741</v>
      </c>
      <c r="F141" s="30"/>
      <c r="G141" s="31"/>
      <c r="H141" s="32">
        <f>(C141/C144)*C5</f>
        <v>92376.200315634676</v>
      </c>
      <c r="I141" s="33"/>
    </row>
    <row r="142" spans="1:9" x14ac:dyDescent="0.25">
      <c r="A142" s="54" t="s">
        <v>139</v>
      </c>
      <c r="B142" s="27" t="s">
        <v>142</v>
      </c>
      <c r="C142" s="84">
        <v>13633</v>
      </c>
      <c r="D142" s="28"/>
      <c r="E142" s="29">
        <f>(C142/C145)*H146</f>
        <v>197906.82130481669</v>
      </c>
      <c r="F142" s="30"/>
      <c r="G142" s="55"/>
      <c r="H142" s="32">
        <f>(C142/C144)*C5</f>
        <v>198169.11705791464</v>
      </c>
      <c r="I142" s="33"/>
    </row>
    <row r="143" spans="1:9" x14ac:dyDescent="0.25">
      <c r="A143" s="54" t="s">
        <v>139</v>
      </c>
      <c r="B143" s="27" t="s">
        <v>143</v>
      </c>
      <c r="C143" s="84">
        <v>6430</v>
      </c>
      <c r="D143" s="28"/>
      <c r="E143" s="29">
        <f>(C143/C145)*H146</f>
        <v>93342.687668889572</v>
      </c>
      <c r="F143" s="30"/>
      <c r="G143" s="55"/>
      <c r="H143" s="32">
        <f>(C143/C144)*C5</f>
        <v>93466.399375221241</v>
      </c>
      <c r="I143" s="33"/>
    </row>
    <row r="144" spans="1:9" s="70" customFormat="1" x14ac:dyDescent="0.25">
      <c r="A144" s="75"/>
      <c r="B144" s="76"/>
      <c r="C144" s="72">
        <f>SUM(C10:C143)</f>
        <v>1663949</v>
      </c>
      <c r="D144" s="77"/>
      <c r="E144" s="78">
        <f>SUM(E10:E143)</f>
        <v>24187141.799999993</v>
      </c>
      <c r="F144" s="76"/>
      <c r="G144" s="79"/>
      <c r="H144" s="80">
        <f>SUM(H10:H143)</f>
        <v>24187141.799999997</v>
      </c>
      <c r="I144" s="81">
        <f>SUM(I10:I143)</f>
        <v>24187141.800000001</v>
      </c>
    </row>
    <row r="145" spans="1:9" s="70" customFormat="1" x14ac:dyDescent="0.25">
      <c r="A145" s="75"/>
      <c r="B145" s="76"/>
      <c r="C145" s="86">
        <f>C144-C90</f>
        <v>1657888</v>
      </c>
      <c r="D145" s="82">
        <f>SUM(D10:D143)</f>
        <v>24187141.799999993</v>
      </c>
      <c r="E145" s="78"/>
      <c r="F145" s="76"/>
      <c r="G145" s="79"/>
      <c r="H145" s="83"/>
      <c r="I145" s="81"/>
    </row>
    <row r="146" spans="1:9" x14ac:dyDescent="0.25">
      <c r="A146" s="127" t="s">
        <v>144</v>
      </c>
      <c r="B146" s="129" t="s">
        <v>156</v>
      </c>
      <c r="C146" s="56"/>
      <c r="D146" s="57"/>
      <c r="E146" s="58"/>
      <c r="F146" s="59"/>
      <c r="G146" s="56"/>
      <c r="H146" s="85">
        <f>H144-120000</f>
        <v>24067141.799999997</v>
      </c>
      <c r="I146" s="60"/>
    </row>
    <row r="147" spans="1:9" x14ac:dyDescent="0.25">
      <c r="A147" s="128"/>
      <c r="B147" s="130"/>
      <c r="C147" s="13"/>
      <c r="D147" s="11"/>
      <c r="E147" s="12"/>
      <c r="F147" s="10"/>
      <c r="G147" s="13"/>
      <c r="H147" s="14"/>
      <c r="I147" s="61"/>
    </row>
    <row r="148" spans="1:9" x14ac:dyDescent="0.25">
      <c r="A148" s="26" t="s">
        <v>145</v>
      </c>
      <c r="B148" s="62">
        <f>C6-(B149+B150+B151+B152)</f>
        <v>780304.06907000009</v>
      </c>
      <c r="C148" s="13"/>
      <c r="D148" s="11"/>
      <c r="E148" s="12"/>
      <c r="F148" s="10"/>
      <c r="G148" s="13"/>
      <c r="H148" s="14"/>
      <c r="I148" s="61"/>
    </row>
    <row r="149" spans="1:9" x14ac:dyDescent="0.25">
      <c r="A149" s="26" t="s">
        <v>146</v>
      </c>
      <c r="B149" s="62">
        <f>C6*0.096</f>
        <v>128998.08960000001</v>
      </c>
      <c r="C149" s="13"/>
      <c r="D149" s="11"/>
      <c r="E149" s="12"/>
      <c r="F149" s="10"/>
      <c r="G149" s="13"/>
      <c r="H149" s="14"/>
      <c r="I149" s="61"/>
    </row>
    <row r="150" spans="1:9" x14ac:dyDescent="0.25">
      <c r="A150" s="26" t="s">
        <v>147</v>
      </c>
      <c r="B150" s="62">
        <f>C6*0.153</f>
        <v>205590.7053</v>
      </c>
      <c r="C150" s="13"/>
      <c r="D150" s="11"/>
      <c r="E150" s="12"/>
      <c r="F150" s="10"/>
      <c r="G150" s="13"/>
      <c r="H150" s="14"/>
      <c r="I150" s="61"/>
    </row>
    <row r="151" spans="1:9" x14ac:dyDescent="0.25">
      <c r="A151" s="26" t="s">
        <v>148</v>
      </c>
      <c r="B151" s="62">
        <f>C6*0.1275</f>
        <v>171325.58775000001</v>
      </c>
      <c r="C151" s="13"/>
      <c r="D151" s="11"/>
      <c r="E151" s="12"/>
      <c r="F151" s="10"/>
      <c r="G151" s="13"/>
      <c r="H151" s="14"/>
      <c r="I151" s="61"/>
    </row>
    <row r="152" spans="1:9" x14ac:dyDescent="0.25">
      <c r="A152" s="26" t="s">
        <v>149</v>
      </c>
      <c r="B152" s="62">
        <f>C6*0.0428</f>
        <v>57511.648280000001</v>
      </c>
      <c r="C152" s="13"/>
      <c r="D152" s="11"/>
      <c r="E152" s="12"/>
      <c r="F152" s="10"/>
      <c r="G152" s="13"/>
      <c r="H152" s="14"/>
      <c r="I152" s="61"/>
    </row>
    <row r="153" spans="1:9" x14ac:dyDescent="0.25">
      <c r="A153" s="30" t="s">
        <v>150</v>
      </c>
      <c r="B153" s="63">
        <f>SUM(B148:B152)</f>
        <v>1343730.1</v>
      </c>
      <c r="C153" s="13"/>
      <c r="D153" s="11"/>
      <c r="E153" s="12"/>
      <c r="F153" s="10"/>
      <c r="G153" s="13"/>
      <c r="H153" s="14"/>
      <c r="I153" s="61"/>
    </row>
  </sheetData>
  <mergeCells count="3">
    <mergeCell ref="A1:I1"/>
    <mergeCell ref="A146:A147"/>
    <mergeCell ref="B146:B1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8"/>
  <sheetViews>
    <sheetView topLeftCell="C1" workbookViewId="0">
      <pane ySplit="9" topLeftCell="A10" activePane="bottomLeft" state="frozen"/>
      <selection pane="bottomLeft" activeCell="C155" sqref="C155"/>
    </sheetView>
  </sheetViews>
  <sheetFormatPr defaultRowHeight="15" x14ac:dyDescent="0.25"/>
  <cols>
    <col min="1" max="1" width="35.5703125" style="1" customWidth="1"/>
    <col min="2" max="2" width="13.42578125" style="1" customWidth="1"/>
    <col min="3" max="3" width="17.7109375" style="3" customWidth="1"/>
    <col min="4" max="4" width="12.140625" style="5" customWidth="1"/>
    <col min="5" max="5" width="13.7109375" style="6" customWidth="1"/>
    <col min="6" max="6" width="12.140625" style="6" customWidth="1"/>
    <col min="7" max="8" width="13" style="6" customWidth="1"/>
    <col min="9" max="9" width="12.140625" style="6" customWidth="1"/>
    <col min="10" max="10" width="12.7109375" style="1" customWidth="1"/>
    <col min="11" max="11" width="10.140625" style="3" customWidth="1"/>
    <col min="12" max="12" width="11" style="7" customWidth="1"/>
    <col min="13" max="13" width="10.85546875" style="8" customWidth="1"/>
    <col min="14" max="16384" width="9.140625" style="1"/>
  </cols>
  <sheetData>
    <row r="1" spans="1:13" x14ac:dyDescent="0.25">
      <c r="A1" s="126" t="s">
        <v>175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x14ac:dyDescent="0.25">
      <c r="A2" s="88"/>
      <c r="B2" s="88"/>
      <c r="C2" s="64"/>
      <c r="D2" s="64"/>
      <c r="E2" s="64"/>
      <c r="F2" s="64"/>
      <c r="G2" s="64"/>
      <c r="H2" s="64"/>
      <c r="I2" s="64"/>
      <c r="L2" s="88"/>
      <c r="M2" s="88"/>
    </row>
    <row r="3" spans="1:13" x14ac:dyDescent="0.25">
      <c r="A3" s="4" t="s">
        <v>152</v>
      </c>
      <c r="B3" s="73">
        <v>26874602</v>
      </c>
      <c r="C3" s="65"/>
      <c r="D3" s="66"/>
      <c r="E3" s="67"/>
      <c r="F3" s="67"/>
      <c r="G3" s="67"/>
      <c r="H3" s="67"/>
      <c r="I3" s="67"/>
    </row>
    <row r="4" spans="1:13" x14ac:dyDescent="0.25">
      <c r="A4" s="9" t="s">
        <v>1</v>
      </c>
      <c r="B4" s="73"/>
      <c r="C4" s="18">
        <v>23787347</v>
      </c>
      <c r="D4" s="68"/>
      <c r="E4" s="69"/>
      <c r="F4" s="96"/>
      <c r="G4" s="97"/>
      <c r="H4" s="97"/>
      <c r="I4" s="69"/>
      <c r="J4" s="10"/>
      <c r="K4" s="13"/>
      <c r="L4" s="14"/>
      <c r="M4" s="15"/>
    </row>
    <row r="5" spans="1:13" x14ac:dyDescent="0.25">
      <c r="A5" s="16" t="s">
        <v>2</v>
      </c>
      <c r="B5" s="73">
        <f>B3*0.9</f>
        <v>24187141.800000001</v>
      </c>
      <c r="C5" s="71">
        <f>B3*0.9</f>
        <v>24187141.800000001</v>
      </c>
      <c r="D5" s="68"/>
      <c r="E5" s="17"/>
      <c r="F5" s="91"/>
      <c r="G5" s="91"/>
      <c r="H5" s="91"/>
      <c r="I5" s="17"/>
      <c r="J5" s="10"/>
      <c r="K5" s="13"/>
      <c r="L5" s="14"/>
      <c r="M5" s="19"/>
    </row>
    <row r="6" spans="1:13" x14ac:dyDescent="0.25">
      <c r="A6" s="16" t="s">
        <v>3</v>
      </c>
      <c r="B6" s="74">
        <f>B3*0.05</f>
        <v>1343730.1</v>
      </c>
      <c r="C6" s="71">
        <f>B3*0.05</f>
        <v>1343730.1</v>
      </c>
      <c r="D6" s="68"/>
      <c r="E6" s="91">
        <f>C6-103842</f>
        <v>1239888.1000000001</v>
      </c>
      <c r="F6" s="91"/>
      <c r="G6" s="91"/>
      <c r="H6" s="91"/>
      <c r="I6" s="17"/>
      <c r="J6" s="10"/>
      <c r="K6" s="13"/>
      <c r="L6" s="14"/>
      <c r="M6" s="19"/>
    </row>
    <row r="7" spans="1:13" ht="16.5" customHeight="1" x14ac:dyDescent="0.25">
      <c r="A7" s="16" t="s">
        <v>4</v>
      </c>
      <c r="B7" s="74">
        <f>B3*0.05</f>
        <v>1343730.1</v>
      </c>
      <c r="C7" s="71">
        <f>B3*0.05</f>
        <v>1343730.1</v>
      </c>
      <c r="D7" s="68"/>
      <c r="E7" s="17"/>
      <c r="F7" s="91"/>
      <c r="G7" s="91"/>
      <c r="H7" s="91"/>
      <c r="I7" s="17"/>
      <c r="J7" s="10"/>
      <c r="K7" s="13"/>
      <c r="L7" s="14"/>
      <c r="M7" s="19"/>
    </row>
    <row r="8" spans="1:13" ht="16.5" customHeight="1" x14ac:dyDescent="0.25">
      <c r="A8" s="16"/>
      <c r="B8" s="17"/>
      <c r="C8" s="18"/>
      <c r="D8" s="68"/>
      <c r="E8" s="69"/>
      <c r="F8" s="69"/>
      <c r="G8" s="69"/>
      <c r="H8" s="69"/>
      <c r="I8" s="69"/>
      <c r="J8" s="10"/>
      <c r="K8" s="13"/>
      <c r="L8" s="14"/>
      <c r="M8" s="19"/>
    </row>
    <row r="9" spans="1:13" ht="79.5" customHeight="1" x14ac:dyDescent="0.25">
      <c r="A9" s="20" t="s">
        <v>5</v>
      </c>
      <c r="B9" s="20" t="s">
        <v>6</v>
      </c>
      <c r="C9" s="21" t="s">
        <v>153</v>
      </c>
      <c r="D9" s="22" t="s">
        <v>154</v>
      </c>
      <c r="E9" s="101" t="s">
        <v>155</v>
      </c>
      <c r="F9" s="101" t="s">
        <v>159</v>
      </c>
      <c r="G9" s="23" t="s">
        <v>160</v>
      </c>
      <c r="H9" s="23" t="s">
        <v>172</v>
      </c>
      <c r="I9" s="23" t="s">
        <v>161</v>
      </c>
      <c r="J9" s="24" t="s">
        <v>7</v>
      </c>
      <c r="K9" s="22" t="s">
        <v>8</v>
      </c>
      <c r="L9" s="23" t="s">
        <v>9</v>
      </c>
      <c r="M9" s="25" t="s">
        <v>10</v>
      </c>
    </row>
    <row r="10" spans="1:13" ht="16.5" customHeight="1" x14ac:dyDescent="0.25">
      <c r="A10" s="26" t="s">
        <v>11</v>
      </c>
      <c r="B10" s="27" t="s">
        <v>12</v>
      </c>
      <c r="C10" s="84">
        <v>27115</v>
      </c>
      <c r="D10" s="28">
        <f>SUM(E10)</f>
        <v>393570.93965110474</v>
      </c>
      <c r="E10" s="102">
        <f>(C10/$C$149)*$L$151</f>
        <v>393570.93965110474</v>
      </c>
      <c r="F10" s="102">
        <f>(C10/$C$149)*$L$152</f>
        <v>324195.6370265063</v>
      </c>
      <c r="G10" s="87">
        <v>83591</v>
      </c>
      <c r="H10" s="87">
        <f t="shared" ref="H10:H41" si="0">$F10+$G10</f>
        <v>407786.6370265063</v>
      </c>
      <c r="I10" s="87">
        <f>F10+G10</f>
        <v>407786.6370265063</v>
      </c>
      <c r="J10" s="30"/>
      <c r="K10" s="31"/>
      <c r="L10" s="32">
        <f>(C10/C147)*C5</f>
        <v>394143.30000919499</v>
      </c>
      <c r="M10" s="33">
        <f>L10</f>
        <v>394143.30000919499</v>
      </c>
    </row>
    <row r="11" spans="1:13" ht="16.5" customHeight="1" x14ac:dyDescent="0.25">
      <c r="A11" s="34"/>
      <c r="B11" s="35"/>
      <c r="C11" s="36"/>
      <c r="D11" s="37"/>
      <c r="E11" s="102"/>
      <c r="F11" s="102"/>
      <c r="G11" s="87"/>
      <c r="H11" s="87">
        <f t="shared" si="0"/>
        <v>0</v>
      </c>
      <c r="I11" s="87"/>
      <c r="J11" s="39"/>
      <c r="K11" s="40"/>
      <c r="L11" s="41"/>
      <c r="M11" s="42"/>
    </row>
    <row r="12" spans="1:13" x14ac:dyDescent="0.25">
      <c r="A12" s="26" t="s">
        <v>13</v>
      </c>
      <c r="B12" s="27" t="s">
        <v>14</v>
      </c>
      <c r="C12" s="84">
        <v>17732</v>
      </c>
      <c r="D12" s="28">
        <f>SUM(E12:E14)</f>
        <v>680443.00497525872</v>
      </c>
      <c r="E12" s="102">
        <f>(C12/$C$149)*$L$151</f>
        <v>257377.83152843037</v>
      </c>
      <c r="F12" s="102">
        <f>(C12/$C$149)*$L$152</f>
        <v>212009.47946723251</v>
      </c>
      <c r="G12" s="95">
        <v>0</v>
      </c>
      <c r="H12" s="87">
        <f t="shared" si="0"/>
        <v>212009.47946723251</v>
      </c>
      <c r="I12" s="87">
        <f>SUM(F12:F14)</f>
        <v>560500.36024951469</v>
      </c>
      <c r="J12" s="30"/>
      <c r="K12" s="31"/>
      <c r="L12" s="32">
        <f>(C12/C147)*C5</f>
        <v>257752.12966118555</v>
      </c>
      <c r="M12" s="33">
        <f>SUM(L12:L14)</f>
        <v>681432.55619144579</v>
      </c>
    </row>
    <row r="13" spans="1:13" x14ac:dyDescent="0.25">
      <c r="A13" s="26"/>
      <c r="B13" s="27" t="s">
        <v>15</v>
      </c>
      <c r="C13" s="84">
        <v>15102</v>
      </c>
      <c r="D13" s="28"/>
      <c r="E13" s="102">
        <f>(C13/$C$149)*$L$151</f>
        <v>219203.70018849289</v>
      </c>
      <c r="F13" s="102">
        <f>(C13/$C$149)*$L$152</f>
        <v>180564.35590537704</v>
      </c>
      <c r="G13" s="95"/>
      <c r="H13" s="87">
        <f t="shared" si="0"/>
        <v>180564.35590537704</v>
      </c>
      <c r="I13" s="87"/>
      <c r="J13" s="43"/>
      <c r="K13" s="44"/>
      <c r="L13" s="32">
        <f>(C13/C147)*C5</f>
        <v>219522.48263835008</v>
      </c>
      <c r="M13" s="33"/>
    </row>
    <row r="14" spans="1:13" x14ac:dyDescent="0.25">
      <c r="A14" s="26"/>
      <c r="B14" s="27" t="s">
        <v>16</v>
      </c>
      <c r="C14" s="84">
        <v>14045</v>
      </c>
      <c r="D14" s="28"/>
      <c r="E14" s="102">
        <f>(C14/$C$149)*$L$151</f>
        <v>203861.47325833549</v>
      </c>
      <c r="F14" s="102">
        <f>(C14/$C$149)*$L$152</f>
        <v>167926.52487690508</v>
      </c>
      <c r="G14" s="95"/>
      <c r="H14" s="87">
        <f t="shared" si="0"/>
        <v>167926.52487690508</v>
      </c>
      <c r="I14" s="87"/>
      <c r="J14" s="30"/>
      <c r="K14" s="31"/>
      <c r="L14" s="32">
        <f>(C14/C147)*C5</f>
        <v>204157.94389191014</v>
      </c>
      <c r="M14" s="33"/>
    </row>
    <row r="15" spans="1:13" x14ac:dyDescent="0.25">
      <c r="A15" s="34"/>
      <c r="B15" s="35"/>
      <c r="C15" s="36"/>
      <c r="D15" s="37"/>
      <c r="E15" s="102"/>
      <c r="F15" s="102"/>
      <c r="G15" s="87"/>
      <c r="H15" s="87">
        <f t="shared" si="0"/>
        <v>0</v>
      </c>
      <c r="I15" s="87"/>
      <c r="J15" s="39"/>
      <c r="K15" s="40"/>
      <c r="L15" s="41"/>
      <c r="M15" s="42"/>
    </row>
    <row r="16" spans="1:13" x14ac:dyDescent="0.25">
      <c r="A16" s="26" t="s">
        <v>17</v>
      </c>
      <c r="B16" s="27" t="s">
        <v>18</v>
      </c>
      <c r="C16" s="84">
        <v>2205</v>
      </c>
      <c r="D16" s="28">
        <f>SUM(E16:E18)</f>
        <v>344278.41112242499</v>
      </c>
      <c r="E16" s="102">
        <f>(C16/$C$149)*$L$151</f>
        <v>32005.307834434294</v>
      </c>
      <c r="F16" s="102">
        <f>(C16/$C$149)*$L$152</f>
        <v>26363.687244825607</v>
      </c>
      <c r="G16" s="95">
        <v>0</v>
      </c>
      <c r="H16" s="87">
        <f t="shared" si="0"/>
        <v>26363.687244825607</v>
      </c>
      <c r="I16" s="87">
        <f>SUM(F16:F18)+G16+G17+G18</f>
        <v>320195.97177325108</v>
      </c>
      <c r="J16" s="30"/>
      <c r="K16" s="31">
        <v>148800</v>
      </c>
      <c r="L16" s="32">
        <f>(C16/C147)*C5</f>
        <v>32051.852351844922</v>
      </c>
      <c r="M16" s="33">
        <f>SUM(L16:L18)</f>
        <v>344779.08659111551</v>
      </c>
    </row>
    <row r="17" spans="1:13" x14ac:dyDescent="0.25">
      <c r="A17" s="26"/>
      <c r="B17" s="27" t="s">
        <v>19</v>
      </c>
      <c r="C17" s="84">
        <v>5629</v>
      </c>
      <c r="D17" s="28"/>
      <c r="E17" s="102">
        <f>(C17/$C$149)*$L$151</f>
        <v>81704.252970535454</v>
      </c>
      <c r="F17" s="102">
        <f>(C17/$C$149)*$L$152</f>
        <v>67302.129478967516</v>
      </c>
      <c r="G17" s="95">
        <f>(5629/21514)*36604</f>
        <v>9577.2016361439055</v>
      </c>
      <c r="H17" s="87">
        <f t="shared" si="0"/>
        <v>76879.331115111418</v>
      </c>
      <c r="I17" s="87"/>
      <c r="J17" s="30"/>
      <c r="K17" s="31"/>
      <c r="L17" s="32">
        <f>(C17/C147)*C5</f>
        <v>81823.073418836764</v>
      </c>
      <c r="M17" s="33"/>
    </row>
    <row r="18" spans="1:13" x14ac:dyDescent="0.25">
      <c r="A18" s="26"/>
      <c r="B18" s="27" t="s">
        <v>20</v>
      </c>
      <c r="C18" s="84">
        <v>15885</v>
      </c>
      <c r="D18" s="28"/>
      <c r="E18" s="102">
        <f>(C18/$C$149)*$L$151</f>
        <v>230568.85031745525</v>
      </c>
      <c r="F18" s="102">
        <f>(C18/$C$149)*$L$152</f>
        <v>189926.15504945797</v>
      </c>
      <c r="G18" s="95">
        <f>(15885/21514)*36604</f>
        <v>27026.798363856091</v>
      </c>
      <c r="H18" s="87">
        <f t="shared" si="0"/>
        <v>216952.95341331407</v>
      </c>
      <c r="I18" s="87"/>
      <c r="J18" s="30"/>
      <c r="K18" s="31"/>
      <c r="L18" s="32">
        <f>(C18/C147)*C5</f>
        <v>230904.16082043381</v>
      </c>
      <c r="M18" s="33"/>
    </row>
    <row r="19" spans="1:13" x14ac:dyDescent="0.25">
      <c r="A19" s="34"/>
      <c r="B19" s="35"/>
      <c r="C19" s="36"/>
      <c r="D19" s="37"/>
      <c r="E19" s="102"/>
      <c r="F19" s="102"/>
      <c r="G19" s="87"/>
      <c r="H19" s="87">
        <f t="shared" si="0"/>
        <v>0</v>
      </c>
      <c r="I19" s="87"/>
      <c r="J19" s="39"/>
      <c r="K19" s="40"/>
      <c r="L19" s="41"/>
      <c r="M19" s="42"/>
    </row>
    <row r="20" spans="1:13" x14ac:dyDescent="0.25">
      <c r="A20" s="26" t="s">
        <v>21</v>
      </c>
      <c r="B20" s="27" t="s">
        <v>22</v>
      </c>
      <c r="C20" s="84">
        <v>24642</v>
      </c>
      <c r="D20" s="28">
        <f>SUM(E20)</f>
        <v>357675.64428849431</v>
      </c>
      <c r="E20" s="102">
        <f>(C20/$C$149)*$L$151</f>
        <v>357675.64428849431</v>
      </c>
      <c r="F20" s="102">
        <f>(C20/$C$149)*$L$152</f>
        <v>294627.65582176537</v>
      </c>
      <c r="G20" s="87">
        <v>173421</v>
      </c>
      <c r="H20" s="87">
        <f t="shared" si="0"/>
        <v>468048.65582176537</v>
      </c>
      <c r="I20" s="87">
        <f>F20+G20</f>
        <v>468048.65582176537</v>
      </c>
      <c r="J20" s="30"/>
      <c r="K20" s="31"/>
      <c r="L20" s="32">
        <f>(C20/C147)*C5</f>
        <v>358195.80301776074</v>
      </c>
      <c r="M20" s="33">
        <f>SUM(L20)</f>
        <v>358195.80301776074</v>
      </c>
    </row>
    <row r="21" spans="1:13" x14ac:dyDescent="0.25">
      <c r="A21" s="34"/>
      <c r="B21" s="35"/>
      <c r="C21" s="36"/>
      <c r="D21" s="37"/>
      <c r="E21" s="102"/>
      <c r="F21" s="102"/>
      <c r="G21" s="87"/>
      <c r="H21" s="87">
        <f t="shared" si="0"/>
        <v>0</v>
      </c>
      <c r="I21" s="87"/>
      <c r="J21" s="39"/>
      <c r="K21" s="40"/>
      <c r="L21" s="41"/>
      <c r="M21" s="42"/>
    </row>
    <row r="22" spans="1:13" x14ac:dyDescent="0.25">
      <c r="A22" s="26" t="s">
        <v>23</v>
      </c>
      <c r="B22" s="27" t="s">
        <v>24</v>
      </c>
      <c r="C22" s="84">
        <v>151386</v>
      </c>
      <c r="D22" s="28">
        <f>SUM(E22)</f>
        <v>2197349.4475390799</v>
      </c>
      <c r="E22" s="102">
        <f>(C22/$C$149)*$L$151</f>
        <v>2197349.4475390799</v>
      </c>
      <c r="F22" s="102">
        <f>(C22/$C$149)*$L$152</f>
        <v>1810019.5724467891</v>
      </c>
      <c r="G22" s="87">
        <v>842403</v>
      </c>
      <c r="H22" s="87">
        <f t="shared" si="0"/>
        <v>2652422.5724467891</v>
      </c>
      <c r="I22" s="87">
        <f>F22+G22</f>
        <v>2652422.5724467891</v>
      </c>
      <c r="J22" s="30"/>
      <c r="K22" s="31">
        <v>316270</v>
      </c>
      <c r="L22" s="32">
        <f>(C22/C147)*C5</f>
        <v>2200544.9977942836</v>
      </c>
      <c r="M22" s="33">
        <f>SUM(L22)</f>
        <v>2200544.9977942836</v>
      </c>
    </row>
    <row r="23" spans="1:13" x14ac:dyDescent="0.25">
      <c r="A23" s="34"/>
      <c r="B23" s="35"/>
      <c r="C23" s="36"/>
      <c r="D23" s="37"/>
      <c r="E23" s="102"/>
      <c r="F23" s="102"/>
      <c r="G23" s="87"/>
      <c r="H23" s="87">
        <f t="shared" si="0"/>
        <v>0</v>
      </c>
      <c r="I23" s="87"/>
      <c r="J23" s="39"/>
      <c r="K23" s="40"/>
      <c r="L23" s="41"/>
      <c r="M23" s="42"/>
    </row>
    <row r="24" spans="1:13" x14ac:dyDescent="0.25">
      <c r="A24" s="45" t="s">
        <v>25</v>
      </c>
      <c r="B24" s="27" t="s">
        <v>26</v>
      </c>
      <c r="C24" s="84">
        <v>5212</v>
      </c>
      <c r="D24" s="28">
        <f>SUM(E24:E28)</f>
        <v>474244.63622425019</v>
      </c>
      <c r="E24" s="102">
        <f>(C24/$C$149)*$L$151</f>
        <v>75651.548495724055</v>
      </c>
      <c r="F24" s="102">
        <f>(C24/$C$149)*$L$152</f>
        <v>62316.343727905252</v>
      </c>
      <c r="G24" s="87">
        <v>0</v>
      </c>
      <c r="H24" s="87">
        <f t="shared" si="0"/>
        <v>62316.343727905252</v>
      </c>
      <c r="I24" s="87">
        <f>SUM(F24:F28)+G24+G25+G26+G27+G28</f>
        <v>397784.86773251119</v>
      </c>
      <c r="J24" s="30"/>
      <c r="K24" s="31">
        <v>286879</v>
      </c>
      <c r="L24" s="32">
        <f>(C24/C147)*C5</f>
        <v>75761.566647535481</v>
      </c>
      <c r="M24" s="33">
        <f>SUM(L24:L28)</f>
        <v>474934.31831828982</v>
      </c>
    </row>
    <row r="25" spans="1:13" x14ac:dyDescent="0.25">
      <c r="A25" s="45"/>
      <c r="B25" s="27" t="s">
        <v>27</v>
      </c>
      <c r="C25" s="84">
        <v>12128</v>
      </c>
      <c r="D25" s="28"/>
      <c r="E25" s="102">
        <f>(C25/$C$149)*$L$151</f>
        <v>176036.45052880689</v>
      </c>
      <c r="F25" s="102">
        <f>(C25/$C$149)*$L$152</f>
        <v>145006.25800691385</v>
      </c>
      <c r="G25" s="87">
        <v>7136</v>
      </c>
      <c r="H25" s="87">
        <f t="shared" si="0"/>
        <v>152142.25800691385</v>
      </c>
      <c r="I25" s="87"/>
      <c r="J25" s="30"/>
      <c r="K25" s="31"/>
      <c r="L25" s="32">
        <f>(C25/C147)*C5</f>
        <v>176292.45592887764</v>
      </c>
      <c r="M25" s="33"/>
    </row>
    <row r="26" spans="1:13" x14ac:dyDescent="0.25">
      <c r="A26" s="45"/>
      <c r="B26" s="27" t="s">
        <v>28</v>
      </c>
      <c r="C26" s="84">
        <v>5632</v>
      </c>
      <c r="D26" s="28"/>
      <c r="E26" s="102">
        <f>(C26/$C$149)*$L$151</f>
        <v>81747.797607044879</v>
      </c>
      <c r="F26" s="102">
        <f>(C26/$C$149)*$L$152</f>
        <v>67337.998441205375</v>
      </c>
      <c r="G26" s="87">
        <v>0</v>
      </c>
      <c r="H26" s="87">
        <f t="shared" si="0"/>
        <v>67337.998441205375</v>
      </c>
      <c r="I26" s="87"/>
      <c r="J26" s="30"/>
      <c r="K26" s="31"/>
      <c r="L26" s="32">
        <f>(C26/C147)*C5</f>
        <v>81866.681381220216</v>
      </c>
      <c r="M26" s="33"/>
    </row>
    <row r="27" spans="1:13" x14ac:dyDescent="0.25">
      <c r="A27" s="45"/>
      <c r="B27" s="27" t="s">
        <v>162</v>
      </c>
      <c r="C27" s="84">
        <v>4584</v>
      </c>
      <c r="D27" s="28"/>
      <c r="E27" s="102">
        <f>(C27/$C$149)*$L$151</f>
        <v>66536.204586415799</v>
      </c>
      <c r="F27" s="102">
        <f>(C27/$C$149)*$L$152</f>
        <v>54807.774299446981</v>
      </c>
      <c r="G27" s="87">
        <v>0</v>
      </c>
      <c r="H27" s="87">
        <f t="shared" si="0"/>
        <v>54807.774299446981</v>
      </c>
      <c r="I27" s="87"/>
      <c r="J27" s="30"/>
      <c r="K27" s="31"/>
      <c r="L27" s="32">
        <f>(C27/C147)*C5</f>
        <v>66632.966521930663</v>
      </c>
      <c r="M27" s="33"/>
    </row>
    <row r="28" spans="1:13" x14ac:dyDescent="0.25">
      <c r="A28" s="45"/>
      <c r="B28" s="27" t="s">
        <v>29</v>
      </c>
      <c r="C28" s="84">
        <v>5117</v>
      </c>
      <c r="D28" s="28"/>
      <c r="E28" s="102">
        <f>(C28/$C$149)*$L$151</f>
        <v>74272.635006258643</v>
      </c>
      <c r="F28" s="102">
        <f>(C28/$C$149)*$L$152</f>
        <v>61180.49325703975</v>
      </c>
      <c r="G28" s="87">
        <v>0</v>
      </c>
      <c r="H28" s="87">
        <f t="shared" si="0"/>
        <v>61180.49325703975</v>
      </c>
      <c r="I28" s="87"/>
      <c r="J28" s="30"/>
      <c r="K28" s="31"/>
      <c r="L28" s="32">
        <f>(C28/C147)*C5</f>
        <v>74380.647838725825</v>
      </c>
      <c r="M28" s="33"/>
    </row>
    <row r="29" spans="1:13" x14ac:dyDescent="0.25">
      <c r="A29" s="34"/>
      <c r="B29" s="35"/>
      <c r="C29" s="36"/>
      <c r="D29" s="37"/>
      <c r="E29" s="102"/>
      <c r="F29" s="102"/>
      <c r="G29" s="87"/>
      <c r="H29" s="87">
        <f t="shared" si="0"/>
        <v>0</v>
      </c>
      <c r="I29" s="87"/>
      <c r="J29" s="39"/>
      <c r="K29" s="40"/>
      <c r="L29" s="41"/>
      <c r="M29" s="42"/>
    </row>
    <row r="30" spans="1:13" x14ac:dyDescent="0.25">
      <c r="A30" s="26" t="s">
        <v>30</v>
      </c>
      <c r="B30" s="27" t="s">
        <v>31</v>
      </c>
      <c r="C30" s="84">
        <v>9945</v>
      </c>
      <c r="D30" s="28">
        <f>SUM(E30:E33)</f>
        <v>444605.25364016189</v>
      </c>
      <c r="E30" s="102">
        <f>(C30/$C$149)*$L$151</f>
        <v>144350.47002877507</v>
      </c>
      <c r="F30" s="102">
        <f>(C30/$C$149)*$L$152</f>
        <v>118905.60981849917</v>
      </c>
      <c r="G30" s="87">
        <f>(9945/14342)*18546</f>
        <v>12860.128991772417</v>
      </c>
      <c r="H30" s="87">
        <f t="shared" si="0"/>
        <v>131765.73881027158</v>
      </c>
      <c r="I30" s="87">
        <f>SUM(F30:F33)+G30+G31+G32+G33</f>
        <v>384780.06076927588</v>
      </c>
      <c r="J30" s="30"/>
      <c r="K30" s="31"/>
      <c r="L30" s="32">
        <f>(C30/C147)*C5</f>
        <v>144560.39530117813</v>
      </c>
      <c r="M30" s="33">
        <f>SUM(L30:L33)</f>
        <v>445251.83192261308</v>
      </c>
    </row>
    <row r="31" spans="1:13" x14ac:dyDescent="0.25">
      <c r="A31" s="26"/>
      <c r="B31" s="27" t="s">
        <v>32</v>
      </c>
      <c r="C31" s="84">
        <v>16289</v>
      </c>
      <c r="D31" s="28"/>
      <c r="E31" s="102">
        <f>(C31/$C$149)*$L$151</f>
        <v>236432.86136739241</v>
      </c>
      <c r="F31" s="102">
        <f>(C31/$C$149)*$L$152</f>
        <v>194756.50863082285</v>
      </c>
      <c r="G31" s="87">
        <v>0</v>
      </c>
      <c r="H31" s="87">
        <f t="shared" si="0"/>
        <v>194756.50863082285</v>
      </c>
      <c r="I31" s="87"/>
      <c r="J31" s="30"/>
      <c r="K31" s="31"/>
      <c r="L31" s="32">
        <f>(C31/C147)*C5</f>
        <v>236776.69975474008</v>
      </c>
      <c r="M31" s="33"/>
    </row>
    <row r="32" spans="1:13" x14ac:dyDescent="0.25">
      <c r="A32" s="26"/>
      <c r="B32" s="27" t="s">
        <v>33</v>
      </c>
      <c r="C32" s="84">
        <v>2213</v>
      </c>
      <c r="D32" s="28"/>
      <c r="E32" s="102">
        <f>(C32/$C$149)*$L$151</f>
        <v>32121.426865126123</v>
      </c>
      <c r="F32" s="102">
        <f>(C32/$C$149)*$L$152</f>
        <v>26459.337810793229</v>
      </c>
      <c r="G32" s="87">
        <f>(2213/14342)*18546</f>
        <v>2861.6858178775624</v>
      </c>
      <c r="H32" s="87">
        <f t="shared" si="0"/>
        <v>29321.023628670791</v>
      </c>
      <c r="I32" s="87"/>
      <c r="J32" s="30"/>
      <c r="K32" s="31"/>
      <c r="L32" s="32">
        <f>(C32/C147)*C5</f>
        <v>32168.140251534154</v>
      </c>
      <c r="M32" s="33"/>
    </row>
    <row r="33" spans="1:13" x14ac:dyDescent="0.25">
      <c r="A33" s="26"/>
      <c r="B33" s="27" t="s">
        <v>34</v>
      </c>
      <c r="C33" s="84">
        <v>2184</v>
      </c>
      <c r="D33" s="28"/>
      <c r="E33" s="102">
        <f>(C33/$C$149)*$L$151</f>
        <v>31700.495378868258</v>
      </c>
      <c r="F33" s="102">
        <f>(C33/$C$149)*$L$152</f>
        <v>26112.604509160603</v>
      </c>
      <c r="G33" s="87">
        <f>(2184/14342)*18546</f>
        <v>2824.185190350021</v>
      </c>
      <c r="H33" s="87">
        <f t="shared" si="0"/>
        <v>28936.789699510624</v>
      </c>
      <c r="I33" s="87"/>
      <c r="J33" s="30"/>
      <c r="K33" s="31"/>
      <c r="L33" s="32">
        <f>(C33/C147)*C5</f>
        <v>31746.596615160684</v>
      </c>
      <c r="M33" s="33"/>
    </row>
    <row r="34" spans="1:13" x14ac:dyDescent="0.25">
      <c r="A34" s="34"/>
      <c r="B34" s="35"/>
      <c r="C34" s="36"/>
      <c r="D34" s="37"/>
      <c r="E34" s="102"/>
      <c r="F34" s="102"/>
      <c r="G34" s="87"/>
      <c r="H34" s="87">
        <f t="shared" si="0"/>
        <v>0</v>
      </c>
      <c r="I34" s="87"/>
      <c r="J34" s="39"/>
      <c r="K34" s="40"/>
      <c r="L34" s="41"/>
      <c r="M34" s="42"/>
    </row>
    <row r="35" spans="1:13" x14ac:dyDescent="0.25">
      <c r="A35" s="26" t="s">
        <v>35</v>
      </c>
      <c r="B35" s="27" t="s">
        <v>36</v>
      </c>
      <c r="C35" s="84">
        <v>33936</v>
      </c>
      <c r="D35" s="28">
        <f>SUM(E35:E37)</f>
        <v>661776.87079154782</v>
      </c>
      <c r="E35" s="102">
        <f>(C35/$C$149)*$L$151</f>
        <v>492576.92819472216</v>
      </c>
      <c r="F35" s="102">
        <f>(C35/$C$149)*$L$152</f>
        <v>405749.70083464938</v>
      </c>
      <c r="G35" s="87">
        <f>(33936/41621)*80023</f>
        <v>65247.363782705848</v>
      </c>
      <c r="H35" s="87">
        <f t="shared" si="0"/>
        <v>470997.06461735524</v>
      </c>
      <c r="I35" s="87">
        <f>SUM(F35:F37)+G35+G37+G36</f>
        <v>625147.53177021944</v>
      </c>
      <c r="J35" s="30"/>
      <c r="K35" s="31">
        <v>334160</v>
      </c>
      <c r="L35" s="32">
        <f>(C35/C147)*C5</f>
        <v>493293.27048172749</v>
      </c>
      <c r="M35" s="33">
        <f>SUM(L35:L37)</f>
        <v>662739.27631640143</v>
      </c>
    </row>
    <row r="36" spans="1:13" x14ac:dyDescent="0.25">
      <c r="A36" s="26"/>
      <c r="B36" s="27" t="s">
        <v>37</v>
      </c>
      <c r="C36" s="84">
        <v>3972</v>
      </c>
      <c r="D36" s="28"/>
      <c r="E36" s="102">
        <f>(C36/$C$149)*$L$151</f>
        <v>57653.098738491164</v>
      </c>
      <c r="F36" s="102">
        <f>(C36/$C$149)*$L$152</f>
        <v>47490.506002923954</v>
      </c>
      <c r="G36" s="87">
        <v>0</v>
      </c>
      <c r="H36" s="87">
        <f t="shared" si="0"/>
        <v>47490.506002923954</v>
      </c>
      <c r="I36" s="87"/>
      <c r="J36" s="30"/>
      <c r="K36" s="31"/>
      <c r="L36" s="32">
        <f>(C36/C147)*C5</f>
        <v>57736.942195704323</v>
      </c>
      <c r="M36" s="33"/>
    </row>
    <row r="37" spans="1:13" x14ac:dyDescent="0.25">
      <c r="A37" s="26"/>
      <c r="B37" s="27" t="s">
        <v>38</v>
      </c>
      <c r="C37" s="84">
        <v>7685</v>
      </c>
      <c r="D37" s="28"/>
      <c r="E37" s="102">
        <f>(C37/$C$149)*$L$151</f>
        <v>111546.8438583345</v>
      </c>
      <c r="F37" s="102">
        <f>(C37/$C$149)*$L$152</f>
        <v>91884.324932646166</v>
      </c>
      <c r="G37" s="87">
        <f>(7685/41621)*80023</f>
        <v>14775.636217294155</v>
      </c>
      <c r="H37" s="87">
        <f t="shared" si="0"/>
        <v>106659.96114994033</v>
      </c>
      <c r="I37" s="87"/>
      <c r="J37" s="30"/>
      <c r="K37" s="31"/>
      <c r="L37" s="32">
        <f>(C37/C147)*C5</f>
        <v>111709.0636389697</v>
      </c>
      <c r="M37" s="33"/>
    </row>
    <row r="38" spans="1:13" x14ac:dyDescent="0.25">
      <c r="A38" s="34"/>
      <c r="B38" s="35"/>
      <c r="C38" s="36"/>
      <c r="D38" s="37"/>
      <c r="E38" s="102"/>
      <c r="F38" s="102"/>
      <c r="G38" s="87"/>
      <c r="H38" s="87">
        <f t="shared" si="0"/>
        <v>0</v>
      </c>
      <c r="I38" s="87"/>
      <c r="J38" s="39"/>
      <c r="K38" s="40"/>
      <c r="L38" s="41"/>
      <c r="M38" s="42"/>
    </row>
    <row r="39" spans="1:13" x14ac:dyDescent="0.25">
      <c r="A39" s="26" t="s">
        <v>151</v>
      </c>
      <c r="B39" s="27" t="s">
        <v>39</v>
      </c>
      <c r="C39" s="84">
        <v>55792</v>
      </c>
      <c r="D39" s="28">
        <f>SUM(E39:E40)</f>
        <v>1074246.1826877473</v>
      </c>
      <c r="E39" s="102">
        <f>(C39/$C$149)*$L$151</f>
        <v>809814.12004478846</v>
      </c>
      <c r="F39" s="102">
        <f>(C39/$C$149)*$L$152</f>
        <v>667067.04705819068</v>
      </c>
      <c r="G39" s="87">
        <v>324975</v>
      </c>
      <c r="H39" s="87">
        <f t="shared" si="0"/>
        <v>992042.04705819068</v>
      </c>
      <c r="I39" s="87">
        <f>SUM(F39:F40)+G39+G40</f>
        <v>1269715.2984079563</v>
      </c>
      <c r="J39" s="30"/>
      <c r="K39" s="31">
        <v>207652</v>
      </c>
      <c r="L39" s="32">
        <f>(C39/C147)*C5</f>
        <v>810991.81243271288</v>
      </c>
      <c r="M39" s="33">
        <f>SUM(L39:L40)</f>
        <v>1075808.4320000194</v>
      </c>
    </row>
    <row r="40" spans="1:13" x14ac:dyDescent="0.25">
      <c r="A40" s="26"/>
      <c r="B40" s="27" t="s">
        <v>40</v>
      </c>
      <c r="C40" s="84">
        <v>18218</v>
      </c>
      <c r="D40" s="28"/>
      <c r="E40" s="102">
        <f>(C40/$C$149)*$L$151</f>
        <v>264432.06264295877</v>
      </c>
      <c r="F40" s="102">
        <f>(C40/$C$149)*$L$152</f>
        <v>217820.25134976552</v>
      </c>
      <c r="G40" s="87">
        <v>59853</v>
      </c>
      <c r="H40" s="87">
        <f t="shared" si="0"/>
        <v>277673.25134976552</v>
      </c>
      <c r="I40" s="87"/>
      <c r="J40" s="30"/>
      <c r="K40" s="31"/>
      <c r="L40" s="32">
        <f>(C40/C147)*C5</f>
        <v>264816.61956730648</v>
      </c>
      <c r="M40" s="33"/>
    </row>
    <row r="41" spans="1:13" x14ac:dyDescent="0.25">
      <c r="A41" s="34"/>
      <c r="B41" s="35"/>
      <c r="C41" s="36"/>
      <c r="D41" s="37"/>
      <c r="E41" s="102"/>
      <c r="F41" s="102"/>
      <c r="G41" s="87"/>
      <c r="H41" s="87">
        <f t="shared" si="0"/>
        <v>0</v>
      </c>
      <c r="I41" s="87"/>
      <c r="J41" s="39"/>
      <c r="K41" s="40"/>
      <c r="L41" s="41"/>
      <c r="M41" s="42"/>
    </row>
    <row r="42" spans="1:13" x14ac:dyDescent="0.25">
      <c r="A42" s="26" t="s">
        <v>41</v>
      </c>
      <c r="B42" s="27" t="s">
        <v>42</v>
      </c>
      <c r="C42" s="84">
        <v>27440</v>
      </c>
      <c r="D42" s="28">
        <f>SUM(E42)</f>
        <v>398288.27527296013</v>
      </c>
      <c r="E42" s="102">
        <f>(C42/$C$149)*$L$151</f>
        <v>398288.27527296013</v>
      </c>
      <c r="F42" s="102">
        <f>(C42/$C$149)*$L$152</f>
        <v>328081.44126894092</v>
      </c>
      <c r="G42" s="87">
        <v>86050</v>
      </c>
      <c r="H42" s="87">
        <f t="shared" ref="H42:H74" si="1">$F42+$G42</f>
        <v>414131.44126894092</v>
      </c>
      <c r="I42" s="87">
        <f>F42+G42</f>
        <v>414131.44126894092</v>
      </c>
      <c r="J42" s="30"/>
      <c r="K42" s="31"/>
      <c r="L42" s="32">
        <f>(C42/C147)*C5</f>
        <v>398867.49593407015</v>
      </c>
      <c r="M42" s="33">
        <f>SUM(L42)</f>
        <v>398867.49593407015</v>
      </c>
    </row>
    <row r="43" spans="1:13" x14ac:dyDescent="0.25">
      <c r="A43" s="34"/>
      <c r="B43" s="35"/>
      <c r="C43" s="36"/>
      <c r="D43" s="37"/>
      <c r="E43" s="102"/>
      <c r="F43" s="102"/>
      <c r="G43" s="87"/>
      <c r="H43" s="87">
        <f t="shared" si="1"/>
        <v>0</v>
      </c>
      <c r="I43" s="87"/>
      <c r="J43" s="39"/>
      <c r="K43" s="40"/>
      <c r="L43" s="41"/>
      <c r="M43" s="42"/>
    </row>
    <row r="44" spans="1:13" x14ac:dyDescent="0.25">
      <c r="A44" s="26" t="s">
        <v>43</v>
      </c>
      <c r="B44" s="27" t="s">
        <v>44</v>
      </c>
      <c r="C44" s="84">
        <v>16419</v>
      </c>
      <c r="D44" s="28">
        <f>SUM(E44:E46)</f>
        <v>1145877.109745767</v>
      </c>
      <c r="E44" s="102">
        <f>(C44/$C$149)*$L$151</f>
        <v>238319.79561613459</v>
      </c>
      <c r="F44" s="102">
        <f>(C44/$C$149)*$L$152</f>
        <v>196310.83032779669</v>
      </c>
      <c r="G44" s="87">
        <v>16671</v>
      </c>
      <c r="H44" s="87">
        <f t="shared" si="1"/>
        <v>212981.83032779669</v>
      </c>
      <c r="I44" s="87">
        <f>SUM(F44:F46)+G44+G45+G46</f>
        <v>988182.74128923262</v>
      </c>
      <c r="J44" s="30"/>
      <c r="K44" s="31"/>
      <c r="L44" s="32">
        <f>(C44/C147)*C5</f>
        <v>238666.37812469012</v>
      </c>
      <c r="M44" s="33">
        <f>SUM(L44:L46)</f>
        <v>1147543.5301208149</v>
      </c>
    </row>
    <row r="45" spans="1:13" x14ac:dyDescent="0.25">
      <c r="A45" s="26"/>
      <c r="B45" s="27" t="s">
        <v>45</v>
      </c>
      <c r="C45" s="84">
        <v>37908</v>
      </c>
      <c r="D45" s="28"/>
      <c r="E45" s="102">
        <f>(C45/$C$149)*$L$151</f>
        <v>550230.02693321335</v>
      </c>
      <c r="F45" s="102">
        <f>(C45/$C$149)*$L$152</f>
        <v>453240.20683757332</v>
      </c>
      <c r="G45" s="87">
        <v>23052</v>
      </c>
      <c r="H45" s="87">
        <f t="shared" si="1"/>
        <v>476292.20683757332</v>
      </c>
      <c r="I45" s="87"/>
      <c r="J45" s="30"/>
      <c r="K45" s="31"/>
      <c r="L45" s="32">
        <f>(C45/C147)*C5</f>
        <v>551030.21267743176</v>
      </c>
      <c r="M45" s="33"/>
    </row>
    <row r="46" spans="1:13" x14ac:dyDescent="0.25">
      <c r="A46" s="26"/>
      <c r="B46" s="27" t="s">
        <v>46</v>
      </c>
      <c r="C46" s="84">
        <v>24618</v>
      </c>
      <c r="D46" s="28"/>
      <c r="E46" s="102">
        <f>(C46/$C$149)*$L$151</f>
        <v>357327.28719641885</v>
      </c>
      <c r="F46" s="102">
        <f>(C46/$C$149)*$L$152</f>
        <v>294340.7041238625</v>
      </c>
      <c r="G46" s="87">
        <v>4568</v>
      </c>
      <c r="H46" s="87">
        <f t="shared" si="1"/>
        <v>298908.7041238625</v>
      </c>
      <c r="I46" s="87"/>
      <c r="J46" s="30"/>
      <c r="K46" s="31"/>
      <c r="L46" s="32">
        <f>(C46/C147)*C5</f>
        <v>357846.93931869307</v>
      </c>
      <c r="M46" s="33"/>
    </row>
    <row r="47" spans="1:13" x14ac:dyDescent="0.25">
      <c r="A47" s="34"/>
      <c r="B47" s="35"/>
      <c r="C47" s="36"/>
      <c r="D47" s="37"/>
      <c r="E47" s="102"/>
      <c r="F47" s="102"/>
      <c r="G47" s="87"/>
      <c r="H47" s="87">
        <f t="shared" si="1"/>
        <v>0</v>
      </c>
      <c r="I47" s="87"/>
      <c r="J47" s="39"/>
      <c r="K47" s="40"/>
      <c r="L47" s="41"/>
      <c r="M47" s="42"/>
    </row>
    <row r="48" spans="1:13" ht="16.5" customHeight="1" x14ac:dyDescent="0.25">
      <c r="A48" s="26" t="s">
        <v>47</v>
      </c>
      <c r="B48" s="27" t="s">
        <v>48</v>
      </c>
      <c r="C48" s="84">
        <v>1002</v>
      </c>
      <c r="D48" s="28">
        <f>SUM(E48:E57)</f>
        <v>397678.65036182798</v>
      </c>
      <c r="E48" s="102">
        <f t="shared" ref="E48:E57" si="2">(C48/$C$149)*$L$151</f>
        <v>14543.908594151095</v>
      </c>
      <c r="F48" s="102">
        <f t="shared" ref="F48:F57" si="3">(C48/$C$149)*$L$152</f>
        <v>11980.233387444561</v>
      </c>
      <c r="G48" s="87">
        <v>0</v>
      </c>
      <c r="H48" s="87">
        <f t="shared" si="1"/>
        <v>11980.233387444561</v>
      </c>
      <c r="I48" s="87">
        <f>SUM(F48:F57)+G48+G49+G50+G51+G52+G53+G54+G55+G56+G57</f>
        <v>373181.27579761087</v>
      </c>
      <c r="J48" s="30"/>
      <c r="K48" s="31">
        <v>231931</v>
      </c>
      <c r="L48" s="32">
        <f>(C48/C147)*C5</f>
        <v>14565.059436076468</v>
      </c>
      <c r="M48" s="33">
        <f>SUM(L48:L57)</f>
        <v>398256.98446070158</v>
      </c>
    </row>
    <row r="49" spans="1:13" x14ac:dyDescent="0.25">
      <c r="A49" s="26"/>
      <c r="B49" s="27" t="s">
        <v>49</v>
      </c>
      <c r="C49" s="84">
        <v>3310</v>
      </c>
      <c r="D49" s="28"/>
      <c r="E49" s="102">
        <f t="shared" si="2"/>
        <v>48044.248948742643</v>
      </c>
      <c r="F49" s="102">
        <f t="shared" si="3"/>
        <v>39575.4216691033</v>
      </c>
      <c r="G49" s="87">
        <f>(3310/20964)*45602</f>
        <v>7200.0868154932259</v>
      </c>
      <c r="H49" s="87">
        <f t="shared" si="1"/>
        <v>46775.508484596525</v>
      </c>
      <c r="I49" s="87"/>
      <c r="J49" s="30"/>
      <c r="K49" s="31"/>
      <c r="L49" s="32">
        <f>(C49/C147)*C5</f>
        <v>48114.118496420269</v>
      </c>
      <c r="M49" s="33"/>
    </row>
    <row r="50" spans="1:13" x14ac:dyDescent="0.25">
      <c r="A50" s="26"/>
      <c r="B50" s="27" t="s">
        <v>50</v>
      </c>
      <c r="C50" s="84">
        <v>2758</v>
      </c>
      <c r="D50" s="28"/>
      <c r="E50" s="102">
        <f t="shared" si="2"/>
        <v>40032.035831006709</v>
      </c>
      <c r="F50" s="102">
        <f t="shared" si="3"/>
        <v>32975.532617337434</v>
      </c>
      <c r="G50" s="87">
        <f>(2758/20964)*45602</f>
        <v>5999.3472619729055</v>
      </c>
      <c r="H50" s="87">
        <f t="shared" si="1"/>
        <v>38974.879879310341</v>
      </c>
      <c r="I50" s="87"/>
      <c r="J50" s="30"/>
      <c r="K50" s="31"/>
      <c r="L50" s="32">
        <f>(C50/C147)*C5</f>
        <v>40090.253417863169</v>
      </c>
      <c r="M50" s="33"/>
    </row>
    <row r="51" spans="1:13" x14ac:dyDescent="0.25">
      <c r="A51" s="26"/>
      <c r="B51" s="27" t="s">
        <v>51</v>
      </c>
      <c r="C51" s="84">
        <v>3831</v>
      </c>
      <c r="D51" s="28"/>
      <c r="E51" s="102">
        <f t="shared" si="2"/>
        <v>55606.500822547758</v>
      </c>
      <c r="F51" s="102">
        <f t="shared" si="3"/>
        <v>45804.664777744634</v>
      </c>
      <c r="G51" s="87">
        <f>(3831/20964)*45602</f>
        <v>8333.3935317687465</v>
      </c>
      <c r="H51" s="87">
        <f t="shared" si="1"/>
        <v>54138.058309513377</v>
      </c>
      <c r="I51" s="87"/>
      <c r="J51" s="30"/>
      <c r="K51" s="31"/>
      <c r="L51" s="32">
        <f>(C51/C147)*C5</f>
        <v>55687.367963681587</v>
      </c>
      <c r="M51" s="33"/>
    </row>
    <row r="52" spans="1:13" x14ac:dyDescent="0.25">
      <c r="A52" s="26"/>
      <c r="B52" s="27" t="s">
        <v>52</v>
      </c>
      <c r="C52" s="84">
        <v>1794</v>
      </c>
      <c r="D52" s="28"/>
      <c r="E52" s="102">
        <f t="shared" si="2"/>
        <v>26039.692632641785</v>
      </c>
      <c r="F52" s="102">
        <f t="shared" si="3"/>
        <v>21449.639418239069</v>
      </c>
      <c r="G52" s="87">
        <f>(1794/20964)*45602</f>
        <v>3902.4035489410421</v>
      </c>
      <c r="H52" s="87">
        <f t="shared" si="1"/>
        <v>25352.04296718011</v>
      </c>
      <c r="I52" s="87"/>
      <c r="J52" s="30"/>
      <c r="K52" s="31"/>
      <c r="L52" s="32">
        <f>(C52/C147)*C5</f>
        <v>26077.561505310561</v>
      </c>
      <c r="M52" s="33"/>
    </row>
    <row r="53" spans="1:13" x14ac:dyDescent="0.25">
      <c r="A53" s="26"/>
      <c r="B53" s="27" t="s">
        <v>53</v>
      </c>
      <c r="C53" s="84">
        <v>1080</v>
      </c>
      <c r="D53" s="28"/>
      <c r="E53" s="102">
        <f t="shared" si="2"/>
        <v>15676.069143396391</v>
      </c>
      <c r="F53" s="102">
        <f t="shared" si="3"/>
        <v>12912.82640562887</v>
      </c>
      <c r="G53" s="87">
        <v>0</v>
      </c>
      <c r="H53" s="87">
        <f t="shared" si="1"/>
        <v>12912.82640562887</v>
      </c>
      <c r="I53" s="87"/>
      <c r="J53" s="30"/>
      <c r="K53" s="31"/>
      <c r="L53" s="32">
        <f>(C53/C147)*C5</f>
        <v>15698.86645804649</v>
      </c>
      <c r="M53" s="33"/>
    </row>
    <row r="54" spans="1:13" x14ac:dyDescent="0.25">
      <c r="A54" s="26"/>
      <c r="B54" s="27" t="s">
        <v>54</v>
      </c>
      <c r="C54" s="84">
        <v>6978</v>
      </c>
      <c r="D54" s="28"/>
      <c r="E54" s="102">
        <f t="shared" si="2"/>
        <v>101284.82452094444</v>
      </c>
      <c r="F54" s="102">
        <f t="shared" si="3"/>
        <v>83431.206165257638</v>
      </c>
      <c r="G54" s="87">
        <f>(6978/20964)*45602</f>
        <v>15178.914138523181</v>
      </c>
      <c r="H54" s="87">
        <f t="shared" si="1"/>
        <v>98610.120303780815</v>
      </c>
      <c r="I54" s="87"/>
      <c r="J54" s="30"/>
      <c r="K54" s="31"/>
      <c r="L54" s="32">
        <f>(C54/C147)*C5</f>
        <v>101432.12050393372</v>
      </c>
      <c r="M54" s="33"/>
    </row>
    <row r="55" spans="1:13" x14ac:dyDescent="0.25">
      <c r="A55" s="26"/>
      <c r="B55" s="27" t="s">
        <v>55</v>
      </c>
      <c r="C55" s="84">
        <v>2293</v>
      </c>
      <c r="D55" s="28"/>
      <c r="E55" s="102">
        <f t="shared" si="2"/>
        <v>33282.617172044374</v>
      </c>
      <c r="F55" s="102">
        <f t="shared" si="3"/>
        <v>27415.843470469445</v>
      </c>
      <c r="G55" s="87">
        <f>(2293/20964)*45602</f>
        <v>4987.8547033008963</v>
      </c>
      <c r="H55" s="87">
        <f t="shared" si="1"/>
        <v>32403.698173770339</v>
      </c>
      <c r="I55" s="87"/>
      <c r="J55" s="30"/>
      <c r="K55" s="31"/>
      <c r="L55" s="32">
        <f>(C55/C147)*C5</f>
        <v>33331.019248426484</v>
      </c>
      <c r="M55" s="33"/>
    </row>
    <row r="56" spans="1:13" x14ac:dyDescent="0.25">
      <c r="A56" s="26"/>
      <c r="B56" s="27" t="s">
        <v>56</v>
      </c>
      <c r="C56" s="84">
        <v>1018</v>
      </c>
      <c r="D56" s="28"/>
      <c r="E56" s="102">
        <f t="shared" si="2"/>
        <v>14776.146655534747</v>
      </c>
      <c r="F56" s="102">
        <f t="shared" si="3"/>
        <v>12171.534519379806</v>
      </c>
      <c r="G56" s="87">
        <v>0</v>
      </c>
      <c r="H56" s="87">
        <f t="shared" si="1"/>
        <v>12171.534519379806</v>
      </c>
      <c r="I56" s="87"/>
      <c r="J56" s="30"/>
      <c r="K56" s="31"/>
      <c r="L56" s="32">
        <f>(C56/C147)*C5</f>
        <v>14797.635235454934</v>
      </c>
      <c r="M56" s="33"/>
    </row>
    <row r="57" spans="1:13" x14ac:dyDescent="0.25">
      <c r="A57" s="26"/>
      <c r="B57" s="27" t="s">
        <v>57</v>
      </c>
      <c r="C57" s="84">
        <v>3334</v>
      </c>
      <c r="D57" s="28"/>
      <c r="E57" s="102">
        <f t="shared" si="2"/>
        <v>48392.606040818115</v>
      </c>
      <c r="F57" s="102">
        <f t="shared" si="3"/>
        <v>39862.373367006163</v>
      </c>
      <c r="G57" s="87">
        <v>0</v>
      </c>
      <c r="H57" s="87">
        <f t="shared" si="1"/>
        <v>39862.373367006163</v>
      </c>
      <c r="I57" s="87"/>
      <c r="J57" s="30"/>
      <c r="K57" s="31"/>
      <c r="L57" s="32">
        <f>(C57/C147)*C5</f>
        <v>48462.982195487959</v>
      </c>
      <c r="M57" s="33"/>
    </row>
    <row r="58" spans="1:13" x14ac:dyDescent="0.25">
      <c r="A58" s="34"/>
      <c r="B58" s="35"/>
      <c r="C58" s="36"/>
      <c r="D58" s="37"/>
      <c r="E58" s="102"/>
      <c r="F58" s="102"/>
      <c r="G58" s="87"/>
      <c r="H58" s="87">
        <f t="shared" si="1"/>
        <v>0</v>
      </c>
      <c r="I58" s="87"/>
      <c r="J58" s="39"/>
      <c r="K58" s="40"/>
      <c r="L58" s="41"/>
      <c r="M58" s="42"/>
    </row>
    <row r="59" spans="1:13" x14ac:dyDescent="0.25">
      <c r="A59" s="26" t="s">
        <v>58</v>
      </c>
      <c r="B59" s="27" t="s">
        <v>59</v>
      </c>
      <c r="C59" s="84">
        <v>69871</v>
      </c>
      <c r="D59" s="28">
        <f>SUM(E59)</f>
        <v>1014169.0991835641</v>
      </c>
      <c r="E59" s="102">
        <f>(C59/$C$149)*$L$151</f>
        <v>1014169.0991835641</v>
      </c>
      <c r="F59" s="102">
        <f>(C59/$C$149)*$L$152</f>
        <v>835400.0868404581</v>
      </c>
      <c r="G59" s="87">
        <v>274242</v>
      </c>
      <c r="H59" s="87">
        <f t="shared" si="1"/>
        <v>1109642.0868404582</v>
      </c>
      <c r="I59" s="87">
        <f>F59+G59</f>
        <v>1109642.0868404582</v>
      </c>
      <c r="J59" s="30"/>
      <c r="K59" s="31">
        <v>472169</v>
      </c>
      <c r="L59" s="32">
        <f>(C59/C147)*C5</f>
        <v>1015643.9798983022</v>
      </c>
      <c r="M59" s="33">
        <f>SUM(L59)</f>
        <v>1015643.9798983022</v>
      </c>
    </row>
    <row r="60" spans="1:13" x14ac:dyDescent="0.25">
      <c r="A60" s="34"/>
      <c r="B60" s="35"/>
      <c r="C60" s="36"/>
      <c r="D60" s="37"/>
      <c r="E60" s="102"/>
      <c r="F60" s="102"/>
      <c r="G60" s="87"/>
      <c r="H60" s="87">
        <f t="shared" si="1"/>
        <v>0</v>
      </c>
      <c r="I60" s="87"/>
      <c r="J60" s="39"/>
      <c r="K60" s="40"/>
      <c r="L60" s="41"/>
      <c r="M60" s="42"/>
    </row>
    <row r="61" spans="1:13" x14ac:dyDescent="0.25">
      <c r="A61" s="45" t="s">
        <v>60</v>
      </c>
      <c r="B61" s="27" t="s">
        <v>61</v>
      </c>
      <c r="C61" s="84">
        <v>1935</v>
      </c>
      <c r="D61" s="28">
        <f>SUM(E61:E64)</f>
        <v>174541.41800864963</v>
      </c>
      <c r="E61" s="102">
        <f>(C61/$C$149)*$L$151</f>
        <v>28086.290548585199</v>
      </c>
      <c r="F61" s="102">
        <f>(C61/$C$149)*$L$152</f>
        <v>23135.480643418392</v>
      </c>
      <c r="G61" s="87">
        <v>0</v>
      </c>
      <c r="H61" s="87">
        <f t="shared" si="1"/>
        <v>23135.480643418392</v>
      </c>
      <c r="I61" s="87">
        <f>SUM(F61:F64)+G61+G62+G64+G63</f>
        <v>156430.75697008072</v>
      </c>
      <c r="J61" s="30"/>
      <c r="K61" s="31"/>
      <c r="L61" s="32">
        <f>(C61/C147)*C5</f>
        <v>28127.135737333298</v>
      </c>
      <c r="M61" s="33">
        <f>SUM(L61:L64)</f>
        <v>174795.24922037876</v>
      </c>
    </row>
    <row r="62" spans="1:13" x14ac:dyDescent="0.25">
      <c r="A62" s="45"/>
      <c r="B62" s="27" t="s">
        <v>62</v>
      </c>
      <c r="C62" s="84">
        <v>1754</v>
      </c>
      <c r="D62" s="28"/>
      <c r="E62" s="102">
        <f>(C62/$C$149)*$L$151</f>
        <v>25459.097479182656</v>
      </c>
      <c r="F62" s="102">
        <f>(C62/$C$149)*$L$152</f>
        <v>20971.386588400961</v>
      </c>
      <c r="G62" s="87">
        <v>0</v>
      </c>
      <c r="H62" s="87">
        <f t="shared" si="1"/>
        <v>20971.386588400961</v>
      </c>
      <c r="I62" s="87"/>
      <c r="J62" s="30"/>
      <c r="K62" s="31"/>
      <c r="L62" s="32">
        <f>(C62/C147)*C5</f>
        <v>25496.122006864396</v>
      </c>
      <c r="M62" s="33"/>
    </row>
    <row r="63" spans="1:13" x14ac:dyDescent="0.25">
      <c r="A63" s="45"/>
      <c r="B63" s="27" t="s">
        <v>63</v>
      </c>
      <c r="C63" s="84">
        <v>2716</v>
      </c>
      <c r="D63" s="28"/>
      <c r="E63" s="102">
        <f>(C63/$C$149)*$L$151</f>
        <v>39422.41091987463</v>
      </c>
      <c r="F63" s="102">
        <f>(C63/$C$149)*$L$152</f>
        <v>32473.367146007418</v>
      </c>
      <c r="G63" s="87">
        <f>(2716/8336)*12656</f>
        <v>4123.5239923224572</v>
      </c>
      <c r="H63" s="87">
        <f t="shared" si="1"/>
        <v>36596.891138329876</v>
      </c>
      <c r="I63" s="87"/>
      <c r="J63" s="30"/>
      <c r="K63" s="31"/>
      <c r="L63" s="32">
        <f>(C63/C147)*C5</f>
        <v>39479.741944494694</v>
      </c>
      <c r="M63" s="33"/>
    </row>
    <row r="64" spans="1:13" x14ac:dyDescent="0.25">
      <c r="A64" s="45"/>
      <c r="B64" s="27" t="s">
        <v>64</v>
      </c>
      <c r="C64" s="84">
        <v>5620</v>
      </c>
      <c r="D64" s="28"/>
      <c r="E64" s="102">
        <f>(C64/$C$149)*$L$151</f>
        <v>81573.61906100715</v>
      </c>
      <c r="F64" s="102">
        <f>(C64/$C$149)*$L$152</f>
        <v>67194.522592253939</v>
      </c>
      <c r="G64" s="87">
        <f>(5620/8336)*12656</f>
        <v>8532.4760076775437</v>
      </c>
      <c r="H64" s="87">
        <f t="shared" si="1"/>
        <v>75726.998599931481</v>
      </c>
      <c r="I64" s="87"/>
      <c r="J64" s="30"/>
      <c r="K64" s="31"/>
      <c r="L64" s="32">
        <f>(C64/C147)*C5</f>
        <v>81692.249531686364</v>
      </c>
      <c r="M64" s="33"/>
    </row>
    <row r="65" spans="1:13" x14ac:dyDescent="0.25">
      <c r="A65" s="34"/>
      <c r="B65" s="35"/>
      <c r="C65" s="36"/>
      <c r="D65" s="37"/>
      <c r="E65" s="102"/>
      <c r="F65" s="102"/>
      <c r="G65" s="38"/>
      <c r="H65" s="87">
        <f t="shared" si="1"/>
        <v>0</v>
      </c>
      <c r="I65" s="38"/>
      <c r="J65" s="39"/>
      <c r="K65" s="40"/>
      <c r="L65" s="41"/>
      <c r="M65" s="42"/>
    </row>
    <row r="66" spans="1:13" x14ac:dyDescent="0.25">
      <c r="A66" s="26" t="s">
        <v>65</v>
      </c>
      <c r="B66" s="27" t="s">
        <v>66</v>
      </c>
      <c r="C66" s="84">
        <v>9401</v>
      </c>
      <c r="D66" s="28">
        <f>SUM(E66:E69)</f>
        <v>498324.82021396747</v>
      </c>
      <c r="E66" s="102">
        <f>(C66/$C$149)*$L$151</f>
        <v>136454.37594173098</v>
      </c>
      <c r="F66" s="102">
        <f>(C66/$C$149)*$L$152</f>
        <v>112401.37133270093</v>
      </c>
      <c r="G66" s="87">
        <f>(9401/22436)*132498</f>
        <v>55518.528169014084</v>
      </c>
      <c r="H66" s="87">
        <f t="shared" si="1"/>
        <v>167919.89950171503</v>
      </c>
      <c r="I66" s="87">
        <f>SUM(F66:F69)+G66+G67+G68+G69</f>
        <v>542982.40385004668</v>
      </c>
      <c r="J66" s="30"/>
      <c r="K66" s="31">
        <v>139926</v>
      </c>
      <c r="L66" s="32">
        <f>(C66/C147)*C5</f>
        <v>136652.81812231024</v>
      </c>
      <c r="M66" s="33">
        <f>SUM(L66:L69)</f>
        <v>499049.52151634457</v>
      </c>
    </row>
    <row r="67" spans="1:13" x14ac:dyDescent="0.25">
      <c r="A67" s="26"/>
      <c r="B67" s="27" t="s">
        <v>67</v>
      </c>
      <c r="C67" s="84">
        <v>8664</v>
      </c>
      <c r="D67" s="28"/>
      <c r="E67" s="102">
        <f>(C67/$C$149)*$L$151</f>
        <v>125756.9102392466</v>
      </c>
      <c r="F67" s="102">
        <f>(C67/$C$149)*$L$152</f>
        <v>103589.56294293383</v>
      </c>
      <c r="G67" s="87">
        <f>(8664/22436)*132498</f>
        <v>51166.102335532181</v>
      </c>
      <c r="H67" s="87">
        <f t="shared" si="1"/>
        <v>154755.66527846601</v>
      </c>
      <c r="I67" s="87"/>
      <c r="J67" s="30"/>
      <c r="K67" s="31"/>
      <c r="L67" s="32">
        <f>(C67/C147)*C5</f>
        <v>125939.79536343964</v>
      </c>
      <c r="M67" s="33"/>
    </row>
    <row r="68" spans="1:13" x14ac:dyDescent="0.25">
      <c r="A68" s="26"/>
      <c r="B68" s="27" t="s">
        <v>68</v>
      </c>
      <c r="C68" s="84">
        <v>11896</v>
      </c>
      <c r="D68" s="28"/>
      <c r="E68" s="102">
        <f>(C68/$C$149)*$L$151</f>
        <v>172668.99863874394</v>
      </c>
      <c r="F68" s="102">
        <f>(C68/$C$149)*$L$152</f>
        <v>142232.39159385281</v>
      </c>
      <c r="G68" s="87">
        <v>0</v>
      </c>
      <c r="H68" s="87">
        <f t="shared" si="1"/>
        <v>142232.39159385281</v>
      </c>
      <c r="I68" s="87"/>
      <c r="J68" s="30"/>
      <c r="K68" s="31"/>
      <c r="L68" s="32">
        <f>(C68/C147)*C5</f>
        <v>172920.10683788988</v>
      </c>
      <c r="M68" s="33"/>
    </row>
    <row r="69" spans="1:13" x14ac:dyDescent="0.25">
      <c r="A69" s="26"/>
      <c r="B69" s="27" t="s">
        <v>69</v>
      </c>
      <c r="C69" s="84">
        <v>4371</v>
      </c>
      <c r="D69" s="28"/>
      <c r="E69" s="102">
        <f>(C69/$C$149)*$L$151</f>
        <v>63444.535394245948</v>
      </c>
      <c r="F69" s="102">
        <f>(C69/$C$149)*$L$152</f>
        <v>52261.077980559065</v>
      </c>
      <c r="G69" s="87">
        <f>(4371/22436)*132498</f>
        <v>25813.369495453735</v>
      </c>
      <c r="H69" s="87">
        <f t="shared" si="1"/>
        <v>78074.447476012807</v>
      </c>
      <c r="I69" s="87"/>
      <c r="J69" s="30"/>
      <c r="K69" s="31"/>
      <c r="L69" s="32">
        <f>(C69/C147)*C5</f>
        <v>63536.801192704828</v>
      </c>
      <c r="M69" s="33"/>
    </row>
    <row r="70" spans="1:13" x14ac:dyDescent="0.25">
      <c r="A70" s="34"/>
      <c r="B70" s="35"/>
      <c r="C70" s="36"/>
      <c r="D70" s="37"/>
      <c r="E70" s="102"/>
      <c r="F70" s="102"/>
      <c r="G70" s="38"/>
      <c r="H70" s="87">
        <f t="shared" si="1"/>
        <v>0</v>
      </c>
      <c r="I70" s="38"/>
      <c r="J70" s="39"/>
      <c r="K70" s="40"/>
      <c r="L70" s="41"/>
      <c r="M70" s="42"/>
    </row>
    <row r="71" spans="1:13" x14ac:dyDescent="0.25">
      <c r="A71" s="26" t="s">
        <v>70</v>
      </c>
      <c r="B71" s="27" t="s">
        <v>71</v>
      </c>
      <c r="C71" s="84">
        <v>20081</v>
      </c>
      <c r="D71" s="28">
        <f>SUM(E71:E74)</f>
        <v>1120084.1700533452</v>
      </c>
      <c r="E71" s="102">
        <f>(C71/$C$149)*$L$151</f>
        <v>291473.28191531752</v>
      </c>
      <c r="F71" s="102">
        <f>(C71/$C$149)*$L$152</f>
        <v>240094.87689947529</v>
      </c>
      <c r="G71" s="87">
        <v>43902</v>
      </c>
      <c r="H71" s="87">
        <f t="shared" si="1"/>
        <v>283996.87689947529</v>
      </c>
      <c r="I71" s="87">
        <f>SUM(F71:F74)+G71+G72+G73+G74</f>
        <v>1071147.3593236748</v>
      </c>
      <c r="J71" s="30"/>
      <c r="K71" s="31"/>
      <c r="L71" s="32">
        <f>(C71/C147)*C5</f>
        <v>291897.16420743667</v>
      </c>
      <c r="M71" s="33">
        <f>SUM(L71:L74)</f>
        <v>1121713.080402344</v>
      </c>
    </row>
    <row r="72" spans="1:13" x14ac:dyDescent="0.25">
      <c r="A72" s="26"/>
      <c r="B72" s="27" t="s">
        <v>72</v>
      </c>
      <c r="C72" s="84">
        <v>34776</v>
      </c>
      <c r="D72" s="28"/>
      <c r="E72" s="102">
        <f>(C72/$C$149)*$L$151</f>
        <v>504769.42641736375</v>
      </c>
      <c r="F72" s="102">
        <f>(C72/$C$149)*$L$152</f>
        <v>415793.01026124961</v>
      </c>
      <c r="G72" s="87">
        <v>68134</v>
      </c>
      <c r="H72" s="87">
        <f t="shared" si="1"/>
        <v>483927.01026124961</v>
      </c>
      <c r="I72" s="87"/>
      <c r="J72" s="30"/>
      <c r="K72" s="31"/>
      <c r="L72" s="32">
        <f>(C72/C147)*C5</f>
        <v>505503.49994909699</v>
      </c>
      <c r="M72" s="33"/>
    </row>
    <row r="73" spans="1:13" x14ac:dyDescent="0.25">
      <c r="A73" s="26"/>
      <c r="B73" s="27" t="s">
        <v>73</v>
      </c>
      <c r="C73" s="84">
        <v>12626</v>
      </c>
      <c r="D73" s="28"/>
      <c r="E73" s="102">
        <f>(C73/$C$149)*$L$151</f>
        <v>183264.86018937299</v>
      </c>
      <c r="F73" s="102">
        <f>(C73/$C$149)*$L$152</f>
        <v>150960.50573839826</v>
      </c>
      <c r="G73" s="87">
        <v>15363</v>
      </c>
      <c r="H73" s="87">
        <f t="shared" si="1"/>
        <v>166323.50573839826</v>
      </c>
      <c r="I73" s="87"/>
      <c r="J73" s="30"/>
      <c r="K73" s="31"/>
      <c r="L73" s="32">
        <f>(C73/C147)*C5</f>
        <v>183531.3776845324</v>
      </c>
      <c r="M73" s="33"/>
    </row>
    <row r="74" spans="1:13" x14ac:dyDescent="0.25">
      <c r="A74" s="26"/>
      <c r="B74" s="27" t="s">
        <v>74</v>
      </c>
      <c r="C74" s="84">
        <v>9685</v>
      </c>
      <c r="D74" s="28"/>
      <c r="E74" s="102">
        <f>(C74/$C$149)*$L$151</f>
        <v>140576.60153129077</v>
      </c>
      <c r="F74" s="102">
        <f>(C74/$C$149)*$L$152</f>
        <v>115796.96642455149</v>
      </c>
      <c r="G74" s="87">
        <v>21103</v>
      </c>
      <c r="H74" s="87">
        <f t="shared" si="1"/>
        <v>136899.9664245515</v>
      </c>
      <c r="I74" s="87"/>
      <c r="J74" s="30"/>
      <c r="K74" s="31"/>
      <c r="L74" s="32">
        <f>(C74/C147)*C5</f>
        <v>140781.03856127802</v>
      </c>
      <c r="M74" s="33"/>
    </row>
    <row r="75" spans="1:13" x14ac:dyDescent="0.25">
      <c r="A75" s="34"/>
      <c r="B75" s="35"/>
      <c r="C75" s="36"/>
      <c r="D75" s="37"/>
      <c r="E75" s="102"/>
      <c r="F75" s="102"/>
      <c r="G75" s="87"/>
      <c r="H75" s="87">
        <f t="shared" ref="H75:H138" si="4">$F75+$G75</f>
        <v>0</v>
      </c>
      <c r="I75" s="87"/>
      <c r="J75" s="39"/>
      <c r="K75" s="40"/>
      <c r="L75" s="41"/>
      <c r="M75" s="42"/>
    </row>
    <row r="76" spans="1:13" x14ac:dyDescent="0.25">
      <c r="A76" s="26" t="s">
        <v>75</v>
      </c>
      <c r="B76" s="27" t="s">
        <v>76</v>
      </c>
      <c r="C76" s="84">
        <v>5311</v>
      </c>
      <c r="D76" s="28">
        <f>SUM(E76:E79)</f>
        <v>963468.62740774592</v>
      </c>
      <c r="E76" s="102">
        <f>(C76/$C$149)*$L$151</f>
        <v>77088.521500535397</v>
      </c>
      <c r="F76" s="102">
        <f>(C76/$C$149)*$L$152</f>
        <v>63500.019481754563</v>
      </c>
      <c r="G76" s="87">
        <v>0</v>
      </c>
      <c r="H76" s="87">
        <f t="shared" si="4"/>
        <v>63500.019481754563</v>
      </c>
      <c r="I76" s="87">
        <f>SUM(F76:F79)+G76+G77+G78+G79</f>
        <v>1309214.6584748453</v>
      </c>
      <c r="J76" s="30"/>
      <c r="K76" s="31">
        <v>127786</v>
      </c>
      <c r="L76" s="32">
        <f>(C76/C147)*C5</f>
        <v>77200.629406189735</v>
      </c>
      <c r="M76" s="33">
        <f>SUM(L76:L77)</f>
        <v>263348.48483372986</v>
      </c>
    </row>
    <row r="77" spans="1:13" x14ac:dyDescent="0.25">
      <c r="A77" s="26"/>
      <c r="B77" s="27" t="s">
        <v>77</v>
      </c>
      <c r="C77" s="84">
        <v>12806</v>
      </c>
      <c r="D77" s="28"/>
      <c r="E77" s="102">
        <f>(C77/$C$149)*$L$151</f>
        <v>185877.53837993907</v>
      </c>
      <c r="F77" s="102">
        <f>(C77/$C$149)*$L$152</f>
        <v>153112.64347266973</v>
      </c>
      <c r="G77" s="87">
        <f>(12806/61067)*515578</f>
        <v>108118.81815055595</v>
      </c>
      <c r="H77" s="87">
        <f t="shared" si="4"/>
        <v>261231.46162322568</v>
      </c>
      <c r="I77" s="87"/>
      <c r="J77" s="30"/>
      <c r="K77" s="31"/>
      <c r="L77" s="32">
        <f>(C77/C147)*C5</f>
        <v>186147.85542754014</v>
      </c>
      <c r="M77" s="33"/>
    </row>
    <row r="78" spans="1:13" x14ac:dyDescent="0.25">
      <c r="A78" s="26"/>
      <c r="B78" s="27" t="s">
        <v>93</v>
      </c>
      <c r="C78" s="84">
        <v>8863</v>
      </c>
      <c r="D78" s="28"/>
      <c r="E78" s="102">
        <f>(C78/$C$149)*$L$151</f>
        <v>128645.37112770574</v>
      </c>
      <c r="F78" s="102">
        <f>(C78/$C$149)*$L$152</f>
        <v>105968.8707713784</v>
      </c>
      <c r="G78" s="87">
        <f>(8863/61067)*515578</f>
        <v>74828.758805901714</v>
      </c>
      <c r="H78" s="87">
        <f t="shared" si="4"/>
        <v>180797.62957728011</v>
      </c>
      <c r="I78" s="87"/>
      <c r="J78" s="30"/>
      <c r="K78" s="31"/>
      <c r="L78" s="32">
        <f>(C78/C147)*C5</f>
        <v>128832.45686820931</v>
      </c>
      <c r="M78" s="33"/>
    </row>
    <row r="79" spans="1:13" x14ac:dyDescent="0.25">
      <c r="A79" s="26"/>
      <c r="B79" s="27" t="s">
        <v>95</v>
      </c>
      <c r="C79" s="84">
        <v>39398</v>
      </c>
      <c r="D79" s="28"/>
      <c r="E79" s="102">
        <f>(C79/$C$149)*$L$151</f>
        <v>571857.19639956579</v>
      </c>
      <c r="F79" s="102">
        <f>(C79/$C$149)*$L$152</f>
        <v>471055.12474904279</v>
      </c>
      <c r="G79" s="87">
        <f>(39398/61067)*515578</f>
        <v>332630.42304354231</v>
      </c>
      <c r="H79" s="87">
        <f t="shared" si="4"/>
        <v>803685.5477925851</v>
      </c>
      <c r="I79" s="87"/>
      <c r="J79" s="30"/>
      <c r="K79" s="31"/>
      <c r="L79" s="32">
        <f>(C79/C147)*C5</f>
        <v>572688.83399455156</v>
      </c>
      <c r="M79" s="33"/>
    </row>
    <row r="80" spans="1:13" x14ac:dyDescent="0.25">
      <c r="A80" s="34"/>
      <c r="B80" s="35"/>
      <c r="C80" s="36"/>
      <c r="D80" s="37"/>
      <c r="E80" s="102"/>
      <c r="F80" s="102"/>
      <c r="G80" s="87"/>
      <c r="H80" s="87">
        <f t="shared" si="4"/>
        <v>0</v>
      </c>
      <c r="I80" s="87"/>
      <c r="J80" s="39"/>
      <c r="K80" s="40"/>
      <c r="L80" s="41"/>
      <c r="M80" s="42"/>
    </row>
    <row r="81" spans="1:13" x14ac:dyDescent="0.25">
      <c r="A81" s="26" t="s">
        <v>78</v>
      </c>
      <c r="B81" s="27" t="s">
        <v>79</v>
      </c>
      <c r="C81" s="84">
        <v>5923</v>
      </c>
      <c r="D81" s="28">
        <f>SUM(E81:E82)</f>
        <v>389579.34797107324</v>
      </c>
      <c r="E81" s="102">
        <f>(C81/$C$149)*$L$151</f>
        <v>85971.627348460024</v>
      </c>
      <c r="F81" s="102">
        <f>(C81/$C$149)*$L$152</f>
        <v>70817.28777827759</v>
      </c>
      <c r="G81" s="87">
        <v>1117</v>
      </c>
      <c r="H81" s="87">
        <f t="shared" si="4"/>
        <v>71934.28777827759</v>
      </c>
      <c r="I81" s="87">
        <f>SUM(F81:F82)+G81+G82</f>
        <v>391488.64882136928</v>
      </c>
      <c r="J81" s="30"/>
      <c r="K81" s="31"/>
      <c r="L81" s="32">
        <f>(C81/C147)*C5</f>
        <v>86096.653732416074</v>
      </c>
      <c r="M81" s="33">
        <f>SUM(L81:L82)</f>
        <v>390145.90345737757</v>
      </c>
    </row>
    <row r="82" spans="1:13" x14ac:dyDescent="0.25">
      <c r="A82" s="26"/>
      <c r="B82" s="27" t="s">
        <v>80</v>
      </c>
      <c r="C82" s="84">
        <v>20917</v>
      </c>
      <c r="D82" s="28"/>
      <c r="E82" s="102">
        <f>(C82/$C$149)*$L$151</f>
        <v>303607.72062261321</v>
      </c>
      <c r="F82" s="102">
        <f>(C82/$C$149)*$L$152</f>
        <v>250090.36104309172</v>
      </c>
      <c r="G82" s="87">
        <v>69464</v>
      </c>
      <c r="H82" s="87">
        <f t="shared" si="4"/>
        <v>319554.36104309175</v>
      </c>
      <c r="I82" s="87"/>
      <c r="J82" s="30"/>
      <c r="K82" s="31"/>
      <c r="L82" s="32">
        <f>(C82/C147)*C5</f>
        <v>304049.24972496153</v>
      </c>
      <c r="M82" s="33"/>
    </row>
    <row r="83" spans="1:13" x14ac:dyDescent="0.25">
      <c r="A83" s="34"/>
      <c r="B83" s="35"/>
      <c r="C83" s="36"/>
      <c r="D83" s="37"/>
      <c r="E83" s="102"/>
      <c r="F83" s="102"/>
      <c r="G83" s="87"/>
      <c r="H83" s="87">
        <f t="shared" si="4"/>
        <v>0</v>
      </c>
      <c r="I83" s="87"/>
      <c r="J83" s="39"/>
      <c r="K83" s="40"/>
      <c r="L83" s="41"/>
      <c r="M83" s="42"/>
    </row>
    <row r="84" spans="1:13" x14ac:dyDescent="0.25">
      <c r="A84" s="26" t="s">
        <v>81</v>
      </c>
      <c r="B84" s="27" t="s">
        <v>82</v>
      </c>
      <c r="C84" s="84">
        <v>25281</v>
      </c>
      <c r="D84" s="28">
        <f>SUM(E84:E86)</f>
        <v>923364.0171825568</v>
      </c>
      <c r="E84" s="102">
        <f>(C84/$C$149)*$L$151</f>
        <v>366950.65186500386</v>
      </c>
      <c r="F84" s="102">
        <f>(C84/$C$149)*$L$152</f>
        <v>302267.7447784291</v>
      </c>
      <c r="G84" s="87">
        <v>17995</v>
      </c>
      <c r="H84" s="87">
        <f t="shared" si="4"/>
        <v>320262.7447784291</v>
      </c>
      <c r="I84" s="87">
        <f>SUM(F84:F86)+G84+G85+G86</f>
        <v>828830.34425377822</v>
      </c>
      <c r="J84" s="30"/>
      <c r="K84" s="31">
        <v>138648</v>
      </c>
      <c r="L84" s="32">
        <f>(C84/C147)*C5</f>
        <v>367484.29900543828</v>
      </c>
      <c r="M84" s="33">
        <f>SUM(L84:L86)</f>
        <v>924706.84234132175</v>
      </c>
    </row>
    <row r="85" spans="1:13" x14ac:dyDescent="0.25">
      <c r="A85" s="26"/>
      <c r="B85" s="27" t="s">
        <v>83</v>
      </c>
      <c r="C85" s="84">
        <v>27504</v>
      </c>
      <c r="D85" s="28"/>
      <c r="E85" s="102">
        <f>(C85/$C$149)*$L$151</f>
        <v>399217.22751849471</v>
      </c>
      <c r="F85" s="102">
        <f>(C85/$C$149)*$L$152</f>
        <v>328846.64579668187</v>
      </c>
      <c r="G85" s="87">
        <v>49440</v>
      </c>
      <c r="H85" s="87">
        <f t="shared" si="4"/>
        <v>378286.64579668187</v>
      </c>
      <c r="I85" s="87"/>
      <c r="J85" s="30"/>
      <c r="K85" s="31"/>
      <c r="L85" s="32">
        <f>(C85/C147)*C5</f>
        <v>399797.79913158395</v>
      </c>
      <c r="M85" s="33"/>
    </row>
    <row r="86" spans="1:13" x14ac:dyDescent="0.25">
      <c r="A86" s="26"/>
      <c r="B86" s="27" t="s">
        <v>84</v>
      </c>
      <c r="C86" s="84">
        <v>10830</v>
      </c>
      <c r="D86" s="28"/>
      <c r="E86" s="102">
        <f>(C86/$C$149)*$L$151</f>
        <v>157196.13779905826</v>
      </c>
      <c r="F86" s="102">
        <f>(C86/$C$149)*$L$152</f>
        <v>129486.95367866728</v>
      </c>
      <c r="G86" s="87">
        <v>794</v>
      </c>
      <c r="H86" s="87">
        <f t="shared" si="4"/>
        <v>130280.95367866728</v>
      </c>
      <c r="I86" s="87"/>
      <c r="J86" s="30"/>
      <c r="K86" s="31"/>
      <c r="L86" s="32">
        <f>(C86/C147)*C5</f>
        <v>157424.74420429955</v>
      </c>
      <c r="M86" s="33"/>
    </row>
    <row r="87" spans="1:13" x14ac:dyDescent="0.25">
      <c r="A87" s="34"/>
      <c r="B87" s="35"/>
      <c r="C87" s="36"/>
      <c r="D87" s="37"/>
      <c r="E87" s="102"/>
      <c r="F87" s="102"/>
      <c r="G87" s="87"/>
      <c r="H87" s="87">
        <f t="shared" si="4"/>
        <v>0</v>
      </c>
      <c r="I87" s="87"/>
      <c r="J87" s="39"/>
      <c r="K87" s="40"/>
      <c r="L87" s="41"/>
      <c r="M87" s="42"/>
    </row>
    <row r="88" spans="1:13" x14ac:dyDescent="0.25">
      <c r="A88" s="26" t="s">
        <v>158</v>
      </c>
      <c r="B88" s="27" t="s">
        <v>86</v>
      </c>
      <c r="C88" s="84">
        <v>9404</v>
      </c>
      <c r="D88" s="28">
        <f>SUM(E88:E91)</f>
        <v>1428075.3840845744</v>
      </c>
      <c r="E88" s="102">
        <f>(C88/$C$149)*$L$151</f>
        <v>136497.92057824042</v>
      </c>
      <c r="F88" s="102">
        <f>(C88/$C$149)*$L$152</f>
        <v>112437.24029493879</v>
      </c>
      <c r="G88" s="95">
        <v>0</v>
      </c>
      <c r="H88" s="87">
        <f t="shared" si="4"/>
        <v>112437.24029493879</v>
      </c>
      <c r="I88" s="87">
        <f>SUM(F88:F91)+G88+G89+G90+G91</f>
        <v>1239432.529232044</v>
      </c>
      <c r="J88" s="30"/>
      <c r="K88" s="31">
        <v>171872</v>
      </c>
      <c r="L88" s="32">
        <f>(C88/C147)*C5</f>
        <v>136696.4260846937</v>
      </c>
      <c r="M88" s="33">
        <f>SUM(L88:L91)</f>
        <v>1430152.1983405743</v>
      </c>
    </row>
    <row r="89" spans="1:13" x14ac:dyDescent="0.25">
      <c r="A89" s="26"/>
      <c r="B89" s="27" t="s">
        <v>87</v>
      </c>
      <c r="C89" s="84">
        <v>46899</v>
      </c>
      <c r="D89" s="28"/>
      <c r="E89" s="102">
        <f>(C89/$C$149)*$L$151</f>
        <v>680733.30255198828</v>
      </c>
      <c r="F89" s="102">
        <f>(C89/$C$149)*$L$152</f>
        <v>560739.48666443361</v>
      </c>
      <c r="G89" s="95">
        <v>63086</v>
      </c>
      <c r="H89" s="87">
        <f t="shared" si="4"/>
        <v>623825.48666443361</v>
      </c>
      <c r="I89" s="87"/>
      <c r="J89" s="30"/>
      <c r="K89" s="31"/>
      <c r="L89" s="32">
        <f>(C89/C147)*C5</f>
        <v>681723.27594066889</v>
      </c>
      <c r="M89" s="33"/>
    </row>
    <row r="90" spans="1:13" x14ac:dyDescent="0.25">
      <c r="A90" s="26"/>
      <c r="B90" s="27" t="s">
        <v>88</v>
      </c>
      <c r="C90" s="84">
        <v>18514</v>
      </c>
      <c r="D90" s="28"/>
      <c r="E90" s="102">
        <f>(C90/$C$149)*$L$151</f>
        <v>268728.46677855623</v>
      </c>
      <c r="F90" s="102">
        <f>(C90/$C$149)*$L$152</f>
        <v>221359.32229056748</v>
      </c>
      <c r="G90" s="95">
        <v>0</v>
      </c>
      <c r="H90" s="87">
        <f t="shared" si="4"/>
        <v>221359.32229056748</v>
      </c>
      <c r="I90" s="87"/>
      <c r="J90" s="30"/>
      <c r="K90" s="31"/>
      <c r="L90" s="32">
        <f>(C90/C147)*C5</f>
        <v>269119.2718558081</v>
      </c>
      <c r="M90" s="33"/>
    </row>
    <row r="91" spans="1:13" x14ac:dyDescent="0.25">
      <c r="A91" s="26"/>
      <c r="B91" s="27" t="s">
        <v>89</v>
      </c>
      <c r="C91" s="84">
        <v>23570</v>
      </c>
      <c r="D91" s="28"/>
      <c r="E91" s="102">
        <f>(C91/$C$149)*$L$151</f>
        <v>342115.69417578971</v>
      </c>
      <c r="F91" s="102">
        <f>(C91/$C$149)*$L$152</f>
        <v>281810.47998210415</v>
      </c>
      <c r="G91" s="95">
        <v>0</v>
      </c>
      <c r="H91" s="87">
        <f t="shared" si="4"/>
        <v>281810.47998210415</v>
      </c>
      <c r="I91" s="87"/>
      <c r="J91" s="30"/>
      <c r="K91" s="31"/>
      <c r="L91" s="32">
        <f>(C91/C147)*C5</f>
        <v>342613.22445940354</v>
      </c>
      <c r="M91" s="33"/>
    </row>
    <row r="92" spans="1:13" x14ac:dyDescent="0.25">
      <c r="A92" s="34"/>
      <c r="B92" s="35"/>
      <c r="C92" s="36"/>
      <c r="D92" s="37"/>
      <c r="E92" s="49"/>
      <c r="F92" s="49"/>
      <c r="G92" s="38"/>
      <c r="H92" s="87">
        <f t="shared" si="4"/>
        <v>0</v>
      </c>
      <c r="I92" s="38"/>
      <c r="J92" s="39"/>
      <c r="K92" s="40"/>
      <c r="L92" s="41"/>
      <c r="M92" s="42"/>
    </row>
    <row r="93" spans="1:13" x14ac:dyDescent="0.25">
      <c r="A93" s="45" t="s">
        <v>90</v>
      </c>
      <c r="B93" s="27" t="s">
        <v>91</v>
      </c>
      <c r="C93" s="84">
        <v>6061</v>
      </c>
      <c r="D93" s="46">
        <v>120000</v>
      </c>
      <c r="E93" s="49">
        <v>120000</v>
      </c>
      <c r="F93" s="49">
        <v>120000</v>
      </c>
      <c r="G93" s="29">
        <v>6035</v>
      </c>
      <c r="H93" s="87">
        <f t="shared" si="4"/>
        <v>126035</v>
      </c>
      <c r="I93" s="29">
        <f>120000+G93</f>
        <v>126035</v>
      </c>
      <c r="J93" s="47">
        <v>120000</v>
      </c>
      <c r="K93" s="31"/>
      <c r="L93" s="32">
        <f>(C93/C147)*C5</f>
        <v>88102.620002055352</v>
      </c>
      <c r="M93" s="33">
        <f>SUM(L93)</f>
        <v>88102.620002055352</v>
      </c>
    </row>
    <row r="94" spans="1:13" x14ac:dyDescent="0.25">
      <c r="A94" s="34"/>
      <c r="B94" s="35"/>
      <c r="C94" s="36"/>
      <c r="D94" s="37"/>
      <c r="E94" s="49"/>
      <c r="F94" s="49"/>
      <c r="G94" s="38"/>
      <c r="H94" s="87">
        <f t="shared" si="4"/>
        <v>0</v>
      </c>
      <c r="I94" s="38"/>
      <c r="J94" s="39"/>
      <c r="K94" s="40"/>
      <c r="L94" s="41"/>
      <c r="M94" s="42"/>
    </row>
    <row r="95" spans="1:13" hidden="1" x14ac:dyDescent="0.25">
      <c r="A95" s="26" t="s">
        <v>92</v>
      </c>
      <c r="B95" s="27"/>
      <c r="C95" s="84"/>
      <c r="D95" s="28">
        <f>SUM(E95:E97)</f>
        <v>0</v>
      </c>
      <c r="E95" s="102">
        <f>(C95/$C$149)*$L$151</f>
        <v>0</v>
      </c>
      <c r="F95" s="102">
        <f>(C95/$C$149)*$L$152</f>
        <v>0</v>
      </c>
      <c r="G95" s="87">
        <v>0</v>
      </c>
      <c r="H95" s="87">
        <f t="shared" si="4"/>
        <v>0</v>
      </c>
      <c r="I95" s="87">
        <f>SUM(F95:F97)+G95</f>
        <v>0</v>
      </c>
      <c r="J95" s="30"/>
      <c r="K95" s="31">
        <v>122674</v>
      </c>
      <c r="L95" s="32">
        <f>(C95/C147)*C5</f>
        <v>0</v>
      </c>
      <c r="M95" s="33">
        <f>SUM(L95:L97)</f>
        <v>0</v>
      </c>
    </row>
    <row r="96" spans="1:13" hidden="1" x14ac:dyDescent="0.25">
      <c r="A96" s="26"/>
      <c r="B96" s="27" t="s">
        <v>94</v>
      </c>
      <c r="C96" s="84">
        <v>0</v>
      </c>
      <c r="D96" s="28"/>
      <c r="E96" s="102">
        <f>(C96/$C$149)*$L$151</f>
        <v>0</v>
      </c>
      <c r="F96" s="102">
        <f>(C96/$C$149)*$L$152</f>
        <v>0</v>
      </c>
      <c r="G96" s="87"/>
      <c r="H96" s="87">
        <f t="shared" si="4"/>
        <v>0</v>
      </c>
      <c r="I96" s="87"/>
      <c r="J96" s="30"/>
      <c r="K96" s="31"/>
      <c r="L96" s="32">
        <f>(C96/C147)*C5</f>
        <v>0</v>
      </c>
      <c r="M96" s="33"/>
    </row>
    <row r="97" spans="1:13" hidden="1" x14ac:dyDescent="0.25">
      <c r="A97" s="26"/>
      <c r="B97" s="27"/>
      <c r="C97" s="84"/>
      <c r="D97" s="28"/>
      <c r="E97" s="102">
        <f>(C97/$C$149)*$L$151</f>
        <v>0</v>
      </c>
      <c r="F97" s="102">
        <f>(C97/$C$149)*$L$152</f>
        <v>0</v>
      </c>
      <c r="G97" s="87"/>
      <c r="H97" s="87">
        <f t="shared" si="4"/>
        <v>0</v>
      </c>
      <c r="I97" s="87"/>
      <c r="J97" s="30"/>
      <c r="K97" s="31"/>
      <c r="L97" s="32">
        <f>(C97/C147)*C5</f>
        <v>0</v>
      </c>
      <c r="M97" s="33"/>
    </row>
    <row r="98" spans="1:13" hidden="1" x14ac:dyDescent="0.25">
      <c r="A98" s="34"/>
      <c r="B98" s="35"/>
      <c r="C98" s="36"/>
      <c r="D98" s="37"/>
      <c r="E98" s="102"/>
      <c r="F98" s="102"/>
      <c r="G98" s="87"/>
      <c r="H98" s="87">
        <f t="shared" si="4"/>
        <v>0</v>
      </c>
      <c r="I98" s="87"/>
      <c r="J98" s="39"/>
      <c r="K98" s="40"/>
      <c r="L98" s="41"/>
      <c r="M98" s="42"/>
    </row>
    <row r="99" spans="1:13" x14ac:dyDescent="0.25">
      <c r="A99" s="26" t="s">
        <v>96</v>
      </c>
      <c r="B99" s="27" t="s">
        <v>97</v>
      </c>
      <c r="C99" s="84">
        <v>8961</v>
      </c>
      <c r="D99" s="28">
        <f>SUM(E99:E100)</f>
        <v>257043.9893151914</v>
      </c>
      <c r="E99" s="102">
        <f>(C99/$C$149)*$L$151</f>
        <v>130067.82925368061</v>
      </c>
      <c r="F99" s="102">
        <f>(C99/$C$149)*$L$152</f>
        <v>107140.59020448176</v>
      </c>
      <c r="G99" s="87">
        <v>715</v>
      </c>
      <c r="H99" s="87">
        <f t="shared" si="4"/>
        <v>107855.59020448176</v>
      </c>
      <c r="I99" s="87">
        <f>SUM(F99:F100)+G99+G100</f>
        <v>213789.48409007562</v>
      </c>
      <c r="J99" s="30"/>
      <c r="K99" s="31">
        <v>214681</v>
      </c>
      <c r="L99" s="32">
        <f>(C99/C147)*C5</f>
        <v>130256.9836394024</v>
      </c>
      <c r="M99" s="33">
        <f>SUM(L99:L100)</f>
        <v>257417.80194957898</v>
      </c>
    </row>
    <row r="100" spans="1:13" x14ac:dyDescent="0.25">
      <c r="A100" s="26"/>
      <c r="B100" s="27" t="s">
        <v>98</v>
      </c>
      <c r="C100" s="84">
        <v>8748</v>
      </c>
      <c r="D100" s="28"/>
      <c r="E100" s="102">
        <f>(C100/$C$149)*$L$151</f>
        <v>126976.16006151077</v>
      </c>
      <c r="F100" s="102">
        <f>(C100/$C$149)*$L$152</f>
        <v>104593.89388559386</v>
      </c>
      <c r="G100" s="87">
        <v>1340</v>
      </c>
      <c r="H100" s="87">
        <f t="shared" si="4"/>
        <v>105933.89388559386</v>
      </c>
      <c r="I100" s="87"/>
      <c r="J100" s="30"/>
      <c r="K100" s="31"/>
      <c r="L100" s="32">
        <f>(C100/C147)*C5</f>
        <v>127160.81831017659</v>
      </c>
      <c r="M100" s="33"/>
    </row>
    <row r="101" spans="1:13" x14ac:dyDescent="0.25">
      <c r="A101" s="34"/>
      <c r="B101" s="35"/>
      <c r="C101" s="36"/>
      <c r="D101" s="37"/>
      <c r="E101" s="102"/>
      <c r="F101" s="102"/>
      <c r="G101" s="87"/>
      <c r="H101" s="87">
        <f t="shared" si="4"/>
        <v>0</v>
      </c>
      <c r="I101" s="87"/>
      <c r="J101" s="39"/>
      <c r="K101" s="40"/>
      <c r="L101" s="41"/>
      <c r="M101" s="42"/>
    </row>
    <row r="102" spans="1:13" x14ac:dyDescent="0.25">
      <c r="A102" s="26" t="s">
        <v>99</v>
      </c>
      <c r="B102" s="27" t="s">
        <v>100</v>
      </c>
      <c r="C102" s="84">
        <v>13925</v>
      </c>
      <c r="D102" s="28">
        <f>SUM(E102:E104)</f>
        <v>722521.63872220879</v>
      </c>
      <c r="E102" s="102">
        <f>(C102/$C$149)*$L$151</f>
        <v>202119.68779795809</v>
      </c>
      <c r="F102" s="102">
        <f>(C102/$C$149)*$L$152</f>
        <v>166491.76638739076</v>
      </c>
      <c r="G102" s="87">
        <v>792</v>
      </c>
      <c r="H102" s="87">
        <f t="shared" si="4"/>
        <v>167283.76638739076</v>
      </c>
      <c r="I102" s="87">
        <f>SUM(F102:F104)+G102+G103+G104</f>
        <v>637337.73409203137</v>
      </c>
      <c r="J102" s="30"/>
      <c r="K102" s="31"/>
      <c r="L102" s="32">
        <f>(C102/C147)*C5</f>
        <v>202413.62539657168</v>
      </c>
      <c r="M102" s="33">
        <f>SUM(L102:L104)</f>
        <v>723572.38384133182</v>
      </c>
    </row>
    <row r="103" spans="1:13" x14ac:dyDescent="0.25">
      <c r="A103" s="26"/>
      <c r="B103" s="27" t="s">
        <v>101</v>
      </c>
      <c r="C103" s="84">
        <v>16796</v>
      </c>
      <c r="D103" s="28"/>
      <c r="E103" s="102">
        <f>(C103/$C$149)*$L$151</f>
        <v>243791.90493748683</v>
      </c>
      <c r="F103" s="102">
        <f>(C103/$C$149)*$L$152</f>
        <v>200818.36324902085</v>
      </c>
      <c r="G103" s="87">
        <v>30768</v>
      </c>
      <c r="H103" s="87">
        <f t="shared" si="4"/>
        <v>231586.36324902085</v>
      </c>
      <c r="I103" s="87"/>
      <c r="J103" s="30"/>
      <c r="K103" s="31"/>
      <c r="L103" s="32">
        <f>(C103/C147)*C5</f>
        <v>244146.44539754523</v>
      </c>
      <c r="M103" s="33"/>
    </row>
    <row r="104" spans="1:13" x14ac:dyDescent="0.25">
      <c r="A104" s="26"/>
      <c r="B104" s="27" t="s">
        <v>102</v>
      </c>
      <c r="C104" s="84">
        <v>19057</v>
      </c>
      <c r="D104" s="28"/>
      <c r="E104" s="102">
        <f>(C104/$C$149)*$L$151</f>
        <v>276610.0459867639</v>
      </c>
      <c r="F104" s="102">
        <f>(C104/$C$149)*$L$152</f>
        <v>227851.60445561979</v>
      </c>
      <c r="G104" s="87">
        <v>10616</v>
      </c>
      <c r="H104" s="87">
        <f t="shared" si="4"/>
        <v>238467.60445561979</v>
      </c>
      <c r="I104" s="87"/>
      <c r="J104" s="30"/>
      <c r="K104" s="31"/>
      <c r="L104" s="32">
        <f>(C104/C147)*C5</f>
        <v>277012.31304721482</v>
      </c>
      <c r="M104" s="33"/>
    </row>
    <row r="105" spans="1:13" x14ac:dyDescent="0.25">
      <c r="A105" s="34"/>
      <c r="B105" s="35"/>
      <c r="C105" s="36"/>
      <c r="D105" s="37"/>
      <c r="E105" s="102">
        <f>(C105/$C$149)*$L$151</f>
        <v>0</v>
      </c>
      <c r="F105" s="102"/>
      <c r="G105" s="87"/>
      <c r="H105" s="87">
        <f t="shared" si="4"/>
        <v>0</v>
      </c>
      <c r="I105" s="87"/>
      <c r="J105" s="39"/>
      <c r="K105" s="40"/>
      <c r="L105" s="41"/>
      <c r="M105" s="42"/>
    </row>
    <row r="106" spans="1:13" x14ac:dyDescent="0.25">
      <c r="A106" s="26" t="s">
        <v>103</v>
      </c>
      <c r="B106" s="27" t="s">
        <v>104</v>
      </c>
      <c r="C106" s="84">
        <v>112936</v>
      </c>
      <c r="D106" s="28">
        <f>SUM(E106)</f>
        <v>1639252.3562764951</v>
      </c>
      <c r="E106" s="102">
        <f>(C106/$C$149)*$L$151</f>
        <v>1639252.3562764951</v>
      </c>
      <c r="F106" s="102">
        <f>(C106/$C$149)*$L$152</f>
        <v>1350299.0397649093</v>
      </c>
      <c r="G106" s="87">
        <v>65590</v>
      </c>
      <c r="H106" s="87">
        <f t="shared" si="4"/>
        <v>1415889.0397649093</v>
      </c>
      <c r="I106" s="87">
        <f>F106+G106</f>
        <v>1415889.0397649093</v>
      </c>
      <c r="J106" s="30"/>
      <c r="K106" s="31"/>
      <c r="L106" s="32">
        <f>(C106/C147)*C5</f>
        <v>1641636.279912906</v>
      </c>
      <c r="M106" s="33">
        <f>SUM(L106)</f>
        <v>1641636.279912906</v>
      </c>
    </row>
    <row r="107" spans="1:13" x14ac:dyDescent="0.25">
      <c r="A107" s="34"/>
      <c r="B107" s="35"/>
      <c r="C107" s="36"/>
      <c r="D107" s="37"/>
      <c r="E107" s="102"/>
      <c r="F107" s="102"/>
      <c r="G107" s="87"/>
      <c r="H107" s="87">
        <f t="shared" si="4"/>
        <v>0</v>
      </c>
      <c r="I107" s="87"/>
      <c r="J107" s="39"/>
      <c r="K107" s="40"/>
      <c r="L107" s="41"/>
      <c r="M107" s="42"/>
    </row>
    <row r="108" spans="1:13" x14ac:dyDescent="0.25">
      <c r="A108" s="26" t="s">
        <v>105</v>
      </c>
      <c r="B108" s="27" t="s">
        <v>106</v>
      </c>
      <c r="C108" s="84">
        <v>23213</v>
      </c>
      <c r="D108" s="28">
        <f>SUM(E108:E109)</f>
        <v>687279.51290723984</v>
      </c>
      <c r="E108" s="102">
        <f>(C108/$C$149)*$L$151</f>
        <v>336933.88243116706</v>
      </c>
      <c r="F108" s="102">
        <f>(C108/$C$149)*$L$152</f>
        <v>277542.07347579906</v>
      </c>
      <c r="G108" s="87">
        <v>188931</v>
      </c>
      <c r="H108" s="87">
        <f t="shared" si="4"/>
        <v>466473.07347579906</v>
      </c>
      <c r="I108" s="87">
        <f>SUM(F108:F109)+G108+G109</f>
        <v>792813.78732085833</v>
      </c>
      <c r="J108" s="30"/>
      <c r="K108" s="31">
        <v>135453</v>
      </c>
      <c r="L108" s="32">
        <f>(C108/C147)*C5</f>
        <v>337423.87693577149</v>
      </c>
      <c r="M108" s="33">
        <f>SUM(L108:L109)</f>
        <v>688279.00628564949</v>
      </c>
    </row>
    <row r="109" spans="1:13" x14ac:dyDescent="0.25">
      <c r="A109" s="26"/>
      <c r="B109" s="27" t="s">
        <v>107</v>
      </c>
      <c r="C109" s="84">
        <v>24137</v>
      </c>
      <c r="D109" s="28"/>
      <c r="E109" s="102">
        <f>(C109/$C$149)*$L$151</f>
        <v>350345.63047607284</v>
      </c>
      <c r="F109" s="102">
        <f>(C109/$C$149)*$L$152</f>
        <v>288589.71384505928</v>
      </c>
      <c r="G109" s="87">
        <v>37751</v>
      </c>
      <c r="H109" s="87">
        <f t="shared" si="4"/>
        <v>326340.71384505928</v>
      </c>
      <c r="I109" s="87"/>
      <c r="J109" s="30"/>
      <c r="K109" s="31"/>
      <c r="L109" s="32">
        <f>(C109/C147)*C5</f>
        <v>350855.12934987794</v>
      </c>
      <c r="M109" s="33"/>
    </row>
    <row r="110" spans="1:13" x14ac:dyDescent="0.25">
      <c r="A110" s="34"/>
      <c r="B110" s="35"/>
      <c r="C110" s="36"/>
      <c r="D110" s="37"/>
      <c r="E110" s="102"/>
      <c r="F110" s="102"/>
      <c r="G110" s="87"/>
      <c r="H110" s="87">
        <f t="shared" si="4"/>
        <v>0</v>
      </c>
      <c r="I110" s="87"/>
      <c r="J110" s="39"/>
      <c r="K110" s="40"/>
      <c r="L110" s="41"/>
      <c r="M110" s="42"/>
    </row>
    <row r="111" spans="1:13" x14ac:dyDescent="0.25">
      <c r="A111" s="26" t="s">
        <v>108</v>
      </c>
      <c r="B111" s="27" t="s">
        <v>109</v>
      </c>
      <c r="C111" s="84">
        <v>5860</v>
      </c>
      <c r="D111" s="28">
        <f>SUM(E111:E114)</f>
        <v>533247.61869453394</v>
      </c>
      <c r="E111" s="102">
        <f>(C111/$C$149)*$L$151</f>
        <v>85057.189981761898</v>
      </c>
      <c r="F111" s="102">
        <f>(C111/$C$149)*$L$152</f>
        <v>70064.03957128257</v>
      </c>
      <c r="G111" s="87">
        <v>0</v>
      </c>
      <c r="H111" s="87">
        <f t="shared" si="4"/>
        <v>70064.03957128257</v>
      </c>
      <c r="I111" s="87">
        <f>SUM(F111:F114)+G111+G112+G113+G114</f>
        <v>447841.31156480871</v>
      </c>
      <c r="J111" s="30"/>
      <c r="K111" s="31">
        <v>189123</v>
      </c>
      <c r="L111" s="32">
        <f>(C111/C147)*C5</f>
        <v>85180.886522363362</v>
      </c>
      <c r="M111" s="33">
        <f>SUM(L111:L114)</f>
        <v>534023.10734788142</v>
      </c>
    </row>
    <row r="112" spans="1:13" x14ac:dyDescent="0.25">
      <c r="A112" s="26"/>
      <c r="B112" s="27" t="s">
        <v>110</v>
      </c>
      <c r="C112" s="84">
        <v>5564</v>
      </c>
      <c r="D112" s="28"/>
      <c r="E112" s="102">
        <f>(C112/$C$149)*$L$151</f>
        <v>80760.785846164377</v>
      </c>
      <c r="F112" s="102">
        <f>(C112/$C$149)*$L$152</f>
        <v>66524.968630480595</v>
      </c>
      <c r="G112" s="87">
        <f>(5564/16597)*8590</f>
        <v>2879.7228414773754</v>
      </c>
      <c r="H112" s="87">
        <f t="shared" si="4"/>
        <v>69404.691471957965</v>
      </c>
      <c r="I112" s="87"/>
      <c r="J112" s="30"/>
      <c r="K112" s="31"/>
      <c r="L112" s="32">
        <f>(C112/C147)*C5</f>
        <v>80878.234233861731</v>
      </c>
      <c r="M112" s="33"/>
    </row>
    <row r="113" spans="1:13" x14ac:dyDescent="0.25">
      <c r="A113" s="26"/>
      <c r="B113" s="27" t="s">
        <v>111</v>
      </c>
      <c r="C113" s="84">
        <v>14281</v>
      </c>
      <c r="D113" s="28"/>
      <c r="E113" s="102">
        <f>(C113/$C$149)*$L$151</f>
        <v>207286.98466374431</v>
      </c>
      <c r="F113" s="102">
        <f>(C113/$C$149)*$L$152</f>
        <v>170748.2165729499</v>
      </c>
      <c r="G113" s="87">
        <v>0</v>
      </c>
      <c r="H113" s="87">
        <f t="shared" si="4"/>
        <v>170748.2165729499</v>
      </c>
      <c r="I113" s="87"/>
      <c r="J113" s="30"/>
      <c r="K113" s="31"/>
      <c r="L113" s="32">
        <f>(C113/C147)*C5</f>
        <v>207588.43693274254</v>
      </c>
      <c r="M113" s="33"/>
    </row>
    <row r="114" spans="1:13" x14ac:dyDescent="0.25">
      <c r="A114" s="26"/>
      <c r="B114" s="27" t="s">
        <v>112</v>
      </c>
      <c r="C114" s="84">
        <v>11033</v>
      </c>
      <c r="D114" s="28"/>
      <c r="E114" s="102">
        <f>(C114/$C$149)*$L$151</f>
        <v>160142.65820286333</v>
      </c>
      <c r="F114" s="102">
        <f>(C114/$C$149)*$L$152</f>
        <v>131914.08679009567</v>
      </c>
      <c r="G114" s="87">
        <f>(11033/16597)*8590</f>
        <v>5710.2771585226246</v>
      </c>
      <c r="H114" s="87">
        <f t="shared" si="4"/>
        <v>137624.36394861829</v>
      </c>
      <c r="I114" s="87"/>
      <c r="J114" s="30"/>
      <c r="K114" s="31"/>
      <c r="L114" s="32">
        <f>(C114/C147)*C5</f>
        <v>160375.54965891381</v>
      </c>
      <c r="M114" s="33"/>
    </row>
    <row r="115" spans="1:13" x14ac:dyDescent="0.25">
      <c r="A115" s="34"/>
      <c r="B115" s="35"/>
      <c r="C115" s="36"/>
      <c r="D115" s="37"/>
      <c r="E115" s="102"/>
      <c r="F115" s="102"/>
      <c r="G115" s="87"/>
      <c r="H115" s="87">
        <f t="shared" si="4"/>
        <v>0</v>
      </c>
      <c r="I115" s="87"/>
      <c r="J115" s="39"/>
      <c r="K115" s="40"/>
      <c r="L115" s="41"/>
      <c r="M115" s="42"/>
    </row>
    <row r="116" spans="1:13" x14ac:dyDescent="0.25">
      <c r="A116" s="26" t="s">
        <v>113</v>
      </c>
      <c r="B116" s="27" t="s">
        <v>114</v>
      </c>
      <c r="C116" s="84">
        <v>8750</v>
      </c>
      <c r="D116" s="28">
        <f>SUM(E116:E122)</f>
        <v>1616681.7196857715</v>
      </c>
      <c r="E116" s="102">
        <f t="shared" ref="E116:E122" si="5">(C116/$C$149)*$L$151</f>
        <v>127005.18981918372</v>
      </c>
      <c r="F116" s="102">
        <f t="shared" ref="F116:F122" si="6">(C116/$C$149)*$L$152</f>
        <v>104617.80652708575</v>
      </c>
      <c r="G116" s="87">
        <v>0</v>
      </c>
      <c r="H116" s="87">
        <f t="shared" si="4"/>
        <v>104617.80652708575</v>
      </c>
      <c r="I116" s="87">
        <f>SUM(F116:F122)+G116+G117+G118+G119+G120+G121+G122</f>
        <v>1361624.9610049529</v>
      </c>
      <c r="J116" s="30"/>
      <c r="K116" s="31">
        <v>321382</v>
      </c>
      <c r="L116" s="32">
        <f>(C116/C147)*C5</f>
        <v>127189.8902850989</v>
      </c>
      <c r="M116" s="33">
        <f>SUM(L116:L122)</f>
        <v>1619032.8194108114</v>
      </c>
    </row>
    <row r="117" spans="1:13" x14ac:dyDescent="0.25">
      <c r="A117" s="26"/>
      <c r="B117" s="27" t="s">
        <v>115</v>
      </c>
      <c r="C117" s="84">
        <v>18438</v>
      </c>
      <c r="D117" s="28"/>
      <c r="E117" s="102">
        <f t="shared" si="5"/>
        <v>267625.3359869839</v>
      </c>
      <c r="F117" s="102">
        <f t="shared" si="6"/>
        <v>220450.64191387509</v>
      </c>
      <c r="G117" s="87">
        <f>(18438/79615)*29918</f>
        <v>6928.6953965961184</v>
      </c>
      <c r="H117" s="87">
        <f t="shared" si="4"/>
        <v>227379.33731047122</v>
      </c>
      <c r="I117" s="87"/>
      <c r="J117" s="30"/>
      <c r="K117" s="31"/>
      <c r="L117" s="32">
        <f>(C117/C147)*C5</f>
        <v>268014.53680876037</v>
      </c>
      <c r="M117" s="33"/>
    </row>
    <row r="118" spans="1:13" x14ac:dyDescent="0.25">
      <c r="A118" s="26"/>
      <c r="B118" s="27" t="s">
        <v>116</v>
      </c>
      <c r="C118" s="84">
        <v>13119</v>
      </c>
      <c r="D118" s="28"/>
      <c r="E118" s="102">
        <f t="shared" si="5"/>
        <v>190420.69545575671</v>
      </c>
      <c r="F118" s="102">
        <f t="shared" si="6"/>
        <v>156854.97186615289</v>
      </c>
      <c r="G118" s="87">
        <v>0</v>
      </c>
      <c r="H118" s="87">
        <f t="shared" si="4"/>
        <v>156854.97186615289</v>
      </c>
      <c r="I118" s="87"/>
      <c r="J118" s="30"/>
      <c r="K118" s="31"/>
      <c r="L118" s="32">
        <f>(C118/C147)*C5</f>
        <v>190697.61950288143</v>
      </c>
      <c r="M118" s="33"/>
    </row>
    <row r="119" spans="1:13" x14ac:dyDescent="0.25">
      <c r="A119" s="26"/>
      <c r="B119" s="27" t="s">
        <v>117</v>
      </c>
      <c r="C119" s="84">
        <v>9897</v>
      </c>
      <c r="D119" s="28"/>
      <c r="E119" s="102">
        <f t="shared" si="5"/>
        <v>143653.75584462416</v>
      </c>
      <c r="F119" s="102">
        <f t="shared" si="6"/>
        <v>118331.70642269346</v>
      </c>
      <c r="G119" s="87">
        <v>0</v>
      </c>
      <c r="H119" s="87">
        <f t="shared" si="4"/>
        <v>118331.70642269346</v>
      </c>
      <c r="I119" s="87"/>
      <c r="J119" s="30"/>
      <c r="K119" s="31"/>
      <c r="L119" s="32">
        <f>(C119/C147)*C5</f>
        <v>143862.66790304272</v>
      </c>
      <c r="M119" s="33"/>
    </row>
    <row r="120" spans="1:13" x14ac:dyDescent="0.25">
      <c r="A120" s="26"/>
      <c r="B120" s="27" t="s">
        <v>118</v>
      </c>
      <c r="C120" s="84">
        <v>8502</v>
      </c>
      <c r="D120" s="28"/>
      <c r="E120" s="102">
        <f t="shared" si="5"/>
        <v>123405.49986773713</v>
      </c>
      <c r="F120" s="102">
        <f t="shared" si="6"/>
        <v>101652.63898208948</v>
      </c>
      <c r="G120" s="87">
        <f>(8502/79615)*29918</f>
        <v>3194.91095899014</v>
      </c>
      <c r="H120" s="87">
        <f t="shared" si="4"/>
        <v>104847.54994107962</v>
      </c>
      <c r="I120" s="87"/>
      <c r="J120" s="30"/>
      <c r="K120" s="31"/>
      <c r="L120" s="32">
        <f>(C120/C147)*C5</f>
        <v>123584.96539473266</v>
      </c>
      <c r="M120" s="33"/>
    </row>
    <row r="121" spans="1:13" x14ac:dyDescent="0.25">
      <c r="A121" s="26"/>
      <c r="B121" s="27" t="s">
        <v>119</v>
      </c>
      <c r="C121" s="84">
        <v>43106</v>
      </c>
      <c r="D121" s="28"/>
      <c r="E121" s="102">
        <f t="shared" si="5"/>
        <v>625678.36712522665</v>
      </c>
      <c r="F121" s="102">
        <f t="shared" si="6"/>
        <v>515389.16207503522</v>
      </c>
      <c r="G121" s="87">
        <f>(43106/79615)*29918</f>
        <v>16198.521735853796</v>
      </c>
      <c r="H121" s="87">
        <f t="shared" si="4"/>
        <v>531587.68381088902</v>
      </c>
      <c r="I121" s="87"/>
      <c r="J121" s="30"/>
      <c r="K121" s="31"/>
      <c r="L121" s="32">
        <f>(C121/C147)*C5</f>
        <v>626588.27550051117</v>
      </c>
      <c r="M121" s="33"/>
    </row>
    <row r="122" spans="1:13" x14ac:dyDescent="0.25">
      <c r="A122" s="26"/>
      <c r="B122" s="27" t="s">
        <v>120</v>
      </c>
      <c r="C122" s="84">
        <v>9569</v>
      </c>
      <c r="D122" s="28"/>
      <c r="E122" s="102">
        <f t="shared" si="5"/>
        <v>138892.8755862593</v>
      </c>
      <c r="F122" s="102">
        <f t="shared" si="6"/>
        <v>114410.03321802098</v>
      </c>
      <c r="G122" s="87">
        <f>(9569/79615)*29918</f>
        <v>3595.8719085599446</v>
      </c>
      <c r="H122" s="87">
        <f t="shared" si="4"/>
        <v>118005.90512658092</v>
      </c>
      <c r="I122" s="87"/>
      <c r="J122" s="30"/>
      <c r="K122" s="31"/>
      <c r="L122" s="32">
        <f>(C122/C147)*C5</f>
        <v>139094.86401578414</v>
      </c>
      <c r="M122" s="33"/>
    </row>
    <row r="123" spans="1:13" x14ac:dyDescent="0.25">
      <c r="A123" s="34"/>
      <c r="B123" s="35"/>
      <c r="C123" s="36"/>
      <c r="D123" s="37"/>
      <c r="E123" s="102"/>
      <c r="F123" s="102"/>
      <c r="G123" s="87"/>
      <c r="H123" s="87">
        <f t="shared" si="4"/>
        <v>0</v>
      </c>
      <c r="I123" s="87"/>
      <c r="J123" s="39"/>
      <c r="K123" s="40"/>
      <c r="L123" s="41"/>
      <c r="M123" s="42"/>
    </row>
    <row r="124" spans="1:13" x14ac:dyDescent="0.25">
      <c r="A124" s="45" t="s">
        <v>121</v>
      </c>
      <c r="B124" s="48" t="s">
        <v>122</v>
      </c>
      <c r="C124" s="84">
        <v>4317</v>
      </c>
      <c r="D124" s="28">
        <f>SUM(E124:E126)</f>
        <v>422281.36998965847</v>
      </c>
      <c r="E124" s="102">
        <f>(C124/$C$149)*$L$151</f>
        <v>62660.731937076132</v>
      </c>
      <c r="F124" s="102">
        <f>(C124/$C$149)*$L$152</f>
        <v>51615.436660277621</v>
      </c>
      <c r="G124" s="87">
        <v>37797</v>
      </c>
      <c r="H124" s="87">
        <f t="shared" si="4"/>
        <v>89412.436660277628</v>
      </c>
      <c r="I124" s="87">
        <f>SUM(F124:F126)+G124+G125+G126</f>
        <v>597954.23946200067</v>
      </c>
      <c r="J124" s="50"/>
      <c r="K124" s="44"/>
      <c r="L124" s="51">
        <f>(C124/C147)*C5</f>
        <v>62751.857869802501</v>
      </c>
      <c r="M124" s="52">
        <f>SUM(L124:L126)</f>
        <v>422895.48320735793</v>
      </c>
    </row>
    <row r="125" spans="1:13" x14ac:dyDescent="0.25">
      <c r="A125" s="45"/>
      <c r="B125" s="48" t="s">
        <v>123</v>
      </c>
      <c r="C125" s="84">
        <v>7236</v>
      </c>
      <c r="D125" s="28"/>
      <c r="E125" s="102">
        <f>(C125/$C$149)*$L$151</f>
        <v>105029.66326075581</v>
      </c>
      <c r="F125" s="102">
        <f>(C125/$C$149)*$L$152</f>
        <v>86515.936917713421</v>
      </c>
      <c r="G125" s="87">
        <v>59180</v>
      </c>
      <c r="H125" s="87">
        <f t="shared" si="4"/>
        <v>145695.93691771344</v>
      </c>
      <c r="I125" s="87"/>
      <c r="J125" s="50"/>
      <c r="K125" s="44"/>
      <c r="L125" s="51">
        <f>(C125/C147)*C5</f>
        <v>105182.40526891149</v>
      </c>
      <c r="M125" s="52"/>
    </row>
    <row r="126" spans="1:13" x14ac:dyDescent="0.25">
      <c r="A126" s="45"/>
      <c r="B126" s="48" t="s">
        <v>124</v>
      </c>
      <c r="C126" s="84">
        <v>17540</v>
      </c>
      <c r="D126" s="28"/>
      <c r="E126" s="102">
        <f>(C126/$C$149)*$L$151</f>
        <v>254590.97479182656</v>
      </c>
      <c r="F126" s="102">
        <f>(C126/$C$149)*$L$152</f>
        <v>209713.8658840096</v>
      </c>
      <c r="G126" s="87">
        <v>153132</v>
      </c>
      <c r="H126" s="87">
        <f t="shared" si="4"/>
        <v>362845.86588400963</v>
      </c>
      <c r="I126" s="87"/>
      <c r="J126" s="50"/>
      <c r="K126" s="44"/>
      <c r="L126" s="51">
        <f>(C126/C147)*C5</f>
        <v>254961.22006864395</v>
      </c>
      <c r="M126" s="52"/>
    </row>
    <row r="127" spans="1:13" x14ac:dyDescent="0.25">
      <c r="A127" s="34"/>
      <c r="B127" s="35"/>
      <c r="C127" s="36"/>
      <c r="D127" s="37"/>
      <c r="E127" s="102"/>
      <c r="F127" s="102"/>
      <c r="G127" s="87"/>
      <c r="H127" s="87">
        <f t="shared" si="4"/>
        <v>0</v>
      </c>
      <c r="I127" s="87"/>
      <c r="J127" s="39"/>
      <c r="K127" s="40"/>
      <c r="L127" s="41"/>
      <c r="M127" s="42"/>
    </row>
    <row r="128" spans="1:13" x14ac:dyDescent="0.25">
      <c r="A128" s="26" t="s">
        <v>125</v>
      </c>
      <c r="B128" s="27" t="s">
        <v>126</v>
      </c>
      <c r="C128" s="84">
        <v>23279</v>
      </c>
      <c r="D128" s="28">
        <f>SUM(E128)</f>
        <v>337891.86443437461</v>
      </c>
      <c r="E128" s="102">
        <f>(C128/$C$149)*$L$151</f>
        <v>337891.86443437461</v>
      </c>
      <c r="F128" s="102">
        <f>(C128/$C$149)*$L$152</f>
        <v>278331.19064503192</v>
      </c>
      <c r="G128" s="87">
        <v>72863</v>
      </c>
      <c r="H128" s="87">
        <f t="shared" si="4"/>
        <v>351194.19064503192</v>
      </c>
      <c r="I128" s="87">
        <f>F128+G128</f>
        <v>351194.19064503192</v>
      </c>
      <c r="J128" s="30"/>
      <c r="K128" s="31"/>
      <c r="L128" s="32">
        <f>(C128/C147)*C5</f>
        <v>338383.25210820767</v>
      </c>
      <c r="M128" s="33">
        <f>SUM(L128)</f>
        <v>338383.25210820767</v>
      </c>
    </row>
    <row r="129" spans="1:13" x14ac:dyDescent="0.25">
      <c r="A129" s="34"/>
      <c r="B129" s="35"/>
      <c r="C129" s="36"/>
      <c r="D129" s="37"/>
      <c r="E129" s="49"/>
      <c r="F129" s="102"/>
      <c r="G129" s="87"/>
      <c r="H129" s="87">
        <f t="shared" si="4"/>
        <v>0</v>
      </c>
      <c r="I129" s="87"/>
      <c r="J129" s="39"/>
      <c r="K129" s="40"/>
      <c r="L129" s="41"/>
      <c r="M129" s="42"/>
    </row>
    <row r="130" spans="1:13" x14ac:dyDescent="0.25">
      <c r="A130" s="45" t="s">
        <v>157</v>
      </c>
      <c r="B130" s="27" t="s">
        <v>127</v>
      </c>
      <c r="C130" s="84">
        <v>2894</v>
      </c>
      <c r="D130" s="94">
        <f>SUM(E130:E133)</f>
        <v>318826</v>
      </c>
      <c r="E130" s="49">
        <f>C130/SUM(C130:C133)*318826</f>
        <v>42418.280801765351</v>
      </c>
      <c r="F130" s="102">
        <v>42418.28</v>
      </c>
      <c r="G130" s="87">
        <v>0</v>
      </c>
      <c r="H130" s="87">
        <f t="shared" si="4"/>
        <v>42418.28</v>
      </c>
      <c r="I130" s="87">
        <f>SUM(F130:F133)+G130+G131+G132+G133</f>
        <v>376777</v>
      </c>
      <c r="J130" s="30"/>
      <c r="K130" s="44">
        <v>318826</v>
      </c>
      <c r="L130" s="32">
        <f>(C130/C147)*C5</f>
        <v>42067.147712580132</v>
      </c>
      <c r="M130" s="33">
        <f>SUM(L130:L133)</f>
        <v>316186.79925502528</v>
      </c>
    </row>
    <row r="131" spans="1:13" x14ac:dyDescent="0.25">
      <c r="A131" s="45"/>
      <c r="B131" s="27" t="s">
        <v>128</v>
      </c>
      <c r="C131" s="84">
        <v>12227</v>
      </c>
      <c r="D131" s="28"/>
      <c r="E131" s="49">
        <f>C131/SUM(C130:C133)*318826</f>
        <v>179215.03778962855</v>
      </c>
      <c r="F131" s="102">
        <v>179215.04</v>
      </c>
      <c r="G131" s="87">
        <f>(12227/15817)*57951</f>
        <v>44797.804703799709</v>
      </c>
      <c r="H131" s="87">
        <f t="shared" si="4"/>
        <v>224012.84470379972</v>
      </c>
      <c r="I131" s="87"/>
      <c r="J131" s="30"/>
      <c r="K131" s="31"/>
      <c r="L131" s="32">
        <f>(C131/C147)*C5</f>
        <v>177731.51868753191</v>
      </c>
      <c r="M131" s="33"/>
    </row>
    <row r="132" spans="1:13" x14ac:dyDescent="0.25">
      <c r="A132" s="45"/>
      <c r="B132" s="27" t="s">
        <v>129</v>
      </c>
      <c r="C132" s="84">
        <v>3590</v>
      </c>
      <c r="D132" s="28"/>
      <c r="E132" s="49">
        <f>C132/SUM(C130:C133)*318826</f>
        <v>52619.774733357852</v>
      </c>
      <c r="F132" s="102">
        <v>52619.77</v>
      </c>
      <c r="G132" s="87">
        <f>(3590/15817)*57951</f>
        <v>13153.195296200291</v>
      </c>
      <c r="H132" s="87">
        <f t="shared" si="4"/>
        <v>65772.965296200287</v>
      </c>
      <c r="I132" s="87"/>
      <c r="J132" s="30"/>
      <c r="K132" s="31"/>
      <c r="L132" s="32">
        <f>(C132/C147)*C5</f>
        <v>52184.194985543429</v>
      </c>
      <c r="M132" s="33"/>
    </row>
    <row r="133" spans="1:13" x14ac:dyDescent="0.25">
      <c r="A133" s="45"/>
      <c r="B133" s="27" t="s">
        <v>130</v>
      </c>
      <c r="C133" s="84">
        <v>3041</v>
      </c>
      <c r="D133" s="28"/>
      <c r="E133" s="49">
        <f>C133/SUM(C130:C133)*318826</f>
        <v>44572.906675248254</v>
      </c>
      <c r="F133" s="102">
        <v>44572.91</v>
      </c>
      <c r="G133" s="87">
        <v>0</v>
      </c>
      <c r="H133" s="87">
        <f t="shared" si="4"/>
        <v>44572.91</v>
      </c>
      <c r="I133" s="87"/>
      <c r="J133" s="30"/>
      <c r="K133" s="31"/>
      <c r="L133" s="32">
        <f>(C133/C147)*C5</f>
        <v>44203.937869369794</v>
      </c>
      <c r="M133" s="33"/>
    </row>
    <row r="134" spans="1:13" x14ac:dyDescent="0.25">
      <c r="A134" s="34"/>
      <c r="B134" s="35"/>
      <c r="C134" s="36"/>
      <c r="D134" s="37"/>
      <c r="E134" s="49"/>
      <c r="F134" s="102"/>
      <c r="G134" s="87"/>
      <c r="H134" s="87">
        <f t="shared" si="4"/>
        <v>0</v>
      </c>
      <c r="I134" s="87"/>
      <c r="J134" s="39"/>
      <c r="K134" s="40"/>
      <c r="L134" s="41"/>
      <c r="M134" s="42"/>
    </row>
    <row r="135" spans="1:13" x14ac:dyDescent="0.25">
      <c r="A135" s="26" t="s">
        <v>131</v>
      </c>
      <c r="B135" s="27" t="s">
        <v>132</v>
      </c>
      <c r="C135" s="84">
        <v>28355</v>
      </c>
      <c r="D135" s="28">
        <f>SUM(E135)</f>
        <v>411569.38940833765</v>
      </c>
      <c r="E135" s="102">
        <f>(C135/$C$149)*$L$151</f>
        <v>411569.38940833765</v>
      </c>
      <c r="F135" s="102">
        <f>(C135/$C$149)*$L$152</f>
        <v>339021.47475148761</v>
      </c>
      <c r="G135" s="87">
        <v>18800</v>
      </c>
      <c r="H135" s="87">
        <f t="shared" si="4"/>
        <v>357821.47475148761</v>
      </c>
      <c r="I135" s="87">
        <f>F135+G135</f>
        <v>357821.47475148761</v>
      </c>
      <c r="J135" s="30"/>
      <c r="K135" s="31">
        <v>129064</v>
      </c>
      <c r="L135" s="32">
        <f>(C135/C147)*C5</f>
        <v>412167.92446102615</v>
      </c>
      <c r="M135" s="33">
        <f>SUM(L135)</f>
        <v>412167.92446102615</v>
      </c>
    </row>
    <row r="136" spans="1:13" x14ac:dyDescent="0.25">
      <c r="A136" s="34"/>
      <c r="B136" s="35"/>
      <c r="C136" s="36"/>
      <c r="D136" s="37"/>
      <c r="E136" s="102"/>
      <c r="F136" s="102"/>
      <c r="G136" s="87"/>
      <c r="H136" s="87">
        <f t="shared" si="4"/>
        <v>0</v>
      </c>
      <c r="I136" s="87"/>
      <c r="J136" s="39"/>
      <c r="K136" s="40"/>
      <c r="L136" s="41"/>
      <c r="M136" s="42"/>
    </row>
    <row r="137" spans="1:13" x14ac:dyDescent="0.25">
      <c r="A137" s="26" t="s">
        <v>133</v>
      </c>
      <c r="B137" s="27" t="s">
        <v>134</v>
      </c>
      <c r="C137" s="84">
        <v>86041</v>
      </c>
      <c r="D137" s="28">
        <f>SUM(E137)</f>
        <v>1248874.6899694155</v>
      </c>
      <c r="E137" s="102">
        <f>(C137/$C$149)*$L$151</f>
        <v>1248874.6899694155</v>
      </c>
      <c r="F137" s="102">
        <f>(C137/$C$149)*$L$152</f>
        <v>1028733.7933025126</v>
      </c>
      <c r="G137" s="87">
        <v>316583</v>
      </c>
      <c r="H137" s="87">
        <f t="shared" si="4"/>
        <v>1345316.7933025127</v>
      </c>
      <c r="I137" s="87">
        <f>F137+G137</f>
        <v>1345316.7933025127</v>
      </c>
      <c r="J137" s="30"/>
      <c r="K137" s="31"/>
      <c r="L137" s="32">
        <f>(C137/C147)*C5</f>
        <v>1250690.8971451649</v>
      </c>
      <c r="M137" s="33">
        <f>SUM(L137)</f>
        <v>1250690.8971451649</v>
      </c>
    </row>
    <row r="138" spans="1:13" x14ac:dyDescent="0.25">
      <c r="A138" s="34"/>
      <c r="B138" s="35"/>
      <c r="C138" s="36"/>
      <c r="D138" s="37"/>
      <c r="E138" s="102"/>
      <c r="F138" s="102"/>
      <c r="G138" s="87"/>
      <c r="H138" s="87">
        <f t="shared" si="4"/>
        <v>0</v>
      </c>
      <c r="I138" s="87"/>
      <c r="J138" s="39"/>
      <c r="K138" s="40"/>
      <c r="L138" s="41"/>
      <c r="M138" s="42"/>
    </row>
    <row r="139" spans="1:13" x14ac:dyDescent="0.25">
      <c r="A139" s="26" t="s">
        <v>135</v>
      </c>
      <c r="B139" s="27" t="s">
        <v>136</v>
      </c>
      <c r="C139" s="84">
        <v>14185</v>
      </c>
      <c r="D139" s="28">
        <f>SUM(E139:E141)</f>
        <v>324117.2444185568</v>
      </c>
      <c r="E139" s="102">
        <f>(C139/$C$149)*$L$151</f>
        <v>205893.55629544239</v>
      </c>
      <c r="F139" s="102">
        <f>(C139/$C$149)*$L$152</f>
        <v>169600.40978133844</v>
      </c>
      <c r="G139" s="87">
        <f>(14185/19388)*930</f>
        <v>680.42345780895391</v>
      </c>
      <c r="H139" s="87">
        <f t="shared" ref="H139:H146" si="7">$F139+$G139</f>
        <v>170280.83323914741</v>
      </c>
      <c r="I139" s="87">
        <f>SUM(F139:F141)+G139+G140+G141</f>
        <v>267914.64225712285</v>
      </c>
      <c r="J139" s="30"/>
      <c r="K139" s="31"/>
      <c r="L139" s="32">
        <f>(C139/C147)*C5</f>
        <v>206192.98213647172</v>
      </c>
      <c r="M139" s="33">
        <f>SUM(L139:L141)</f>
        <v>324588.60000757233</v>
      </c>
    </row>
    <row r="140" spans="1:13" x14ac:dyDescent="0.25">
      <c r="A140" s="53" t="s">
        <v>135</v>
      </c>
      <c r="B140" s="27" t="s">
        <v>137</v>
      </c>
      <c r="C140" s="84">
        <v>2942</v>
      </c>
      <c r="D140" s="28"/>
      <c r="E140" s="102">
        <f>(C140/$C$149)*$L$151</f>
        <v>42702.773536918685</v>
      </c>
      <c r="F140" s="102">
        <f>(C140/$C$149)*$L$152</f>
        <v>35175.49563459272</v>
      </c>
      <c r="G140" s="87">
        <v>0</v>
      </c>
      <c r="H140" s="87">
        <f t="shared" si="7"/>
        <v>35175.49563459272</v>
      </c>
      <c r="I140" s="87"/>
      <c r="J140" s="30"/>
      <c r="K140" s="31"/>
      <c r="L140" s="32">
        <f>(C140/C147)*C5</f>
        <v>42764.875110715533</v>
      </c>
      <c r="M140" s="33"/>
    </row>
    <row r="141" spans="1:13" x14ac:dyDescent="0.25">
      <c r="A141" s="53" t="s">
        <v>135</v>
      </c>
      <c r="B141" s="27" t="s">
        <v>138</v>
      </c>
      <c r="C141" s="84">
        <v>5203</v>
      </c>
      <c r="D141" s="28"/>
      <c r="E141" s="102">
        <f>(C141/$C$149)*$L$151</f>
        <v>75520.914586195751</v>
      </c>
      <c r="F141" s="102">
        <f>(C141/$C$149)*$L$152</f>
        <v>62208.736841191676</v>
      </c>
      <c r="G141" s="87">
        <f>(5203/19388)*930</f>
        <v>249.576542191046</v>
      </c>
      <c r="H141" s="87">
        <f t="shared" si="7"/>
        <v>62458.313383382723</v>
      </c>
      <c r="I141" s="87"/>
      <c r="J141" s="30"/>
      <c r="K141" s="31"/>
      <c r="L141" s="32">
        <f>(C141/C147)*C5</f>
        <v>75630.742760385081</v>
      </c>
      <c r="M141" s="33"/>
    </row>
    <row r="142" spans="1:13" x14ac:dyDescent="0.25">
      <c r="A142" s="34"/>
      <c r="B142" s="35"/>
      <c r="C142" s="36"/>
      <c r="D142" s="37"/>
      <c r="E142" s="102"/>
      <c r="F142" s="102"/>
      <c r="G142" s="87"/>
      <c r="H142" s="87">
        <f t="shared" si="7"/>
        <v>0</v>
      </c>
      <c r="I142" s="87"/>
      <c r="J142" s="39"/>
      <c r="K142" s="40"/>
      <c r="L142" s="41"/>
      <c r="M142" s="42"/>
    </row>
    <row r="143" spans="1:13" x14ac:dyDescent="0.25">
      <c r="A143" s="26" t="s">
        <v>139</v>
      </c>
      <c r="B143" s="27" t="s">
        <v>140</v>
      </c>
      <c r="C143" s="84">
        <v>5681</v>
      </c>
      <c r="D143" s="28">
        <f>SUM(E143:E146)</f>
        <v>465913.09577211179</v>
      </c>
      <c r="E143" s="102">
        <f>(C143/$C$149)*$L$151</f>
        <v>82459.026670032312</v>
      </c>
      <c r="F143" s="102">
        <f>(C143/$C$149)*$L$152</f>
        <v>67923.858157757044</v>
      </c>
      <c r="G143" s="87">
        <v>0</v>
      </c>
      <c r="H143" s="87">
        <f t="shared" si="7"/>
        <v>67923.858157757044</v>
      </c>
      <c r="I143" s="87">
        <f>SUM(F143:F146)</f>
        <v>383785.93962433439</v>
      </c>
      <c r="J143" s="30"/>
      <c r="K143" s="31">
        <v>173150</v>
      </c>
      <c r="L143" s="32">
        <f>(C143/C147)*C5</f>
        <v>82578.94476681677</v>
      </c>
      <c r="M143" s="33">
        <f>SUM(L143:L146)</f>
        <v>466590.66151558736</v>
      </c>
    </row>
    <row r="144" spans="1:13" x14ac:dyDescent="0.25">
      <c r="A144" s="54" t="s">
        <v>139</v>
      </c>
      <c r="B144" s="27" t="s">
        <v>141</v>
      </c>
      <c r="C144" s="84">
        <v>6355</v>
      </c>
      <c r="D144" s="28"/>
      <c r="E144" s="102">
        <f>(C144/$C$149)*$L$151</f>
        <v>92242.055005818576</v>
      </c>
      <c r="F144" s="102">
        <f>(C144/$C$149)*$L$152</f>
        <v>75982.418340529141</v>
      </c>
      <c r="G144" s="87"/>
      <c r="H144" s="87">
        <f t="shared" si="7"/>
        <v>75982.418340529141</v>
      </c>
      <c r="I144" s="87"/>
      <c r="J144" s="30"/>
      <c r="K144" s="31"/>
      <c r="L144" s="32">
        <f>(C144/C147)*C5</f>
        <v>92376.200315634676</v>
      </c>
      <c r="M144" s="33"/>
    </row>
    <row r="145" spans="1:13" x14ac:dyDescent="0.25">
      <c r="A145" s="54" t="s">
        <v>139</v>
      </c>
      <c r="B145" s="27" t="s">
        <v>142</v>
      </c>
      <c r="C145" s="84">
        <v>13633</v>
      </c>
      <c r="D145" s="28"/>
      <c r="E145" s="102">
        <f>(C145/$C$149)*$L$151</f>
        <v>197881.34317770647</v>
      </c>
      <c r="F145" s="102">
        <f>(C145/$C$149)*$L$152</f>
        <v>163000.5207295726</v>
      </c>
      <c r="G145" s="87"/>
      <c r="H145" s="87">
        <f t="shared" si="7"/>
        <v>163000.5207295726</v>
      </c>
      <c r="I145" s="87"/>
      <c r="J145" s="30"/>
      <c r="K145" s="55"/>
      <c r="L145" s="32">
        <f>(C145/C147)*C5</f>
        <v>198169.11705791464</v>
      </c>
      <c r="M145" s="33"/>
    </row>
    <row r="146" spans="1:13" x14ac:dyDescent="0.25">
      <c r="A146" s="54" t="s">
        <v>139</v>
      </c>
      <c r="B146" s="27" t="s">
        <v>143</v>
      </c>
      <c r="C146" s="84">
        <v>6430</v>
      </c>
      <c r="D146" s="28"/>
      <c r="E146" s="102">
        <f>(C146/$C$149)*$L$151</f>
        <v>93330.670918554431</v>
      </c>
      <c r="F146" s="102">
        <f>(C146/$C$149)*$L$152</f>
        <v>76879.142396475581</v>
      </c>
      <c r="G146" s="87"/>
      <c r="H146" s="87">
        <f t="shared" si="7"/>
        <v>76879.142396475581</v>
      </c>
      <c r="I146" s="87"/>
      <c r="J146" s="30"/>
      <c r="K146" s="55"/>
      <c r="L146" s="32">
        <f>(C146/C147)*C5</f>
        <v>93466.399375221241</v>
      </c>
      <c r="M146" s="33"/>
    </row>
    <row r="147" spans="1:13" s="70" customFormat="1" x14ac:dyDescent="0.25">
      <c r="A147" s="75"/>
      <c r="B147" s="76"/>
      <c r="C147" s="72">
        <f>SUM(C10:C146)</f>
        <v>1663949</v>
      </c>
      <c r="D147" s="77"/>
      <c r="E147" s="103">
        <f>SUM(E10:E146)</f>
        <v>24187141.800000001</v>
      </c>
      <c r="F147" s="103">
        <f>SUM(F10:F146)</f>
        <v>20000992.799999997</v>
      </c>
      <c r="G147" s="93">
        <f>SUM(G10:G146)</f>
        <v>4186149</v>
      </c>
      <c r="H147" s="93"/>
      <c r="I147" s="78">
        <f>SUM(I10:I146)</f>
        <v>24187141.800000001</v>
      </c>
      <c r="J147" s="76"/>
      <c r="K147" s="79"/>
      <c r="L147" s="80">
        <f>SUM(L10:L146)</f>
        <v>24187141.799999997</v>
      </c>
      <c r="M147" s="81">
        <f>SUM(M10:M146)</f>
        <v>23485620.509137239</v>
      </c>
    </row>
    <row r="148" spans="1:13" s="70" customFormat="1" x14ac:dyDescent="0.25">
      <c r="A148" s="75"/>
      <c r="B148" s="76"/>
      <c r="C148" s="86">
        <f>C147-C93</f>
        <v>1657888</v>
      </c>
      <c r="D148" s="82">
        <f>SUM(D10:D146)</f>
        <v>24187141.800000004</v>
      </c>
      <c r="E148" s="78"/>
      <c r="F148" s="78"/>
      <c r="G148" s="78"/>
      <c r="H148" s="78"/>
      <c r="I148" s="78"/>
      <c r="J148" s="76"/>
      <c r="K148" s="79"/>
      <c r="L148" s="83"/>
      <c r="M148" s="81"/>
    </row>
    <row r="149" spans="1:13" x14ac:dyDescent="0.25">
      <c r="A149" s="127" t="s">
        <v>144</v>
      </c>
      <c r="B149" s="129" t="s">
        <v>156</v>
      </c>
      <c r="C149" s="72">
        <f>C148-SUM(C130:C133)</f>
        <v>1636136</v>
      </c>
      <c r="D149" s="77"/>
      <c r="E149" s="78"/>
      <c r="F149" s="78">
        <f>F147+G147</f>
        <v>24187141.799999997</v>
      </c>
      <c r="G149" s="78"/>
      <c r="H149" s="78"/>
      <c r="I149" s="78"/>
      <c r="J149" s="59"/>
      <c r="K149" s="56"/>
      <c r="L149" s="85">
        <f>L147-120000</f>
        <v>24067141.799999997</v>
      </c>
      <c r="M149" s="60"/>
    </row>
    <row r="150" spans="1:13" x14ac:dyDescent="0.25">
      <c r="A150" s="128"/>
      <c r="B150" s="130"/>
      <c r="C150" s="13"/>
      <c r="D150" s="77"/>
      <c r="E150" s="78"/>
      <c r="F150" s="78"/>
      <c r="G150" s="78"/>
      <c r="H150" s="78"/>
      <c r="I150" s="78"/>
      <c r="J150" s="10"/>
      <c r="K150" s="13"/>
      <c r="L150" s="92">
        <f>L149-4315634+6035</f>
        <v>19757542.799999997</v>
      </c>
      <c r="M150" s="61"/>
    </row>
    <row r="151" spans="1:13" x14ac:dyDescent="0.25">
      <c r="A151" s="26" t="s">
        <v>145</v>
      </c>
      <c r="B151" s="62">
        <f>C6-(B152+B153+B154+B155)</f>
        <v>780304.06907000009</v>
      </c>
      <c r="C151" s="13"/>
      <c r="D151" s="77"/>
      <c r="E151" s="78"/>
      <c r="F151" s="90">
        <f>E6-(F152+F153+F154+F155)</f>
        <v>720003.01967000007</v>
      </c>
      <c r="G151" s="90">
        <v>0</v>
      </c>
      <c r="H151" s="90"/>
      <c r="I151" s="78">
        <f>F151+G151</f>
        <v>720003.01967000007</v>
      </c>
      <c r="J151" s="10"/>
      <c r="K151" s="13"/>
      <c r="L151" s="14">
        <f>L147-120000-318826</f>
        <v>23748315.799999997</v>
      </c>
      <c r="M151" s="61"/>
    </row>
    <row r="152" spans="1:13" x14ac:dyDescent="0.25">
      <c r="A152" s="26" t="s">
        <v>146</v>
      </c>
      <c r="B152" s="62">
        <f>C6*0.096</f>
        <v>128998.08960000001</v>
      </c>
      <c r="C152" s="13"/>
      <c r="D152" s="77"/>
      <c r="E152" s="78"/>
      <c r="F152" s="78">
        <f>E6*0.096</f>
        <v>119029.25760000001</v>
      </c>
      <c r="G152" s="78">
        <v>17949</v>
      </c>
      <c r="H152" s="78"/>
      <c r="I152" s="78">
        <f>F152+G152</f>
        <v>136978.25760000001</v>
      </c>
      <c r="J152" s="10"/>
      <c r="K152" s="13"/>
      <c r="L152" s="14">
        <f>L151-G147</f>
        <v>19562166.799999997</v>
      </c>
      <c r="M152" s="61"/>
    </row>
    <row r="153" spans="1:13" x14ac:dyDescent="0.25">
      <c r="A153" s="26" t="s">
        <v>147</v>
      </c>
      <c r="B153" s="62">
        <f>C6*0.153</f>
        <v>205590.7053</v>
      </c>
      <c r="C153" s="13"/>
      <c r="D153" s="77"/>
      <c r="E153" s="78"/>
      <c r="F153" s="78">
        <f>E6*0.153</f>
        <v>189702.8793</v>
      </c>
      <c r="G153" s="78">
        <v>13185</v>
      </c>
      <c r="H153" s="78"/>
      <c r="I153" s="78">
        <f>F153+G153</f>
        <v>202887.8793</v>
      </c>
      <c r="J153" s="10"/>
      <c r="K153" s="13"/>
      <c r="L153" s="14"/>
      <c r="M153" s="61"/>
    </row>
    <row r="154" spans="1:13" x14ac:dyDescent="0.25">
      <c r="A154" s="26" t="s">
        <v>148</v>
      </c>
      <c r="B154" s="62">
        <f>C6*0.1275</f>
        <v>171325.58775000001</v>
      </c>
      <c r="C154" s="13"/>
      <c r="D154" s="11"/>
      <c r="E154" s="12"/>
      <c r="F154" s="78">
        <f>E6*0.1275</f>
        <v>158085.73275000002</v>
      </c>
      <c r="G154" s="12">
        <v>70495</v>
      </c>
      <c r="H154" s="12"/>
      <c r="I154" s="78">
        <f>F154+G154</f>
        <v>228580.73275000002</v>
      </c>
      <c r="J154" s="10"/>
      <c r="K154" s="13"/>
      <c r="L154" s="14"/>
      <c r="M154" s="61"/>
    </row>
    <row r="155" spans="1:13" x14ac:dyDescent="0.25">
      <c r="A155" s="26" t="s">
        <v>149</v>
      </c>
      <c r="B155" s="62">
        <f>C6*0.0428</f>
        <v>57511.648280000001</v>
      </c>
      <c r="C155" s="13"/>
      <c r="D155" s="11"/>
      <c r="E155" s="12"/>
      <c r="F155" s="78">
        <f>E6*0.0428</f>
        <v>53067.210680000004</v>
      </c>
      <c r="G155" s="12">
        <v>2213</v>
      </c>
      <c r="H155" s="12"/>
      <c r="I155" s="78">
        <f>F155+G155</f>
        <v>55280.210680000004</v>
      </c>
      <c r="J155" s="10"/>
      <c r="K155" s="13"/>
      <c r="L155" s="14"/>
      <c r="M155" s="61"/>
    </row>
    <row r="156" spans="1:13" x14ac:dyDescent="0.25">
      <c r="A156" s="30" t="s">
        <v>150</v>
      </c>
      <c r="B156" s="63">
        <f>SUM(B151:B155)</f>
        <v>1343730.1</v>
      </c>
      <c r="C156" s="13"/>
      <c r="D156" s="11"/>
      <c r="E156" s="12"/>
      <c r="F156" s="12">
        <f>SUM(F151:F155)</f>
        <v>1239888.1000000001</v>
      </c>
      <c r="G156" s="12">
        <f>SUM(G151:G155)</f>
        <v>103842</v>
      </c>
      <c r="H156" s="12"/>
      <c r="I156" s="12">
        <f>SUM(I151:I155)</f>
        <v>1343730.1</v>
      </c>
      <c r="J156" s="10"/>
      <c r="K156" s="13"/>
      <c r="L156" s="14"/>
      <c r="M156" s="61"/>
    </row>
    <row r="158" spans="1:13" x14ac:dyDescent="0.25">
      <c r="B158" s="89"/>
    </row>
  </sheetData>
  <mergeCells count="3">
    <mergeCell ref="A1:M1"/>
    <mergeCell ref="A149:A150"/>
    <mergeCell ref="B149:B15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opLeftCell="A10" workbookViewId="0">
      <selection activeCell="J41" sqref="J41"/>
    </sheetView>
  </sheetViews>
  <sheetFormatPr defaultRowHeight="15" x14ac:dyDescent="0.25"/>
  <cols>
    <col min="1" max="1" width="33.28515625" customWidth="1"/>
    <col min="2" max="2" width="10" customWidth="1"/>
    <col min="3" max="3" width="8.28515625" style="109" customWidth="1"/>
    <col min="4" max="4" width="10" style="98" customWidth="1"/>
    <col min="5" max="5" width="10" style="104" customWidth="1"/>
    <col min="6" max="6" width="8.85546875" style="1" customWidth="1"/>
    <col min="7" max="7" width="10.42578125" customWidth="1"/>
  </cols>
  <sheetData>
    <row r="1" spans="1:7" x14ac:dyDescent="0.25">
      <c r="A1" s="4" t="s">
        <v>163</v>
      </c>
      <c r="B1" s="131">
        <v>26874602</v>
      </c>
      <c r="C1" s="131"/>
    </row>
    <row r="2" spans="1:7" x14ac:dyDescent="0.25">
      <c r="A2" s="9" t="s">
        <v>1</v>
      </c>
      <c r="B2" s="100"/>
      <c r="C2" s="108"/>
    </row>
    <row r="3" spans="1:7" x14ac:dyDescent="0.25">
      <c r="A3" s="16" t="s">
        <v>164</v>
      </c>
      <c r="B3" s="131">
        <f>B1*0.9</f>
        <v>24187141.800000001</v>
      </c>
      <c r="C3" s="131"/>
    </row>
    <row r="4" spans="1:7" x14ac:dyDescent="0.25">
      <c r="A4" s="16" t="s">
        <v>165</v>
      </c>
      <c r="B4" s="132">
        <f>B1*0.05</f>
        <v>1343730.1</v>
      </c>
      <c r="C4" s="132"/>
    </row>
    <row r="5" spans="1:7" ht="15.75" customHeight="1" x14ac:dyDescent="0.25">
      <c r="A5" s="16" t="s">
        <v>166</v>
      </c>
      <c r="B5" s="132">
        <f>B1*0.05</f>
        <v>1343730.1</v>
      </c>
      <c r="C5" s="132"/>
    </row>
    <row r="7" spans="1:7" ht="52.5" x14ac:dyDescent="0.25">
      <c r="A7" s="22" t="s">
        <v>5</v>
      </c>
      <c r="B7" s="22" t="s">
        <v>6</v>
      </c>
      <c r="C7" s="21" t="s">
        <v>153</v>
      </c>
      <c r="D7" s="22" t="s">
        <v>177</v>
      </c>
      <c r="E7" s="23" t="s">
        <v>176</v>
      </c>
      <c r="F7" s="22" t="s">
        <v>174</v>
      </c>
      <c r="G7" s="22" t="s">
        <v>171</v>
      </c>
    </row>
    <row r="8" spans="1:7" x14ac:dyDescent="0.25">
      <c r="A8" s="26" t="s">
        <v>173</v>
      </c>
      <c r="B8" s="105" t="s">
        <v>39</v>
      </c>
      <c r="C8" s="116">
        <v>55792</v>
      </c>
      <c r="D8" s="117">
        <v>1269715.2984079563</v>
      </c>
      <c r="E8" s="117">
        <v>992042.04705819068</v>
      </c>
      <c r="F8" s="118">
        <v>324975</v>
      </c>
      <c r="G8" s="118">
        <v>667067.04705819068</v>
      </c>
    </row>
    <row r="9" spans="1:7" x14ac:dyDescent="0.25">
      <c r="A9" s="26"/>
      <c r="B9" s="105" t="s">
        <v>40</v>
      </c>
      <c r="C9" s="116">
        <v>18218</v>
      </c>
      <c r="D9" s="117"/>
      <c r="E9" s="117">
        <v>277673.25134976552</v>
      </c>
      <c r="F9" s="118">
        <v>59853</v>
      </c>
      <c r="G9" s="118">
        <v>217820.25134976552</v>
      </c>
    </row>
    <row r="10" spans="1:7" ht="9.6" customHeight="1" x14ac:dyDescent="0.25">
      <c r="A10" s="34"/>
      <c r="B10" s="106"/>
      <c r="C10" s="119"/>
      <c r="D10" s="121"/>
      <c r="E10" s="121"/>
      <c r="F10" s="122"/>
      <c r="G10" s="122"/>
    </row>
    <row r="11" spans="1:7" x14ac:dyDescent="0.25">
      <c r="A11" s="26" t="s">
        <v>167</v>
      </c>
      <c r="B11" s="105" t="s">
        <v>12</v>
      </c>
      <c r="C11" s="116">
        <v>27115</v>
      </c>
      <c r="D11" s="117">
        <v>407786.6370265063</v>
      </c>
      <c r="E11" s="117">
        <v>407786.6370265063</v>
      </c>
      <c r="F11" s="118">
        <v>83591</v>
      </c>
      <c r="G11" s="118">
        <v>324195.6370265063</v>
      </c>
    </row>
    <row r="12" spans="1:7" ht="9.6" customHeight="1" x14ac:dyDescent="0.25">
      <c r="A12" s="34"/>
      <c r="B12" s="106"/>
      <c r="C12" s="119"/>
      <c r="D12" s="121"/>
      <c r="E12" s="121"/>
      <c r="F12" s="122"/>
      <c r="G12" s="122"/>
    </row>
    <row r="13" spans="1:7" x14ac:dyDescent="0.25">
      <c r="A13" s="26" t="s">
        <v>13</v>
      </c>
      <c r="B13" s="105" t="s">
        <v>14</v>
      </c>
      <c r="C13" s="116">
        <v>17732</v>
      </c>
      <c r="D13" s="117">
        <v>560500.36024951469</v>
      </c>
      <c r="E13" s="117">
        <v>212009.47946723251</v>
      </c>
      <c r="F13" s="120">
        <v>0</v>
      </c>
      <c r="G13" s="118">
        <v>212009.47946723251</v>
      </c>
    </row>
    <row r="14" spans="1:7" x14ac:dyDescent="0.25">
      <c r="A14" s="26"/>
      <c r="B14" s="105" t="s">
        <v>15</v>
      </c>
      <c r="C14" s="116">
        <v>15102</v>
      </c>
      <c r="D14" s="117"/>
      <c r="E14" s="117">
        <v>180564.35590537704</v>
      </c>
      <c r="F14" s="120">
        <v>0</v>
      </c>
      <c r="G14" s="118">
        <v>180564.35590537704</v>
      </c>
    </row>
    <row r="15" spans="1:7" x14ac:dyDescent="0.25">
      <c r="A15" s="26"/>
      <c r="B15" s="105" t="s">
        <v>16</v>
      </c>
      <c r="C15" s="116">
        <v>14045</v>
      </c>
      <c r="D15" s="117"/>
      <c r="E15" s="117">
        <v>167926.52487690508</v>
      </c>
      <c r="F15" s="120">
        <v>0</v>
      </c>
      <c r="G15" s="118">
        <v>167926.52487690508</v>
      </c>
    </row>
    <row r="16" spans="1:7" ht="9.6" customHeight="1" x14ac:dyDescent="0.25">
      <c r="A16" s="34"/>
      <c r="B16" s="106"/>
      <c r="C16" s="119"/>
      <c r="D16" s="121"/>
      <c r="E16" s="121"/>
      <c r="F16" s="122"/>
      <c r="G16" s="122"/>
    </row>
    <row r="17" spans="1:7" x14ac:dyDescent="0.25">
      <c r="A17" s="26" t="s">
        <v>17</v>
      </c>
      <c r="B17" s="105" t="s">
        <v>18</v>
      </c>
      <c r="C17" s="116">
        <v>2205</v>
      </c>
      <c r="D17" s="117">
        <v>320195.97177325108</v>
      </c>
      <c r="E17" s="117">
        <v>26363.687244825607</v>
      </c>
      <c r="F17" s="120">
        <v>0</v>
      </c>
      <c r="G17" s="118">
        <v>26363.687244825607</v>
      </c>
    </row>
    <row r="18" spans="1:7" x14ac:dyDescent="0.25">
      <c r="A18" s="26"/>
      <c r="B18" s="105" t="s">
        <v>19</v>
      </c>
      <c r="C18" s="116">
        <v>5629</v>
      </c>
      <c r="D18" s="117"/>
      <c r="E18" s="117">
        <v>76879.331115111418</v>
      </c>
      <c r="F18" s="120">
        <f>(5629/21514)*36604</f>
        <v>9577.2016361439055</v>
      </c>
      <c r="G18" s="118">
        <v>67302.129478967516</v>
      </c>
    </row>
    <row r="19" spans="1:7" x14ac:dyDescent="0.25">
      <c r="A19" s="26"/>
      <c r="B19" s="105" t="s">
        <v>20</v>
      </c>
      <c r="C19" s="116">
        <v>15885</v>
      </c>
      <c r="D19" s="117"/>
      <c r="E19" s="117">
        <v>216952.95341331407</v>
      </c>
      <c r="F19" s="120">
        <f>(15885/21514)*36604</f>
        <v>27026.798363856091</v>
      </c>
      <c r="G19" s="118">
        <v>189926.15504945797</v>
      </c>
    </row>
    <row r="20" spans="1:7" x14ac:dyDescent="0.25">
      <c r="A20" s="34"/>
      <c r="B20" s="106"/>
      <c r="C20" s="119"/>
      <c r="D20" s="121"/>
      <c r="E20" s="121"/>
      <c r="F20" s="122"/>
      <c r="G20" s="122"/>
    </row>
    <row r="21" spans="1:7" x14ac:dyDescent="0.25">
      <c r="A21" s="26" t="s">
        <v>21</v>
      </c>
      <c r="B21" s="105" t="s">
        <v>22</v>
      </c>
      <c r="C21" s="116">
        <v>24642</v>
      </c>
      <c r="D21" s="117">
        <v>468048.65582176537</v>
      </c>
      <c r="E21" s="117">
        <v>468048.65582176537</v>
      </c>
      <c r="F21" s="118">
        <v>173421</v>
      </c>
      <c r="G21" s="118">
        <v>294627.65582176537</v>
      </c>
    </row>
    <row r="22" spans="1:7" ht="9.6" customHeight="1" x14ac:dyDescent="0.25">
      <c r="A22" s="34"/>
      <c r="B22" s="106"/>
      <c r="C22" s="119"/>
      <c r="D22" s="121"/>
      <c r="E22" s="121"/>
      <c r="F22" s="122"/>
      <c r="G22" s="122"/>
    </row>
    <row r="23" spans="1:7" x14ac:dyDescent="0.25">
      <c r="A23" s="26" t="s">
        <v>158</v>
      </c>
      <c r="B23" s="105" t="s">
        <v>86</v>
      </c>
      <c r="C23" s="116">
        <v>9404</v>
      </c>
      <c r="D23" s="117">
        <v>1239432.529232044</v>
      </c>
      <c r="E23" s="117">
        <v>112437.24029493879</v>
      </c>
      <c r="F23" s="120">
        <v>0</v>
      </c>
      <c r="G23" s="118">
        <v>112437.24029493879</v>
      </c>
    </row>
    <row r="24" spans="1:7" x14ac:dyDescent="0.25">
      <c r="A24" s="26"/>
      <c r="B24" s="105" t="s">
        <v>87</v>
      </c>
      <c r="C24" s="116">
        <v>46899</v>
      </c>
      <c r="D24" s="117"/>
      <c r="E24" s="117">
        <v>623825.48666443361</v>
      </c>
      <c r="F24" s="120">
        <v>63086</v>
      </c>
      <c r="G24" s="118">
        <v>560739.48666443361</v>
      </c>
    </row>
    <row r="25" spans="1:7" x14ac:dyDescent="0.25">
      <c r="A25" s="26"/>
      <c r="B25" s="105" t="s">
        <v>88</v>
      </c>
      <c r="C25" s="116">
        <v>18514</v>
      </c>
      <c r="D25" s="117"/>
      <c r="E25" s="117">
        <v>221359.32229056748</v>
      </c>
      <c r="F25" s="120">
        <v>0</v>
      </c>
      <c r="G25" s="118">
        <v>221359.32229056748</v>
      </c>
    </row>
    <row r="26" spans="1:7" x14ac:dyDescent="0.25">
      <c r="A26" s="26"/>
      <c r="B26" s="105" t="s">
        <v>89</v>
      </c>
      <c r="C26" s="116">
        <v>23570</v>
      </c>
      <c r="D26" s="117"/>
      <c r="E26" s="117">
        <v>281810.47998210415</v>
      </c>
      <c r="F26" s="120">
        <v>0</v>
      </c>
      <c r="G26" s="118">
        <v>281810.47998210415</v>
      </c>
    </row>
    <row r="27" spans="1:7" ht="9.6" customHeight="1" x14ac:dyDescent="0.25">
      <c r="A27" s="34"/>
      <c r="B27" s="106"/>
      <c r="C27" s="119"/>
      <c r="D27" s="121"/>
      <c r="E27" s="121"/>
      <c r="F27" s="122"/>
      <c r="G27" s="122"/>
    </row>
    <row r="28" spans="1:7" x14ac:dyDescent="0.25">
      <c r="A28" s="26" t="s">
        <v>23</v>
      </c>
      <c r="B28" s="105" t="s">
        <v>24</v>
      </c>
      <c r="C28" s="116">
        <v>151386</v>
      </c>
      <c r="D28" s="117">
        <v>2652422.5724467891</v>
      </c>
      <c r="E28" s="117">
        <v>2652422.5724467891</v>
      </c>
      <c r="F28" s="118">
        <v>842403</v>
      </c>
      <c r="G28" s="118">
        <v>1810019.5724467891</v>
      </c>
    </row>
    <row r="29" spans="1:7" ht="9.6" customHeight="1" x14ac:dyDescent="0.25">
      <c r="A29" s="34"/>
      <c r="B29" s="106"/>
      <c r="C29" s="119"/>
      <c r="D29" s="121"/>
      <c r="E29" s="121"/>
      <c r="F29" s="122"/>
      <c r="G29" s="122"/>
    </row>
    <row r="30" spans="1:7" x14ac:dyDescent="0.25">
      <c r="A30" s="45" t="s">
        <v>25</v>
      </c>
      <c r="B30" s="105" t="s">
        <v>26</v>
      </c>
      <c r="C30" s="116">
        <v>5212</v>
      </c>
      <c r="D30" s="117">
        <v>397784.86773251119</v>
      </c>
      <c r="E30" s="117">
        <v>62316.343727905252</v>
      </c>
      <c r="F30" s="118">
        <v>0</v>
      </c>
      <c r="G30" s="118">
        <v>62316.343727905252</v>
      </c>
    </row>
    <row r="31" spans="1:7" x14ac:dyDescent="0.25">
      <c r="A31" s="45"/>
      <c r="B31" s="105" t="s">
        <v>27</v>
      </c>
      <c r="C31" s="116">
        <v>12128</v>
      </c>
      <c r="D31" s="117"/>
      <c r="E31" s="117">
        <v>152142.25800691385</v>
      </c>
      <c r="F31" s="118">
        <v>7136</v>
      </c>
      <c r="G31" s="118">
        <v>145006.25800691385</v>
      </c>
    </row>
    <row r="32" spans="1:7" x14ac:dyDescent="0.25">
      <c r="A32" s="45"/>
      <c r="B32" s="105" t="s">
        <v>28</v>
      </c>
      <c r="C32" s="116">
        <v>5632</v>
      </c>
      <c r="D32" s="117"/>
      <c r="E32" s="117">
        <v>67337.998441205375</v>
      </c>
      <c r="F32" s="118">
        <v>0</v>
      </c>
      <c r="G32" s="118">
        <v>67337.998441205375</v>
      </c>
    </row>
    <row r="33" spans="1:7" x14ac:dyDescent="0.25">
      <c r="A33" s="45"/>
      <c r="B33" s="105" t="s">
        <v>162</v>
      </c>
      <c r="C33" s="116">
        <v>4584</v>
      </c>
      <c r="D33" s="117"/>
      <c r="E33" s="117">
        <v>54807.774299446981</v>
      </c>
      <c r="F33" s="118">
        <v>0</v>
      </c>
      <c r="G33" s="118">
        <v>54807.774299446981</v>
      </c>
    </row>
    <row r="34" spans="1:7" ht="23.25" x14ac:dyDescent="0.25">
      <c r="A34" s="45"/>
      <c r="B34" s="105" t="s">
        <v>29</v>
      </c>
      <c r="C34" s="116">
        <v>5117</v>
      </c>
      <c r="D34" s="117"/>
      <c r="E34" s="117">
        <v>61180.49325703975</v>
      </c>
      <c r="F34" s="118">
        <v>0</v>
      </c>
      <c r="G34" s="118">
        <v>61180.49325703975</v>
      </c>
    </row>
    <row r="35" spans="1:7" ht="9.6" customHeight="1" x14ac:dyDescent="0.25">
      <c r="A35" s="34"/>
      <c r="B35" s="106"/>
      <c r="C35" s="119"/>
      <c r="D35" s="121"/>
      <c r="E35" s="121"/>
      <c r="F35" s="122"/>
      <c r="G35" s="122"/>
    </row>
    <row r="36" spans="1:7" x14ac:dyDescent="0.25">
      <c r="A36" s="26" t="s">
        <v>30</v>
      </c>
      <c r="B36" s="105" t="s">
        <v>31</v>
      </c>
      <c r="C36" s="116">
        <v>9945</v>
      </c>
      <c r="D36" s="117">
        <v>384780.06076927588</v>
      </c>
      <c r="E36" s="117">
        <v>131765.73881027158</v>
      </c>
      <c r="F36" s="118">
        <f>(9945/14342)*18546</f>
        <v>12860.128991772417</v>
      </c>
      <c r="G36" s="118">
        <v>118905.60981849917</v>
      </c>
    </row>
    <row r="37" spans="1:7" x14ac:dyDescent="0.25">
      <c r="A37" s="26"/>
      <c r="B37" s="105" t="s">
        <v>32</v>
      </c>
      <c r="C37" s="116">
        <v>16289</v>
      </c>
      <c r="D37" s="117"/>
      <c r="E37" s="117">
        <v>194756.50863082285</v>
      </c>
      <c r="F37" s="118">
        <v>0</v>
      </c>
      <c r="G37" s="118">
        <v>194756.50863082285</v>
      </c>
    </row>
    <row r="38" spans="1:7" x14ac:dyDescent="0.25">
      <c r="A38" s="26"/>
      <c r="B38" s="105" t="s">
        <v>33</v>
      </c>
      <c r="C38" s="116">
        <v>2213</v>
      </c>
      <c r="D38" s="117"/>
      <c r="E38" s="117">
        <v>29321.023628670791</v>
      </c>
      <c r="F38" s="118">
        <f>(2213/14342)*18546</f>
        <v>2861.6858178775624</v>
      </c>
      <c r="G38" s="118">
        <v>26459.337810793229</v>
      </c>
    </row>
    <row r="39" spans="1:7" x14ac:dyDescent="0.25">
      <c r="A39" s="26"/>
      <c r="B39" s="105" t="s">
        <v>34</v>
      </c>
      <c r="C39" s="116">
        <v>2184</v>
      </c>
      <c r="D39" s="117"/>
      <c r="E39" s="117">
        <v>28936.789699510624</v>
      </c>
      <c r="F39" s="118">
        <f>(2184/14342)*18546</f>
        <v>2824.185190350021</v>
      </c>
      <c r="G39" s="118">
        <v>26112.604509160603</v>
      </c>
    </row>
    <row r="40" spans="1:7" ht="9.6" customHeight="1" x14ac:dyDescent="0.25">
      <c r="A40" s="34"/>
      <c r="B40" s="106"/>
      <c r="C40" s="119"/>
      <c r="D40" s="121"/>
      <c r="E40" s="121"/>
      <c r="F40" s="122"/>
      <c r="G40" s="122"/>
    </row>
    <row r="41" spans="1:7" x14ac:dyDescent="0.25">
      <c r="A41" s="26" t="s">
        <v>35</v>
      </c>
      <c r="B41" s="105" t="s">
        <v>36</v>
      </c>
      <c r="C41" s="116">
        <v>33936</v>
      </c>
      <c r="D41" s="117">
        <v>625147.53177021944</v>
      </c>
      <c r="E41" s="117">
        <v>470997.06461735524</v>
      </c>
      <c r="F41" s="118">
        <f>(33936/41621)*80023</f>
        <v>65247.363782705848</v>
      </c>
      <c r="G41" s="118">
        <v>405749.70083464938</v>
      </c>
    </row>
    <row r="42" spans="1:7" x14ac:dyDescent="0.25">
      <c r="A42" s="26"/>
      <c r="B42" s="105" t="s">
        <v>37</v>
      </c>
      <c r="C42" s="116">
        <v>3972</v>
      </c>
      <c r="D42" s="117"/>
      <c r="E42" s="117">
        <v>47490.506002923954</v>
      </c>
      <c r="F42" s="118">
        <v>0</v>
      </c>
      <c r="G42" s="118">
        <v>47490.506002923954</v>
      </c>
    </row>
    <row r="43" spans="1:7" x14ac:dyDescent="0.25">
      <c r="A43" s="26"/>
      <c r="B43" s="105" t="s">
        <v>38</v>
      </c>
      <c r="C43" s="116">
        <v>7685</v>
      </c>
      <c r="D43" s="117"/>
      <c r="E43" s="117">
        <v>106659.96114994033</v>
      </c>
      <c r="F43" s="118">
        <f>(7685/41621)*80023</f>
        <v>14775.636217294155</v>
      </c>
      <c r="G43" s="118">
        <v>91884.324932646166</v>
      </c>
    </row>
    <row r="44" spans="1:7" ht="9.6" customHeight="1" x14ac:dyDescent="0.25">
      <c r="A44" s="34"/>
      <c r="B44" s="106"/>
      <c r="C44" s="119"/>
      <c r="D44" s="121"/>
      <c r="E44" s="121"/>
      <c r="F44" s="122"/>
      <c r="G44" s="122"/>
    </row>
    <row r="45" spans="1:7" x14ac:dyDescent="0.25">
      <c r="A45" s="26" t="s">
        <v>41</v>
      </c>
      <c r="B45" s="105" t="s">
        <v>42</v>
      </c>
      <c r="C45" s="116">
        <v>27440</v>
      </c>
      <c r="D45" s="117">
        <v>414131.44126894092</v>
      </c>
      <c r="E45" s="117">
        <v>414131.44126894092</v>
      </c>
      <c r="F45" s="118">
        <v>86050</v>
      </c>
      <c r="G45" s="118">
        <v>328081.44126894092</v>
      </c>
    </row>
    <row r="46" spans="1:7" ht="9.6" customHeight="1" x14ac:dyDescent="0.25">
      <c r="A46" s="34"/>
      <c r="B46" s="106"/>
      <c r="C46" s="119"/>
      <c r="D46" s="121"/>
      <c r="E46" s="121"/>
      <c r="F46" s="122"/>
      <c r="G46" s="122"/>
    </row>
    <row r="47" spans="1:7" x14ac:dyDescent="0.25">
      <c r="A47" s="26" t="s">
        <v>43</v>
      </c>
      <c r="B47" s="105" t="s">
        <v>44</v>
      </c>
      <c r="C47" s="116">
        <v>16419</v>
      </c>
      <c r="D47" s="117">
        <v>988182.74128923262</v>
      </c>
      <c r="E47" s="117">
        <v>212981.83032779669</v>
      </c>
      <c r="F47" s="118">
        <v>16671</v>
      </c>
      <c r="G47" s="118">
        <v>196310.83032779669</v>
      </c>
    </row>
    <row r="48" spans="1:7" x14ac:dyDescent="0.25">
      <c r="A48" s="26"/>
      <c r="B48" s="105" t="s">
        <v>45</v>
      </c>
      <c r="C48" s="116">
        <v>37908</v>
      </c>
      <c r="D48" s="117"/>
      <c r="E48" s="117">
        <v>476292.20683757332</v>
      </c>
      <c r="F48" s="118">
        <v>23052</v>
      </c>
      <c r="G48" s="118">
        <v>453240.20683757332</v>
      </c>
    </row>
    <row r="49" spans="1:7" x14ac:dyDescent="0.25">
      <c r="A49" s="26"/>
      <c r="B49" s="105" t="s">
        <v>46</v>
      </c>
      <c r="C49" s="116">
        <v>24618</v>
      </c>
      <c r="D49" s="117"/>
      <c r="E49" s="117">
        <v>298908.7041238625</v>
      </c>
      <c r="F49" s="118">
        <v>4568</v>
      </c>
      <c r="G49" s="118">
        <v>294340.7041238625</v>
      </c>
    </row>
    <row r="50" spans="1:7" ht="9.6" customHeight="1" x14ac:dyDescent="0.25">
      <c r="A50" s="34"/>
      <c r="B50" s="106"/>
      <c r="C50" s="119"/>
      <c r="D50" s="121"/>
      <c r="E50" s="121"/>
      <c r="F50" s="122"/>
      <c r="G50" s="122"/>
    </row>
    <row r="51" spans="1:7" x14ac:dyDescent="0.25">
      <c r="A51" s="26" t="s">
        <v>47</v>
      </c>
      <c r="B51" s="105" t="s">
        <v>48</v>
      </c>
      <c r="C51" s="116">
        <v>1002</v>
      </c>
      <c r="D51" s="117">
        <v>373181.27579761087</v>
      </c>
      <c r="E51" s="117">
        <v>11980.233387444561</v>
      </c>
      <c r="F51" s="118">
        <v>0</v>
      </c>
      <c r="G51" s="118">
        <v>11980.233387444561</v>
      </c>
    </row>
    <row r="52" spans="1:7" x14ac:dyDescent="0.25">
      <c r="A52" s="26"/>
      <c r="B52" s="105" t="s">
        <v>49</v>
      </c>
      <c r="C52" s="116">
        <v>3310</v>
      </c>
      <c r="D52" s="117"/>
      <c r="E52" s="117">
        <v>46775.508484596525</v>
      </c>
      <c r="F52" s="118">
        <f>(3310/20964)*45602</f>
        <v>7200.0868154932259</v>
      </c>
      <c r="G52" s="118">
        <v>39575.4216691033</v>
      </c>
    </row>
    <row r="53" spans="1:7" x14ac:dyDescent="0.25">
      <c r="A53" s="26"/>
      <c r="B53" s="105" t="s">
        <v>50</v>
      </c>
      <c r="C53" s="116">
        <v>2758</v>
      </c>
      <c r="D53" s="117"/>
      <c r="E53" s="117">
        <v>38974.879879310341</v>
      </c>
      <c r="F53" s="118">
        <f>(2758/20964)*45602</f>
        <v>5999.3472619729055</v>
      </c>
      <c r="G53" s="118">
        <v>32975.532617337434</v>
      </c>
    </row>
    <row r="54" spans="1:7" x14ac:dyDescent="0.25">
      <c r="A54" s="26"/>
      <c r="B54" s="105" t="s">
        <v>51</v>
      </c>
      <c r="C54" s="116">
        <v>3831</v>
      </c>
      <c r="D54" s="117"/>
      <c r="E54" s="117">
        <v>54138.058309513377</v>
      </c>
      <c r="F54" s="118">
        <f>(3831/20964)*45602</f>
        <v>8333.3935317687465</v>
      </c>
      <c r="G54" s="118">
        <v>45804.664777744634</v>
      </c>
    </row>
    <row r="55" spans="1:7" x14ac:dyDescent="0.25">
      <c r="A55" s="26"/>
      <c r="B55" s="105" t="s">
        <v>52</v>
      </c>
      <c r="C55" s="116">
        <v>1794</v>
      </c>
      <c r="D55" s="117"/>
      <c r="E55" s="117">
        <v>25352.04296718011</v>
      </c>
      <c r="F55" s="118">
        <f>(1794/20964)*45602</f>
        <v>3902.4035489410421</v>
      </c>
      <c r="G55" s="118">
        <v>21449.639418239069</v>
      </c>
    </row>
    <row r="56" spans="1:7" x14ac:dyDescent="0.25">
      <c r="A56" s="26"/>
      <c r="B56" s="105" t="s">
        <v>53</v>
      </c>
      <c r="C56" s="116">
        <v>1080</v>
      </c>
      <c r="D56" s="117"/>
      <c r="E56" s="117">
        <v>12912.82640562887</v>
      </c>
      <c r="F56" s="118">
        <v>0</v>
      </c>
      <c r="G56" s="118">
        <v>12912.82640562887</v>
      </c>
    </row>
    <row r="57" spans="1:7" x14ac:dyDescent="0.25">
      <c r="A57" s="26"/>
      <c r="B57" s="105" t="s">
        <v>54</v>
      </c>
      <c r="C57" s="116">
        <v>6978</v>
      </c>
      <c r="D57" s="117"/>
      <c r="E57" s="117">
        <v>98610.120303780815</v>
      </c>
      <c r="F57" s="118">
        <f>(6978/20964)*45602</f>
        <v>15178.914138523181</v>
      </c>
      <c r="G57" s="118">
        <v>83431.206165257638</v>
      </c>
    </row>
    <row r="58" spans="1:7" x14ac:dyDescent="0.25">
      <c r="A58" s="26"/>
      <c r="B58" s="105" t="s">
        <v>55</v>
      </c>
      <c r="C58" s="116">
        <v>2293</v>
      </c>
      <c r="D58" s="117"/>
      <c r="E58" s="117">
        <v>32403.698173770339</v>
      </c>
      <c r="F58" s="118">
        <f>(2293/20964)*45602</f>
        <v>4987.8547033008963</v>
      </c>
      <c r="G58" s="118">
        <v>27415.843470469445</v>
      </c>
    </row>
    <row r="59" spans="1:7" x14ac:dyDescent="0.25">
      <c r="A59" s="26"/>
      <c r="B59" s="105" t="s">
        <v>56</v>
      </c>
      <c r="C59" s="116">
        <v>1018</v>
      </c>
      <c r="D59" s="117"/>
      <c r="E59" s="117">
        <v>12171.534519379806</v>
      </c>
      <c r="F59" s="118">
        <v>0</v>
      </c>
      <c r="G59" s="118">
        <v>12171.534519379806</v>
      </c>
    </row>
    <row r="60" spans="1:7" x14ac:dyDescent="0.25">
      <c r="A60" s="26"/>
      <c r="B60" s="105" t="s">
        <v>57</v>
      </c>
      <c r="C60" s="116">
        <v>3334</v>
      </c>
      <c r="D60" s="117"/>
      <c r="E60" s="117">
        <v>39862.373367006163</v>
      </c>
      <c r="F60" s="118">
        <v>0</v>
      </c>
      <c r="G60" s="118">
        <v>39862.373367006163</v>
      </c>
    </row>
    <row r="61" spans="1:7" ht="9.6" customHeight="1" x14ac:dyDescent="0.25">
      <c r="A61" s="34"/>
      <c r="B61" s="106"/>
      <c r="C61" s="119"/>
      <c r="D61" s="121"/>
      <c r="E61" s="121"/>
      <c r="F61" s="122"/>
      <c r="G61" s="122"/>
    </row>
    <row r="62" spans="1:7" x14ac:dyDescent="0.25">
      <c r="A62" s="26" t="s">
        <v>58</v>
      </c>
      <c r="B62" s="105" t="s">
        <v>59</v>
      </c>
      <c r="C62" s="116">
        <v>69871</v>
      </c>
      <c r="D62" s="117">
        <v>1109642.0868404582</v>
      </c>
      <c r="E62" s="117">
        <v>1109642.0868404582</v>
      </c>
      <c r="F62" s="118">
        <v>274242</v>
      </c>
      <c r="G62" s="118">
        <v>835400.0868404581</v>
      </c>
    </row>
    <row r="63" spans="1:7" ht="9.6" customHeight="1" x14ac:dyDescent="0.25">
      <c r="A63" s="34"/>
      <c r="B63" s="106"/>
      <c r="C63" s="119"/>
      <c r="D63" s="121"/>
      <c r="E63" s="121"/>
      <c r="F63" s="122"/>
      <c r="G63" s="122"/>
    </row>
    <row r="64" spans="1:7" x14ac:dyDescent="0.25">
      <c r="A64" s="45" t="s">
        <v>181</v>
      </c>
      <c r="B64" s="105" t="s">
        <v>64</v>
      </c>
      <c r="C64" s="116">
        <v>5620</v>
      </c>
      <c r="D64" s="117">
        <f>SUM(E64:E67)</f>
        <v>156430.75697008069</v>
      </c>
      <c r="E64" s="117">
        <v>75726.998599931481</v>
      </c>
      <c r="F64" s="118">
        <f>(5620/8336)*12656</f>
        <v>8532.4760076775437</v>
      </c>
      <c r="G64" s="118">
        <v>67194.522592253939</v>
      </c>
    </row>
    <row r="65" spans="1:7" x14ac:dyDescent="0.25">
      <c r="A65" s="45"/>
      <c r="B65" s="105" t="s">
        <v>61</v>
      </c>
      <c r="C65" s="116">
        <v>1935</v>
      </c>
      <c r="D65" s="117"/>
      <c r="E65" s="117">
        <v>23135.480643418392</v>
      </c>
      <c r="F65" s="118">
        <v>0</v>
      </c>
      <c r="G65" s="118">
        <v>23135.480643418392</v>
      </c>
    </row>
    <row r="66" spans="1:7" x14ac:dyDescent="0.25">
      <c r="A66" s="45"/>
      <c r="B66" s="105" t="s">
        <v>62</v>
      </c>
      <c r="C66" s="116">
        <v>1754</v>
      </c>
      <c r="D66" s="117"/>
      <c r="E66" s="117">
        <v>20971.386588400961</v>
      </c>
      <c r="F66" s="118">
        <v>0</v>
      </c>
      <c r="G66" s="118">
        <v>20971.386588400961</v>
      </c>
    </row>
    <row r="67" spans="1:7" x14ac:dyDescent="0.25">
      <c r="A67" s="45"/>
      <c r="B67" s="105" t="s">
        <v>63</v>
      </c>
      <c r="C67" s="116">
        <v>2716</v>
      </c>
      <c r="D67" s="117"/>
      <c r="E67" s="117">
        <v>36596.891138329876</v>
      </c>
      <c r="F67" s="118">
        <f>(2716/8336)*12656</f>
        <v>4123.5239923224572</v>
      </c>
      <c r="G67" s="118">
        <v>32473.367146007418</v>
      </c>
    </row>
    <row r="68" spans="1:7" ht="9.6" customHeight="1" x14ac:dyDescent="0.25">
      <c r="A68" s="34"/>
      <c r="B68" s="106"/>
      <c r="C68" s="119"/>
      <c r="D68" s="121"/>
      <c r="E68" s="121"/>
      <c r="F68" s="122"/>
      <c r="G68" s="122"/>
    </row>
    <row r="69" spans="1:7" x14ac:dyDescent="0.25">
      <c r="A69" s="26" t="s">
        <v>65</v>
      </c>
      <c r="B69" s="105" t="s">
        <v>66</v>
      </c>
      <c r="C69" s="116">
        <v>9401</v>
      </c>
      <c r="D69" s="117">
        <v>542982.40385004668</v>
      </c>
      <c r="E69" s="117">
        <v>167919.89950171503</v>
      </c>
      <c r="F69" s="118">
        <f>(9401/22436)*132498</f>
        <v>55518.528169014084</v>
      </c>
      <c r="G69" s="118">
        <v>112401.37133270093</v>
      </c>
    </row>
    <row r="70" spans="1:7" x14ac:dyDescent="0.25">
      <c r="A70" s="26"/>
      <c r="B70" s="105" t="s">
        <v>67</v>
      </c>
      <c r="C70" s="116">
        <v>8664</v>
      </c>
      <c r="D70" s="117"/>
      <c r="E70" s="117">
        <v>154755.66527846601</v>
      </c>
      <c r="F70" s="118">
        <f>(8664/22436)*132498</f>
        <v>51166.102335532181</v>
      </c>
      <c r="G70" s="118">
        <v>103589.56294293383</v>
      </c>
    </row>
    <row r="71" spans="1:7" x14ac:dyDescent="0.25">
      <c r="A71" s="26"/>
      <c r="B71" s="105" t="s">
        <v>68</v>
      </c>
      <c r="C71" s="116">
        <v>11896</v>
      </c>
      <c r="D71" s="117"/>
      <c r="E71" s="117">
        <v>142232.39159385281</v>
      </c>
      <c r="F71" s="118">
        <v>0</v>
      </c>
      <c r="G71" s="118">
        <v>142232.39159385281</v>
      </c>
    </row>
    <row r="72" spans="1:7" x14ac:dyDescent="0.25">
      <c r="A72" s="26"/>
      <c r="B72" s="105" t="s">
        <v>69</v>
      </c>
      <c r="C72" s="116">
        <v>4371</v>
      </c>
      <c r="D72" s="117"/>
      <c r="E72" s="117">
        <v>78074.447476012807</v>
      </c>
      <c r="F72" s="118">
        <f>(4371/22436)*132498</f>
        <v>25813.369495453735</v>
      </c>
      <c r="G72" s="118">
        <v>52261.077980559065</v>
      </c>
    </row>
    <row r="73" spans="1:7" ht="9.6" customHeight="1" x14ac:dyDescent="0.25">
      <c r="A73" s="34"/>
      <c r="B73" s="106"/>
      <c r="C73" s="119"/>
      <c r="D73" s="121"/>
      <c r="E73" s="121"/>
      <c r="F73" s="122"/>
      <c r="G73" s="122"/>
    </row>
    <row r="74" spans="1:7" x14ac:dyDescent="0.25">
      <c r="A74" s="26" t="s">
        <v>70</v>
      </c>
      <c r="B74" s="105" t="s">
        <v>71</v>
      </c>
      <c r="C74" s="116">
        <v>20081</v>
      </c>
      <c r="D74" s="117">
        <v>1071147.3593236748</v>
      </c>
      <c r="E74" s="117">
        <v>283996.87689947529</v>
      </c>
      <c r="F74" s="118">
        <v>43902</v>
      </c>
      <c r="G74" s="118">
        <v>240094.87689947529</v>
      </c>
    </row>
    <row r="75" spans="1:7" x14ac:dyDescent="0.25">
      <c r="A75" s="26"/>
      <c r="B75" s="105" t="s">
        <v>72</v>
      </c>
      <c r="C75" s="116">
        <v>34776</v>
      </c>
      <c r="D75" s="117"/>
      <c r="E75" s="117">
        <v>483927.01026124961</v>
      </c>
      <c r="F75" s="118">
        <v>68134</v>
      </c>
      <c r="G75" s="118">
        <v>415793.01026124961</v>
      </c>
    </row>
    <row r="76" spans="1:7" x14ac:dyDescent="0.25">
      <c r="A76" s="26"/>
      <c r="B76" s="105" t="s">
        <v>73</v>
      </c>
      <c r="C76" s="116">
        <v>12626</v>
      </c>
      <c r="D76" s="117"/>
      <c r="E76" s="117">
        <v>166323.50573839826</v>
      </c>
      <c r="F76" s="118">
        <v>15363</v>
      </c>
      <c r="G76" s="118">
        <v>150960.50573839826</v>
      </c>
    </row>
    <row r="77" spans="1:7" x14ac:dyDescent="0.25">
      <c r="A77" s="26"/>
      <c r="B77" s="105" t="s">
        <v>74</v>
      </c>
      <c r="C77" s="116">
        <v>9685</v>
      </c>
      <c r="D77" s="117"/>
      <c r="E77" s="117">
        <v>136899.9664245515</v>
      </c>
      <c r="F77" s="118">
        <v>21103</v>
      </c>
      <c r="G77" s="118">
        <v>115796.96642455149</v>
      </c>
    </row>
    <row r="78" spans="1:7" ht="9.6" customHeight="1" x14ac:dyDescent="0.25">
      <c r="A78" s="34"/>
      <c r="B78" s="106"/>
      <c r="C78" s="119"/>
      <c r="D78" s="121"/>
      <c r="E78" s="121"/>
      <c r="F78" s="122"/>
      <c r="G78" s="122"/>
    </row>
    <row r="79" spans="1:7" x14ac:dyDescent="0.25">
      <c r="A79" s="26" t="s">
        <v>75</v>
      </c>
      <c r="B79" s="105" t="s">
        <v>93</v>
      </c>
      <c r="C79" s="116">
        <v>8863</v>
      </c>
      <c r="D79" s="117">
        <f>SUM(E79:E82)</f>
        <v>1309214.6584748453</v>
      </c>
      <c r="E79" s="117">
        <v>180797.62957728011</v>
      </c>
      <c r="F79" s="118">
        <f>(8863/61067)*515578</f>
        <v>74828.758805901714</v>
      </c>
      <c r="G79" s="118">
        <v>105968.8707713784</v>
      </c>
    </row>
    <row r="80" spans="1:7" x14ac:dyDescent="0.25">
      <c r="A80" s="26"/>
      <c r="B80" s="105" t="s">
        <v>76</v>
      </c>
      <c r="C80" s="116">
        <v>5311</v>
      </c>
      <c r="D80" s="117"/>
      <c r="E80" s="117">
        <v>63500.019481754563</v>
      </c>
      <c r="F80" s="118">
        <v>0</v>
      </c>
      <c r="G80" s="118">
        <v>63500.019481754563</v>
      </c>
    </row>
    <row r="81" spans="1:7" x14ac:dyDescent="0.25">
      <c r="A81" s="26"/>
      <c r="B81" s="105" t="s">
        <v>77</v>
      </c>
      <c r="C81" s="116">
        <v>12806</v>
      </c>
      <c r="D81" s="117"/>
      <c r="E81" s="117">
        <v>261231.46162322568</v>
      </c>
      <c r="F81" s="118">
        <f>(12806/61067)*515578</f>
        <v>108118.81815055595</v>
      </c>
      <c r="G81" s="118">
        <v>153112.64347266973</v>
      </c>
    </row>
    <row r="82" spans="1:7" x14ac:dyDescent="0.25">
      <c r="A82" s="26"/>
      <c r="B82" s="105" t="s">
        <v>95</v>
      </c>
      <c r="C82" s="116">
        <v>39398</v>
      </c>
      <c r="D82" s="117"/>
      <c r="E82" s="117">
        <v>803685.5477925851</v>
      </c>
      <c r="F82" s="118">
        <f>(39398/61067)*515578</f>
        <v>332630.42304354231</v>
      </c>
      <c r="G82" s="118">
        <v>471055.12474904279</v>
      </c>
    </row>
    <row r="83" spans="1:7" ht="9.6" customHeight="1" x14ac:dyDescent="0.25">
      <c r="A83" s="34"/>
      <c r="B83" s="106"/>
      <c r="C83" s="119"/>
      <c r="D83" s="121"/>
      <c r="E83" s="121"/>
      <c r="F83" s="122"/>
      <c r="G83" s="122"/>
    </row>
    <row r="84" spans="1:7" x14ac:dyDescent="0.25">
      <c r="A84" s="26" t="s">
        <v>78</v>
      </c>
      <c r="B84" s="105" t="s">
        <v>79</v>
      </c>
      <c r="C84" s="116">
        <v>5923</v>
      </c>
      <c r="D84" s="117">
        <v>391488.64882136928</v>
      </c>
      <c r="E84" s="117">
        <v>71934.28777827759</v>
      </c>
      <c r="F84" s="118">
        <v>1117</v>
      </c>
      <c r="G84" s="118">
        <v>70817.28777827759</v>
      </c>
    </row>
    <row r="85" spans="1:7" x14ac:dyDescent="0.25">
      <c r="A85" s="26"/>
      <c r="B85" s="105" t="s">
        <v>80</v>
      </c>
      <c r="C85" s="116">
        <v>20917</v>
      </c>
      <c r="D85" s="117"/>
      <c r="E85" s="117">
        <v>319554.36104309175</v>
      </c>
      <c r="F85" s="118">
        <v>69464</v>
      </c>
      <c r="G85" s="118">
        <v>250090.36104309172</v>
      </c>
    </row>
    <row r="86" spans="1:7" ht="9.6" customHeight="1" x14ac:dyDescent="0.25">
      <c r="A86" s="34"/>
      <c r="B86" s="106"/>
      <c r="C86" s="119"/>
      <c r="D86" s="121"/>
      <c r="E86" s="121"/>
      <c r="F86" s="122"/>
      <c r="G86" s="122"/>
    </row>
    <row r="87" spans="1:7" x14ac:dyDescent="0.25">
      <c r="A87" s="26" t="s">
        <v>81</v>
      </c>
      <c r="B87" s="105" t="s">
        <v>82</v>
      </c>
      <c r="C87" s="116">
        <v>25281</v>
      </c>
      <c r="D87" s="117">
        <v>828830.34425377822</v>
      </c>
      <c r="E87" s="117">
        <v>320262.7447784291</v>
      </c>
      <c r="F87" s="118">
        <v>17995</v>
      </c>
      <c r="G87" s="118">
        <v>302267.7447784291</v>
      </c>
    </row>
    <row r="88" spans="1:7" x14ac:dyDescent="0.25">
      <c r="A88" s="26"/>
      <c r="B88" s="105" t="s">
        <v>83</v>
      </c>
      <c r="C88" s="116">
        <v>27504</v>
      </c>
      <c r="D88" s="117"/>
      <c r="E88" s="117">
        <v>378286.64579668187</v>
      </c>
      <c r="F88" s="118">
        <v>49440</v>
      </c>
      <c r="G88" s="118">
        <v>328846.64579668187</v>
      </c>
    </row>
    <row r="89" spans="1:7" x14ac:dyDescent="0.25">
      <c r="A89" s="26"/>
      <c r="B89" s="105" t="s">
        <v>84</v>
      </c>
      <c r="C89" s="116">
        <v>10830</v>
      </c>
      <c r="D89" s="117"/>
      <c r="E89" s="117">
        <v>130280.95367866728</v>
      </c>
      <c r="F89" s="118">
        <v>794</v>
      </c>
      <c r="G89" s="118">
        <v>129486.95367866728</v>
      </c>
    </row>
    <row r="90" spans="1:7" ht="9.6" customHeight="1" x14ac:dyDescent="0.25">
      <c r="A90" s="34"/>
      <c r="B90" s="106"/>
      <c r="C90" s="119"/>
      <c r="D90" s="121"/>
      <c r="E90" s="121"/>
      <c r="F90" s="122"/>
      <c r="G90" s="122"/>
    </row>
    <row r="91" spans="1:7" x14ac:dyDescent="0.25">
      <c r="A91" s="45" t="s">
        <v>90</v>
      </c>
      <c r="B91" s="105" t="s">
        <v>91</v>
      </c>
      <c r="C91" s="116">
        <v>6061</v>
      </c>
      <c r="D91" s="117">
        <v>126035</v>
      </c>
      <c r="E91" s="117">
        <v>126035</v>
      </c>
      <c r="F91" s="118">
        <v>6035</v>
      </c>
      <c r="G91" s="118">
        <v>120000</v>
      </c>
    </row>
    <row r="92" spans="1:7" ht="9.6" customHeight="1" x14ac:dyDescent="0.25">
      <c r="A92" s="34"/>
      <c r="B92" s="106"/>
      <c r="C92" s="119"/>
      <c r="D92" s="121"/>
      <c r="E92" s="121"/>
      <c r="F92" s="122"/>
      <c r="G92" s="122"/>
    </row>
    <row r="93" spans="1:7" x14ac:dyDescent="0.25">
      <c r="A93" s="26" t="s">
        <v>96</v>
      </c>
      <c r="B93" s="105" t="s">
        <v>97</v>
      </c>
      <c r="C93" s="116">
        <v>8961</v>
      </c>
      <c r="D93" s="117">
        <v>213789.48409007562</v>
      </c>
      <c r="E93" s="117">
        <v>107855.59020448176</v>
      </c>
      <c r="F93" s="118">
        <v>715</v>
      </c>
      <c r="G93" s="118">
        <v>107140.59020448176</v>
      </c>
    </row>
    <row r="94" spans="1:7" x14ac:dyDescent="0.25">
      <c r="A94" s="26"/>
      <c r="B94" s="105" t="s">
        <v>98</v>
      </c>
      <c r="C94" s="116">
        <v>8748</v>
      </c>
      <c r="D94" s="117"/>
      <c r="E94" s="117">
        <v>105933.89388559386</v>
      </c>
      <c r="F94" s="118">
        <v>1340</v>
      </c>
      <c r="G94" s="118">
        <v>104593.89388559386</v>
      </c>
    </row>
    <row r="95" spans="1:7" ht="9.6" customHeight="1" x14ac:dyDescent="0.25">
      <c r="A95" s="34"/>
      <c r="B95" s="106"/>
      <c r="C95" s="119"/>
      <c r="D95" s="121"/>
      <c r="E95" s="121"/>
      <c r="F95" s="122"/>
      <c r="G95" s="122"/>
    </row>
    <row r="96" spans="1:7" x14ac:dyDescent="0.25">
      <c r="A96" s="26" t="s">
        <v>99</v>
      </c>
      <c r="B96" s="105" t="s">
        <v>100</v>
      </c>
      <c r="C96" s="116">
        <v>13925</v>
      </c>
      <c r="D96" s="117">
        <v>637337.73409203137</v>
      </c>
      <c r="E96" s="117">
        <v>167283.76638739076</v>
      </c>
      <c r="F96" s="118">
        <v>792</v>
      </c>
      <c r="G96" s="118">
        <v>166491.76638739076</v>
      </c>
    </row>
    <row r="97" spans="1:7" x14ac:dyDescent="0.25">
      <c r="A97" s="26"/>
      <c r="B97" s="105" t="s">
        <v>101</v>
      </c>
      <c r="C97" s="116">
        <v>16796</v>
      </c>
      <c r="D97" s="117"/>
      <c r="E97" s="117">
        <v>231586.36324902085</v>
      </c>
      <c r="F97" s="118">
        <v>30768</v>
      </c>
      <c r="G97" s="118">
        <v>200818.36324902085</v>
      </c>
    </row>
    <row r="98" spans="1:7" x14ac:dyDescent="0.25">
      <c r="A98" s="26"/>
      <c r="B98" s="105" t="s">
        <v>102</v>
      </c>
      <c r="C98" s="116">
        <v>19057</v>
      </c>
      <c r="D98" s="117"/>
      <c r="E98" s="117">
        <v>238467.60445561979</v>
      </c>
      <c r="F98" s="118">
        <v>10616</v>
      </c>
      <c r="G98" s="118">
        <v>227851.60445561979</v>
      </c>
    </row>
    <row r="99" spans="1:7" ht="9.6" customHeight="1" x14ac:dyDescent="0.25">
      <c r="A99" s="34"/>
      <c r="B99" s="106"/>
      <c r="C99" s="119"/>
      <c r="D99" s="121"/>
      <c r="E99" s="121"/>
      <c r="F99" s="122"/>
      <c r="G99" s="122"/>
    </row>
    <row r="100" spans="1:7" x14ac:dyDescent="0.25">
      <c r="A100" s="26" t="s">
        <v>103</v>
      </c>
      <c r="B100" s="105" t="s">
        <v>104</v>
      </c>
      <c r="C100" s="116">
        <v>112936</v>
      </c>
      <c r="D100" s="117">
        <v>1415889.0397649093</v>
      </c>
      <c r="E100" s="117">
        <v>1415889.0397649093</v>
      </c>
      <c r="F100" s="118">
        <v>65590</v>
      </c>
      <c r="G100" s="118">
        <v>1350299.0397649093</v>
      </c>
    </row>
    <row r="101" spans="1:7" ht="9.6" customHeight="1" x14ac:dyDescent="0.25">
      <c r="A101" s="34"/>
      <c r="B101" s="106"/>
      <c r="C101" s="119"/>
      <c r="D101" s="121"/>
      <c r="E101" s="121"/>
      <c r="F101" s="122"/>
      <c r="G101" s="122"/>
    </row>
    <row r="102" spans="1:7" x14ac:dyDescent="0.25">
      <c r="A102" s="26" t="s">
        <v>105</v>
      </c>
      <c r="B102" s="105" t="s">
        <v>106</v>
      </c>
      <c r="C102" s="116">
        <v>23213</v>
      </c>
      <c r="D102" s="117">
        <v>792813.78732085833</v>
      </c>
      <c r="E102" s="117">
        <v>466473.07347579906</v>
      </c>
      <c r="F102" s="118">
        <v>188931</v>
      </c>
      <c r="G102" s="118">
        <v>277542.07347579906</v>
      </c>
    </row>
    <row r="103" spans="1:7" x14ac:dyDescent="0.25">
      <c r="A103" s="26"/>
      <c r="B103" s="105" t="s">
        <v>107</v>
      </c>
      <c r="C103" s="116">
        <v>24137</v>
      </c>
      <c r="D103" s="117"/>
      <c r="E103" s="117">
        <v>326340.71384505928</v>
      </c>
      <c r="F103" s="118">
        <v>37751</v>
      </c>
      <c r="G103" s="118">
        <v>288589.71384505928</v>
      </c>
    </row>
    <row r="104" spans="1:7" ht="9.6" customHeight="1" x14ac:dyDescent="0.25">
      <c r="A104" s="34"/>
      <c r="B104" s="106"/>
      <c r="C104" s="119"/>
      <c r="D104" s="121"/>
      <c r="E104" s="121"/>
      <c r="F104" s="122"/>
      <c r="G104" s="122"/>
    </row>
    <row r="105" spans="1:7" x14ac:dyDescent="0.25">
      <c r="A105" s="26" t="s">
        <v>108</v>
      </c>
      <c r="B105" s="105" t="s">
        <v>109</v>
      </c>
      <c r="C105" s="116">
        <v>5860</v>
      </c>
      <c r="D105" s="117">
        <v>447841.31156480871</v>
      </c>
      <c r="E105" s="117">
        <v>70064.03957128257</v>
      </c>
      <c r="F105" s="118">
        <v>0</v>
      </c>
      <c r="G105" s="118">
        <v>70064.03957128257</v>
      </c>
    </row>
    <row r="106" spans="1:7" x14ac:dyDescent="0.25">
      <c r="A106" s="26"/>
      <c r="B106" s="105" t="s">
        <v>110</v>
      </c>
      <c r="C106" s="116">
        <v>5564</v>
      </c>
      <c r="D106" s="117"/>
      <c r="E106" s="117">
        <v>69404.691471957965</v>
      </c>
      <c r="F106" s="118">
        <f>(5564/16597)*8590</f>
        <v>2879.7228414773754</v>
      </c>
      <c r="G106" s="118">
        <v>66524.968630480595</v>
      </c>
    </row>
    <row r="107" spans="1:7" x14ac:dyDescent="0.25">
      <c r="A107" s="26"/>
      <c r="B107" s="105" t="s">
        <v>111</v>
      </c>
      <c r="C107" s="116">
        <v>14281</v>
      </c>
      <c r="D107" s="117"/>
      <c r="E107" s="117">
        <v>170748.2165729499</v>
      </c>
      <c r="F107" s="118">
        <v>0</v>
      </c>
      <c r="G107" s="118">
        <v>170748.2165729499</v>
      </c>
    </row>
    <row r="108" spans="1:7" x14ac:dyDescent="0.25">
      <c r="A108" s="26"/>
      <c r="B108" s="105" t="s">
        <v>112</v>
      </c>
      <c r="C108" s="116">
        <v>11033</v>
      </c>
      <c r="D108" s="117"/>
      <c r="E108" s="117">
        <v>137624.36394861829</v>
      </c>
      <c r="F108" s="118">
        <f>(11033/16597)*8590</f>
        <v>5710.2771585226246</v>
      </c>
      <c r="G108" s="118">
        <v>131914.08679009567</v>
      </c>
    </row>
    <row r="109" spans="1:7" ht="9.6" customHeight="1" x14ac:dyDescent="0.25">
      <c r="A109" s="34"/>
      <c r="B109" s="106"/>
      <c r="C109" s="119"/>
      <c r="D109" s="121"/>
      <c r="E109" s="121"/>
      <c r="F109" s="122"/>
      <c r="G109" s="122"/>
    </row>
    <row r="110" spans="1:7" x14ac:dyDescent="0.25">
      <c r="A110" s="26" t="s">
        <v>113</v>
      </c>
      <c r="B110" s="105" t="s">
        <v>114</v>
      </c>
      <c r="C110" s="116">
        <v>8750</v>
      </c>
      <c r="D110" s="117">
        <v>1361624.9610049529</v>
      </c>
      <c r="E110" s="117">
        <v>104617.80652708575</v>
      </c>
      <c r="F110" s="118">
        <v>0</v>
      </c>
      <c r="G110" s="118">
        <v>104617.80652708575</v>
      </c>
    </row>
    <row r="111" spans="1:7" x14ac:dyDescent="0.25">
      <c r="A111" s="26"/>
      <c r="B111" s="105" t="s">
        <v>115</v>
      </c>
      <c r="C111" s="116">
        <v>18438</v>
      </c>
      <c r="D111" s="117"/>
      <c r="E111" s="117">
        <v>227379.33731047122</v>
      </c>
      <c r="F111" s="118">
        <f>(18438/79615)*29918</f>
        <v>6928.6953965961184</v>
      </c>
      <c r="G111" s="118">
        <v>220450.64191387509</v>
      </c>
    </row>
    <row r="112" spans="1:7" x14ac:dyDescent="0.25">
      <c r="A112" s="26"/>
      <c r="B112" s="105" t="s">
        <v>116</v>
      </c>
      <c r="C112" s="116">
        <v>13119</v>
      </c>
      <c r="D112" s="117"/>
      <c r="E112" s="117">
        <v>156854.97186615289</v>
      </c>
      <c r="F112" s="118">
        <v>0</v>
      </c>
      <c r="G112" s="118">
        <v>156854.97186615289</v>
      </c>
    </row>
    <row r="113" spans="1:7" x14ac:dyDescent="0.25">
      <c r="A113" s="26"/>
      <c r="B113" s="105" t="s">
        <v>117</v>
      </c>
      <c r="C113" s="116">
        <v>9897</v>
      </c>
      <c r="D113" s="117"/>
      <c r="E113" s="117">
        <v>118331.70642269346</v>
      </c>
      <c r="F113" s="118">
        <v>0</v>
      </c>
      <c r="G113" s="118">
        <v>118331.70642269346</v>
      </c>
    </row>
    <row r="114" spans="1:7" x14ac:dyDescent="0.25">
      <c r="A114" s="26"/>
      <c r="B114" s="105" t="s">
        <v>118</v>
      </c>
      <c r="C114" s="116">
        <v>8502</v>
      </c>
      <c r="D114" s="117"/>
      <c r="E114" s="117">
        <v>104847.54994107962</v>
      </c>
      <c r="F114" s="118">
        <f>(8502/79615)*29918</f>
        <v>3194.91095899014</v>
      </c>
      <c r="G114" s="118">
        <v>101652.63898208948</v>
      </c>
    </row>
    <row r="115" spans="1:7" x14ac:dyDescent="0.25">
      <c r="A115" s="26"/>
      <c r="B115" s="105" t="s">
        <v>119</v>
      </c>
      <c r="C115" s="116">
        <v>43106</v>
      </c>
      <c r="D115" s="117"/>
      <c r="E115" s="117">
        <v>531587.68381088902</v>
      </c>
      <c r="F115" s="118">
        <f>(43106/79615)*29918</f>
        <v>16198.521735853796</v>
      </c>
      <c r="G115" s="118">
        <v>515389.16207503522</v>
      </c>
    </row>
    <row r="116" spans="1:7" x14ac:dyDescent="0.25">
      <c r="A116" s="26"/>
      <c r="B116" s="105" t="s">
        <v>120</v>
      </c>
      <c r="C116" s="116">
        <v>9569</v>
      </c>
      <c r="D116" s="117"/>
      <c r="E116" s="117">
        <v>118005.90512658092</v>
      </c>
      <c r="F116" s="118">
        <f>(9569/79615)*29918</f>
        <v>3595.8719085599446</v>
      </c>
      <c r="G116" s="118">
        <v>114410.03321802098</v>
      </c>
    </row>
    <row r="117" spans="1:7" ht="9.6" customHeight="1" x14ac:dyDescent="0.25">
      <c r="A117" s="34"/>
      <c r="B117" s="106"/>
      <c r="C117" s="119"/>
      <c r="D117" s="121"/>
      <c r="E117" s="121"/>
      <c r="F117" s="122"/>
      <c r="G117" s="122"/>
    </row>
    <row r="118" spans="1:7" x14ac:dyDescent="0.25">
      <c r="A118" s="45" t="s">
        <v>121</v>
      </c>
      <c r="B118" s="107" t="s">
        <v>122</v>
      </c>
      <c r="C118" s="116">
        <v>4317</v>
      </c>
      <c r="D118" s="117">
        <v>597954.23946200067</v>
      </c>
      <c r="E118" s="117">
        <v>89412.436660277628</v>
      </c>
      <c r="F118" s="118">
        <v>37797</v>
      </c>
      <c r="G118" s="118">
        <v>51615.436660277621</v>
      </c>
    </row>
    <row r="119" spans="1:7" x14ac:dyDescent="0.25">
      <c r="A119" s="45"/>
      <c r="B119" s="107" t="s">
        <v>123</v>
      </c>
      <c r="C119" s="116">
        <v>7236</v>
      </c>
      <c r="D119" s="117"/>
      <c r="E119" s="117">
        <v>145695.93691771344</v>
      </c>
      <c r="F119" s="118">
        <v>59180</v>
      </c>
      <c r="G119" s="118">
        <v>86515.936917713421</v>
      </c>
    </row>
    <row r="120" spans="1:7" x14ac:dyDescent="0.25">
      <c r="A120" s="45"/>
      <c r="B120" s="107" t="s">
        <v>124</v>
      </c>
      <c r="C120" s="116">
        <v>17540</v>
      </c>
      <c r="D120" s="117"/>
      <c r="E120" s="117">
        <v>362845.86588400963</v>
      </c>
      <c r="F120" s="118">
        <v>153132</v>
      </c>
      <c r="G120" s="118">
        <v>209713.8658840096</v>
      </c>
    </row>
    <row r="121" spans="1:7" ht="9.6" customHeight="1" x14ac:dyDescent="0.25">
      <c r="A121" s="34"/>
      <c r="B121" s="106"/>
      <c r="C121" s="119"/>
      <c r="D121" s="121"/>
      <c r="E121" s="121"/>
      <c r="F121" s="122"/>
      <c r="G121" s="122"/>
    </row>
    <row r="122" spans="1:7" x14ac:dyDescent="0.25">
      <c r="A122" s="26" t="s">
        <v>125</v>
      </c>
      <c r="B122" s="105" t="s">
        <v>126</v>
      </c>
      <c r="C122" s="116">
        <v>23279</v>
      </c>
      <c r="D122" s="117">
        <v>351194.19064503192</v>
      </c>
      <c r="E122" s="117">
        <v>351194.19064503192</v>
      </c>
      <c r="F122" s="118">
        <v>72863</v>
      </c>
      <c r="G122" s="118">
        <v>278331.19064503192</v>
      </c>
    </row>
    <row r="123" spans="1:7" ht="9.6" customHeight="1" x14ac:dyDescent="0.25">
      <c r="A123" s="34"/>
      <c r="B123" s="106"/>
      <c r="C123" s="119"/>
      <c r="D123" s="121"/>
      <c r="E123" s="121"/>
      <c r="F123" s="122"/>
      <c r="G123" s="122"/>
    </row>
    <row r="124" spans="1:7" x14ac:dyDescent="0.25">
      <c r="A124" s="45" t="s">
        <v>157</v>
      </c>
      <c r="B124" s="105" t="s">
        <v>130</v>
      </c>
      <c r="C124" s="116">
        <v>3041</v>
      </c>
      <c r="D124" s="117">
        <v>376777</v>
      </c>
      <c r="E124" s="117">
        <v>44572.91</v>
      </c>
      <c r="F124" s="118">
        <v>0</v>
      </c>
      <c r="G124" s="118">
        <v>44572.91</v>
      </c>
    </row>
    <row r="125" spans="1:7" x14ac:dyDescent="0.25">
      <c r="A125" s="45"/>
      <c r="B125" s="105" t="s">
        <v>127</v>
      </c>
      <c r="C125" s="116">
        <v>2894</v>
      </c>
      <c r="E125" s="117">
        <v>42418.28</v>
      </c>
      <c r="F125" s="118">
        <v>0</v>
      </c>
      <c r="G125" s="118">
        <v>42418.28</v>
      </c>
    </row>
    <row r="126" spans="1:7" x14ac:dyDescent="0.25">
      <c r="A126" s="45"/>
      <c r="B126" s="105" t="s">
        <v>128</v>
      </c>
      <c r="C126" s="116">
        <v>12227</v>
      </c>
      <c r="D126" s="117"/>
      <c r="E126" s="117">
        <v>224012.84470379972</v>
      </c>
      <c r="F126" s="118">
        <f>(12227/15817)*57951</f>
        <v>44797.804703799709</v>
      </c>
      <c r="G126" s="118">
        <v>179215.04</v>
      </c>
    </row>
    <row r="127" spans="1:7" x14ac:dyDescent="0.25">
      <c r="A127" s="45"/>
      <c r="B127" s="105" t="s">
        <v>129</v>
      </c>
      <c r="C127" s="116">
        <v>3590</v>
      </c>
      <c r="D127" s="117"/>
      <c r="E127" s="117">
        <v>65772.965296200287</v>
      </c>
      <c r="F127" s="118">
        <f>(3590/15817)*57951</f>
        <v>13153.195296200291</v>
      </c>
      <c r="G127" s="118">
        <v>52619.77</v>
      </c>
    </row>
    <row r="128" spans="1:7" ht="9.6" customHeight="1" x14ac:dyDescent="0.25">
      <c r="A128" s="34"/>
      <c r="B128" s="106"/>
      <c r="C128" s="119"/>
      <c r="D128" s="121"/>
      <c r="E128" s="121"/>
      <c r="F128" s="122"/>
      <c r="G128" s="122"/>
    </row>
    <row r="129" spans="1:7" x14ac:dyDescent="0.25">
      <c r="A129" s="26" t="s">
        <v>131</v>
      </c>
      <c r="B129" s="105" t="s">
        <v>132</v>
      </c>
      <c r="C129" s="116">
        <v>28355</v>
      </c>
      <c r="D129" s="117">
        <v>357821.47475148761</v>
      </c>
      <c r="E129" s="117">
        <v>357821.47475148761</v>
      </c>
      <c r="F129" s="118">
        <v>18800</v>
      </c>
      <c r="G129" s="118">
        <v>339021.47475148761</v>
      </c>
    </row>
    <row r="130" spans="1:7" ht="9.6" customHeight="1" x14ac:dyDescent="0.25">
      <c r="A130" s="34"/>
      <c r="B130" s="106"/>
      <c r="C130" s="119"/>
      <c r="D130" s="121"/>
      <c r="E130" s="121"/>
      <c r="F130" s="122"/>
      <c r="G130" s="122"/>
    </row>
    <row r="131" spans="1:7" x14ac:dyDescent="0.25">
      <c r="A131" s="26" t="s">
        <v>133</v>
      </c>
      <c r="B131" s="105" t="s">
        <v>134</v>
      </c>
      <c r="C131" s="116">
        <v>86041</v>
      </c>
      <c r="D131" s="117">
        <v>1345316.7933025127</v>
      </c>
      <c r="E131" s="117">
        <v>1345316.7933025127</v>
      </c>
      <c r="F131" s="118">
        <v>316583</v>
      </c>
      <c r="G131" s="118">
        <v>1028733.7933025126</v>
      </c>
    </row>
    <row r="132" spans="1:7" ht="9.6" customHeight="1" x14ac:dyDescent="0.25">
      <c r="A132" s="34"/>
      <c r="B132" s="106"/>
      <c r="C132" s="119"/>
      <c r="D132" s="121"/>
      <c r="E132" s="121"/>
      <c r="F132" s="122"/>
      <c r="G132" s="122"/>
    </row>
    <row r="133" spans="1:7" x14ac:dyDescent="0.25">
      <c r="A133" s="26" t="s">
        <v>135</v>
      </c>
      <c r="B133" s="105" t="s">
        <v>136</v>
      </c>
      <c r="C133" s="116">
        <v>14185</v>
      </c>
      <c r="D133" s="117">
        <v>267914.64225712285</v>
      </c>
      <c r="E133" s="117">
        <v>170280.83323914741</v>
      </c>
      <c r="F133" s="118">
        <f>(14185/19388)*930</f>
        <v>680.42345780895391</v>
      </c>
      <c r="G133" s="118">
        <v>169600.40978133844</v>
      </c>
    </row>
    <row r="134" spans="1:7" x14ac:dyDescent="0.25">
      <c r="A134" s="53" t="s">
        <v>135</v>
      </c>
      <c r="B134" s="105" t="s">
        <v>137</v>
      </c>
      <c r="C134" s="116">
        <v>2942</v>
      </c>
      <c r="D134" s="117"/>
      <c r="E134" s="117">
        <v>35175.49563459272</v>
      </c>
      <c r="F134" s="118">
        <v>0</v>
      </c>
      <c r="G134" s="118">
        <v>35175.49563459272</v>
      </c>
    </row>
    <row r="135" spans="1:7" x14ac:dyDescent="0.25">
      <c r="A135" s="53" t="s">
        <v>135</v>
      </c>
      <c r="B135" s="105" t="s">
        <v>138</v>
      </c>
      <c r="C135" s="116">
        <v>5203</v>
      </c>
      <c r="D135" s="117"/>
      <c r="E135" s="117">
        <v>62458.313383382723</v>
      </c>
      <c r="F135" s="118">
        <f>(5203/19388)*930</f>
        <v>249.576542191046</v>
      </c>
      <c r="G135" s="118">
        <v>62208.736841191676</v>
      </c>
    </row>
    <row r="136" spans="1:7" ht="9.6" customHeight="1" x14ac:dyDescent="0.25">
      <c r="A136" s="34"/>
      <c r="B136" s="106"/>
      <c r="C136" s="119"/>
      <c r="D136" s="121"/>
      <c r="E136" s="121"/>
      <c r="F136" s="122"/>
      <c r="G136" s="122"/>
    </row>
    <row r="137" spans="1:7" x14ac:dyDescent="0.25">
      <c r="A137" s="26" t="s">
        <v>139</v>
      </c>
      <c r="B137" s="105" t="s">
        <v>140</v>
      </c>
      <c r="C137" s="116">
        <v>5681</v>
      </c>
      <c r="D137" s="117">
        <v>383785.93962433439</v>
      </c>
      <c r="E137" s="117">
        <v>67923.858157757044</v>
      </c>
      <c r="F137" s="118">
        <v>0</v>
      </c>
      <c r="G137" s="118">
        <v>67923.858157757044</v>
      </c>
    </row>
    <row r="138" spans="1:7" x14ac:dyDescent="0.25">
      <c r="A138" s="54" t="s">
        <v>139</v>
      </c>
      <c r="B138" s="105" t="s">
        <v>141</v>
      </c>
      <c r="C138" s="116">
        <v>6355</v>
      </c>
      <c r="D138" s="117"/>
      <c r="E138" s="117">
        <v>75982.418340529141</v>
      </c>
      <c r="F138" s="118">
        <v>0</v>
      </c>
      <c r="G138" s="118">
        <v>75982.418340529141</v>
      </c>
    </row>
    <row r="139" spans="1:7" x14ac:dyDescent="0.25">
      <c r="A139" s="54" t="s">
        <v>139</v>
      </c>
      <c r="B139" s="105" t="s">
        <v>142</v>
      </c>
      <c r="C139" s="116">
        <v>13633</v>
      </c>
      <c r="D139" s="117"/>
      <c r="E139" s="117">
        <v>163000.5207295726</v>
      </c>
      <c r="F139" s="118">
        <v>0</v>
      </c>
      <c r="G139" s="118">
        <v>163000.5207295726</v>
      </c>
    </row>
    <row r="140" spans="1:7" x14ac:dyDescent="0.25">
      <c r="A140" s="54" t="s">
        <v>139</v>
      </c>
      <c r="B140" s="105" t="s">
        <v>143</v>
      </c>
      <c r="C140" s="116">
        <v>6430</v>
      </c>
      <c r="D140" s="117"/>
      <c r="E140" s="117">
        <v>76879.142396475581</v>
      </c>
      <c r="F140" s="118">
        <v>0</v>
      </c>
      <c r="G140" s="118">
        <v>76879.142396475581</v>
      </c>
    </row>
    <row r="141" spans="1:7" x14ac:dyDescent="0.25">
      <c r="A141" s="10"/>
      <c r="B141" s="10"/>
      <c r="C141" s="111"/>
      <c r="D141" s="123"/>
      <c r="E141" s="4"/>
      <c r="F141" s="10"/>
      <c r="G141" s="10"/>
    </row>
    <row r="142" spans="1:7" ht="52.5" x14ac:dyDescent="0.25">
      <c r="A142" s="99" t="s">
        <v>144</v>
      </c>
      <c r="B142" s="23" t="s">
        <v>180</v>
      </c>
      <c r="C142" s="23" t="s">
        <v>178</v>
      </c>
      <c r="D142" s="23" t="s">
        <v>179</v>
      </c>
      <c r="E142" s="4"/>
      <c r="F142" s="10"/>
      <c r="G142" s="10"/>
    </row>
    <row r="143" spans="1:7" x14ac:dyDescent="0.25">
      <c r="A143" s="110" t="s">
        <v>145</v>
      </c>
      <c r="B143" s="112">
        <v>720003.01967000007</v>
      </c>
      <c r="C143" s="113" t="s">
        <v>170</v>
      </c>
      <c r="D143" s="112">
        <v>720003.01967000007</v>
      </c>
      <c r="E143" s="4"/>
      <c r="F143" s="10"/>
      <c r="G143" s="10"/>
    </row>
    <row r="144" spans="1:7" x14ac:dyDescent="0.25">
      <c r="A144" s="110" t="s">
        <v>168</v>
      </c>
      <c r="B144" s="114">
        <v>136978.25760000001</v>
      </c>
      <c r="C144" s="114">
        <v>17949</v>
      </c>
      <c r="D144" s="112">
        <v>119029.25760000001</v>
      </c>
      <c r="E144" s="4"/>
      <c r="F144" s="10"/>
      <c r="G144" s="10"/>
    </row>
    <row r="145" spans="1:7" x14ac:dyDescent="0.25">
      <c r="A145" s="110" t="s">
        <v>169</v>
      </c>
      <c r="B145" s="114">
        <v>202887.8793</v>
      </c>
      <c r="C145" s="114">
        <v>13185</v>
      </c>
      <c r="D145" s="112">
        <v>189702.8793</v>
      </c>
      <c r="E145" s="4"/>
      <c r="F145" s="10"/>
      <c r="G145" s="10"/>
    </row>
    <row r="146" spans="1:7" x14ac:dyDescent="0.25">
      <c r="A146" s="110" t="s">
        <v>148</v>
      </c>
      <c r="B146" s="114">
        <v>228580.73275000002</v>
      </c>
      <c r="C146" s="115">
        <v>70495</v>
      </c>
      <c r="D146" s="112">
        <v>158085.73275000002</v>
      </c>
      <c r="E146" s="4"/>
      <c r="F146" s="10"/>
      <c r="G146" s="10"/>
    </row>
    <row r="147" spans="1:7" x14ac:dyDescent="0.25">
      <c r="A147" s="110" t="s">
        <v>149</v>
      </c>
      <c r="B147" s="114">
        <v>55280.210680000004</v>
      </c>
      <c r="C147" s="115">
        <v>2213</v>
      </c>
      <c r="D147" s="112">
        <v>53067.210680000004</v>
      </c>
      <c r="E147" s="4"/>
      <c r="F147" s="10"/>
      <c r="G147" s="10"/>
    </row>
  </sheetData>
  <mergeCells count="4">
    <mergeCell ref="B1:C1"/>
    <mergeCell ref="B3:C3"/>
    <mergeCell ref="B4:C4"/>
    <mergeCell ref="B5:C5"/>
  </mergeCells>
  <pageMargins left="0.45" right="0.4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>
      <selection activeCell="H146" sqref="H146"/>
    </sheetView>
  </sheetViews>
  <sheetFormatPr defaultRowHeight="15" x14ac:dyDescent="0.25"/>
  <cols>
    <col min="1" max="1" width="33.28515625" customWidth="1"/>
    <col min="2" max="2" width="10" customWidth="1"/>
    <col min="3" max="3" width="8.28515625" style="109" customWidth="1"/>
    <col min="4" max="4" width="10" style="98" customWidth="1"/>
    <col min="5" max="5" width="10" style="104" customWidth="1"/>
    <col min="6" max="6" width="8.85546875" style="1" hidden="1" customWidth="1"/>
    <col min="7" max="7" width="10.42578125" hidden="1" customWidth="1"/>
  </cols>
  <sheetData>
    <row r="1" spans="1:7" x14ac:dyDescent="0.25">
      <c r="A1" s="4" t="s">
        <v>163</v>
      </c>
      <c r="B1" s="131">
        <v>26874602</v>
      </c>
      <c r="C1" s="131"/>
    </row>
    <row r="2" spans="1:7" x14ac:dyDescent="0.25">
      <c r="A2" s="9" t="s">
        <v>1</v>
      </c>
      <c r="B2" s="125"/>
      <c r="C2" s="108"/>
    </row>
    <row r="3" spans="1:7" x14ac:dyDescent="0.25">
      <c r="A3" s="16" t="s">
        <v>164</v>
      </c>
      <c r="B3" s="131">
        <f>B1*0.9</f>
        <v>24187141.800000001</v>
      </c>
      <c r="C3" s="131"/>
    </row>
    <row r="4" spans="1:7" x14ac:dyDescent="0.25">
      <c r="A4" s="16" t="s">
        <v>165</v>
      </c>
      <c r="B4" s="132">
        <f>B1*0.05</f>
        <v>1343730.1</v>
      </c>
      <c r="C4" s="132"/>
    </row>
    <row r="5" spans="1:7" ht="15.75" customHeight="1" x14ac:dyDescent="0.25">
      <c r="A5" s="16" t="s">
        <v>166</v>
      </c>
      <c r="B5" s="132">
        <f>B1*0.05</f>
        <v>1343730.1</v>
      </c>
      <c r="C5" s="132"/>
    </row>
    <row r="7" spans="1:7" ht="52.5" x14ac:dyDescent="0.25">
      <c r="A7" s="22" t="s">
        <v>5</v>
      </c>
      <c r="B7" s="22" t="s">
        <v>6</v>
      </c>
      <c r="C7" s="21" t="s">
        <v>153</v>
      </c>
      <c r="D7" s="22" t="s">
        <v>177</v>
      </c>
      <c r="E7" s="23" t="s">
        <v>176</v>
      </c>
      <c r="F7" s="22" t="s">
        <v>174</v>
      </c>
      <c r="G7" s="22" t="s">
        <v>171</v>
      </c>
    </row>
    <row r="8" spans="1:7" x14ac:dyDescent="0.25">
      <c r="A8" s="26" t="s">
        <v>173</v>
      </c>
      <c r="B8" s="105" t="s">
        <v>39</v>
      </c>
      <c r="C8" s="116">
        <v>55792</v>
      </c>
      <c r="D8" s="117">
        <v>1269715.2984079563</v>
      </c>
      <c r="E8" s="117">
        <v>992042.04705819068</v>
      </c>
      <c r="F8" s="118">
        <v>324975</v>
      </c>
      <c r="G8" s="118">
        <v>667067.04705819068</v>
      </c>
    </row>
    <row r="9" spans="1:7" x14ac:dyDescent="0.25">
      <c r="A9" s="26"/>
      <c r="B9" s="105" t="s">
        <v>40</v>
      </c>
      <c r="C9" s="116">
        <v>18218</v>
      </c>
      <c r="D9" s="117"/>
      <c r="E9" s="117">
        <v>277673.25134976552</v>
      </c>
      <c r="F9" s="118">
        <v>59853</v>
      </c>
      <c r="G9" s="118">
        <v>217820.25134976552</v>
      </c>
    </row>
    <row r="10" spans="1:7" ht="9.6" customHeight="1" x14ac:dyDescent="0.25">
      <c r="A10" s="34"/>
      <c r="B10" s="106"/>
      <c r="C10" s="119"/>
      <c r="D10" s="121"/>
      <c r="E10" s="121"/>
      <c r="F10" s="122"/>
      <c r="G10" s="122"/>
    </row>
    <row r="11" spans="1:7" x14ac:dyDescent="0.25">
      <c r="A11" s="26" t="s">
        <v>167</v>
      </c>
      <c r="B11" s="105" t="s">
        <v>12</v>
      </c>
      <c r="C11" s="116">
        <v>27115</v>
      </c>
      <c r="D11" s="117">
        <v>407786.6370265063</v>
      </c>
      <c r="E11" s="117">
        <v>407786.6370265063</v>
      </c>
      <c r="F11" s="118">
        <v>83591</v>
      </c>
      <c r="G11" s="118">
        <v>324195.6370265063</v>
      </c>
    </row>
    <row r="12" spans="1:7" ht="9.6" customHeight="1" x14ac:dyDescent="0.25">
      <c r="A12" s="34"/>
      <c r="B12" s="106"/>
      <c r="C12" s="119"/>
      <c r="D12" s="121"/>
      <c r="E12" s="121"/>
      <c r="F12" s="122"/>
      <c r="G12" s="122"/>
    </row>
    <row r="13" spans="1:7" x14ac:dyDescent="0.25">
      <c r="A13" s="26" t="s">
        <v>13</v>
      </c>
      <c r="B13" s="105" t="s">
        <v>14</v>
      </c>
      <c r="C13" s="116">
        <v>17732</v>
      </c>
      <c r="D13" s="117">
        <v>560500.36024951469</v>
      </c>
      <c r="E13" s="117">
        <v>212009.47946723251</v>
      </c>
      <c r="F13" s="120">
        <v>0</v>
      </c>
      <c r="G13" s="118">
        <v>212009.47946723251</v>
      </c>
    </row>
    <row r="14" spans="1:7" x14ac:dyDescent="0.25">
      <c r="A14" s="26"/>
      <c r="B14" s="105" t="s">
        <v>15</v>
      </c>
      <c r="C14" s="116">
        <v>15102</v>
      </c>
      <c r="D14" s="117"/>
      <c r="E14" s="117">
        <v>180564.35590537704</v>
      </c>
      <c r="F14" s="120">
        <v>0</v>
      </c>
      <c r="G14" s="118">
        <v>180564.35590537704</v>
      </c>
    </row>
    <row r="15" spans="1:7" x14ac:dyDescent="0.25">
      <c r="A15" s="26"/>
      <c r="B15" s="105" t="s">
        <v>16</v>
      </c>
      <c r="C15" s="116">
        <v>14045</v>
      </c>
      <c r="D15" s="117"/>
      <c r="E15" s="117">
        <v>167926.52487690508</v>
      </c>
      <c r="F15" s="120">
        <v>0</v>
      </c>
      <c r="G15" s="118">
        <v>167926.52487690508</v>
      </c>
    </row>
    <row r="16" spans="1:7" ht="9.6" customHeight="1" x14ac:dyDescent="0.25">
      <c r="A16" s="34"/>
      <c r="B16" s="106"/>
      <c r="C16" s="119"/>
      <c r="D16" s="121"/>
      <c r="E16" s="121"/>
      <c r="F16" s="122"/>
      <c r="G16" s="122"/>
    </row>
    <row r="17" spans="1:7" x14ac:dyDescent="0.25">
      <c r="A17" s="26" t="s">
        <v>17</v>
      </c>
      <c r="B17" s="105" t="s">
        <v>18</v>
      </c>
      <c r="C17" s="116">
        <v>2205</v>
      </c>
      <c r="D17" s="117">
        <v>320195.97177325108</v>
      </c>
      <c r="E17" s="117">
        <v>26363.687244825607</v>
      </c>
      <c r="F17" s="120">
        <v>0</v>
      </c>
      <c r="G17" s="118">
        <v>26363.687244825607</v>
      </c>
    </row>
    <row r="18" spans="1:7" x14ac:dyDescent="0.25">
      <c r="A18" s="26"/>
      <c r="B18" s="105" t="s">
        <v>19</v>
      </c>
      <c r="C18" s="116">
        <v>5629</v>
      </c>
      <c r="D18" s="117"/>
      <c r="E18" s="117">
        <v>76879.331115111418</v>
      </c>
      <c r="F18" s="120">
        <f>(5629/21514)*36604</f>
        <v>9577.2016361439055</v>
      </c>
      <c r="G18" s="118">
        <v>67302.129478967516</v>
      </c>
    </row>
    <row r="19" spans="1:7" x14ac:dyDescent="0.25">
      <c r="A19" s="26"/>
      <c r="B19" s="105" t="s">
        <v>20</v>
      </c>
      <c r="C19" s="116">
        <v>15885</v>
      </c>
      <c r="D19" s="117"/>
      <c r="E19" s="117">
        <v>216952.95341331407</v>
      </c>
      <c r="F19" s="120">
        <f>(15885/21514)*36604</f>
        <v>27026.798363856091</v>
      </c>
      <c r="G19" s="118">
        <v>189926.15504945797</v>
      </c>
    </row>
    <row r="20" spans="1:7" x14ac:dyDescent="0.25">
      <c r="A20" s="34"/>
      <c r="B20" s="106"/>
      <c r="C20" s="119"/>
      <c r="D20" s="121"/>
      <c r="E20" s="121"/>
      <c r="F20" s="122"/>
      <c r="G20" s="122"/>
    </row>
    <row r="21" spans="1:7" x14ac:dyDescent="0.25">
      <c r="A21" s="26" t="s">
        <v>21</v>
      </c>
      <c r="B21" s="105" t="s">
        <v>22</v>
      </c>
      <c r="C21" s="116">
        <v>24642</v>
      </c>
      <c r="D21" s="117">
        <v>468048.65582176537</v>
      </c>
      <c r="E21" s="117">
        <v>468048.65582176537</v>
      </c>
      <c r="F21" s="118">
        <v>173421</v>
      </c>
      <c r="G21" s="118">
        <v>294627.65582176537</v>
      </c>
    </row>
    <row r="22" spans="1:7" ht="9.6" customHeight="1" x14ac:dyDescent="0.25">
      <c r="A22" s="34"/>
      <c r="B22" s="106"/>
      <c r="C22" s="119"/>
      <c r="D22" s="121"/>
      <c r="E22" s="121"/>
      <c r="F22" s="122"/>
      <c r="G22" s="122"/>
    </row>
    <row r="23" spans="1:7" x14ac:dyDescent="0.25">
      <c r="A23" s="26" t="s">
        <v>158</v>
      </c>
      <c r="B23" s="105" t="s">
        <v>86</v>
      </c>
      <c r="C23" s="116">
        <v>9404</v>
      </c>
      <c r="D23" s="117">
        <v>1239432.529232044</v>
      </c>
      <c r="E23" s="117">
        <v>112437.24029493879</v>
      </c>
      <c r="F23" s="120">
        <v>0</v>
      </c>
      <c r="G23" s="118">
        <v>112437.24029493879</v>
      </c>
    </row>
    <row r="24" spans="1:7" x14ac:dyDescent="0.25">
      <c r="A24" s="26"/>
      <c r="B24" s="105" t="s">
        <v>87</v>
      </c>
      <c r="C24" s="116">
        <v>46899</v>
      </c>
      <c r="D24" s="117"/>
      <c r="E24" s="117">
        <v>623825.48666443361</v>
      </c>
      <c r="F24" s="120">
        <v>63086</v>
      </c>
      <c r="G24" s="118">
        <v>560739.48666443361</v>
      </c>
    </row>
    <row r="25" spans="1:7" x14ac:dyDescent="0.25">
      <c r="A25" s="26"/>
      <c r="B25" s="105" t="s">
        <v>88</v>
      </c>
      <c r="C25" s="116">
        <v>18514</v>
      </c>
      <c r="D25" s="117"/>
      <c r="E25" s="117">
        <v>221359.32229056748</v>
      </c>
      <c r="F25" s="120">
        <v>0</v>
      </c>
      <c r="G25" s="118">
        <v>221359.32229056748</v>
      </c>
    </row>
    <row r="26" spans="1:7" x14ac:dyDescent="0.25">
      <c r="A26" s="26"/>
      <c r="B26" s="105" t="s">
        <v>89</v>
      </c>
      <c r="C26" s="116">
        <v>23570</v>
      </c>
      <c r="D26" s="117"/>
      <c r="E26" s="117">
        <v>281810.47998210415</v>
      </c>
      <c r="F26" s="120">
        <v>0</v>
      </c>
      <c r="G26" s="118">
        <v>281810.47998210415</v>
      </c>
    </row>
    <row r="27" spans="1:7" ht="9.6" customHeight="1" x14ac:dyDescent="0.25">
      <c r="A27" s="34"/>
      <c r="B27" s="106"/>
      <c r="C27" s="119"/>
      <c r="D27" s="121"/>
      <c r="E27" s="121"/>
      <c r="F27" s="122"/>
      <c r="G27" s="122"/>
    </row>
    <row r="28" spans="1:7" x14ac:dyDescent="0.25">
      <c r="A28" s="26" t="s">
        <v>23</v>
      </c>
      <c r="B28" s="105" t="s">
        <v>24</v>
      </c>
      <c r="C28" s="116">
        <v>151386</v>
      </c>
      <c r="D28" s="117">
        <v>2652422.5724467891</v>
      </c>
      <c r="E28" s="117">
        <v>2652422.5724467891</v>
      </c>
      <c r="F28" s="118">
        <v>842403</v>
      </c>
      <c r="G28" s="118">
        <v>1810019.5724467891</v>
      </c>
    </row>
    <row r="29" spans="1:7" ht="9.6" customHeight="1" x14ac:dyDescent="0.25">
      <c r="A29" s="34"/>
      <c r="B29" s="106"/>
      <c r="C29" s="119"/>
      <c r="D29" s="121"/>
      <c r="E29" s="121"/>
      <c r="F29" s="122"/>
      <c r="G29" s="122"/>
    </row>
    <row r="30" spans="1:7" x14ac:dyDescent="0.25">
      <c r="A30" s="45" t="s">
        <v>25</v>
      </c>
      <c r="B30" s="105" t="s">
        <v>26</v>
      </c>
      <c r="C30" s="116">
        <v>5212</v>
      </c>
      <c r="D30" s="117">
        <v>397784.86773251119</v>
      </c>
      <c r="E30" s="117">
        <v>62316.343727905252</v>
      </c>
      <c r="F30" s="118">
        <v>0</v>
      </c>
      <c r="G30" s="118">
        <v>62316.343727905252</v>
      </c>
    </row>
    <row r="31" spans="1:7" x14ac:dyDescent="0.25">
      <c r="A31" s="45"/>
      <c r="B31" s="105" t="s">
        <v>27</v>
      </c>
      <c r="C31" s="116">
        <v>12128</v>
      </c>
      <c r="D31" s="117"/>
      <c r="E31" s="117">
        <v>152142.25800691385</v>
      </c>
      <c r="F31" s="118">
        <v>7136</v>
      </c>
      <c r="G31" s="118">
        <v>145006.25800691385</v>
      </c>
    </row>
    <row r="32" spans="1:7" x14ac:dyDescent="0.25">
      <c r="A32" s="45"/>
      <c r="B32" s="105" t="s">
        <v>28</v>
      </c>
      <c r="C32" s="116">
        <v>5632</v>
      </c>
      <c r="D32" s="117"/>
      <c r="E32" s="117">
        <v>67337.998441205375</v>
      </c>
      <c r="F32" s="118">
        <v>0</v>
      </c>
      <c r="G32" s="118">
        <v>67337.998441205375</v>
      </c>
    </row>
    <row r="33" spans="1:7" x14ac:dyDescent="0.25">
      <c r="A33" s="45"/>
      <c r="B33" s="105" t="s">
        <v>162</v>
      </c>
      <c r="C33" s="116">
        <v>4584</v>
      </c>
      <c r="D33" s="117"/>
      <c r="E33" s="117">
        <v>54807.774299446981</v>
      </c>
      <c r="F33" s="118">
        <v>0</v>
      </c>
      <c r="G33" s="118">
        <v>54807.774299446981</v>
      </c>
    </row>
    <row r="34" spans="1:7" ht="23.25" x14ac:dyDescent="0.25">
      <c r="A34" s="45"/>
      <c r="B34" s="105" t="s">
        <v>29</v>
      </c>
      <c r="C34" s="116">
        <v>5117</v>
      </c>
      <c r="D34" s="117"/>
      <c r="E34" s="117">
        <v>61180.49325703975</v>
      </c>
      <c r="F34" s="118">
        <v>0</v>
      </c>
      <c r="G34" s="118">
        <v>61180.49325703975</v>
      </c>
    </row>
    <row r="35" spans="1:7" ht="9.6" customHeight="1" x14ac:dyDescent="0.25">
      <c r="A35" s="34"/>
      <c r="B35" s="106"/>
      <c r="C35" s="119"/>
      <c r="D35" s="121"/>
      <c r="E35" s="121"/>
      <c r="F35" s="122"/>
      <c r="G35" s="122"/>
    </row>
    <row r="36" spans="1:7" x14ac:dyDescent="0.25">
      <c r="A36" s="26" t="s">
        <v>30</v>
      </c>
      <c r="B36" s="105" t="s">
        <v>31</v>
      </c>
      <c r="C36" s="116">
        <v>9945</v>
      </c>
      <c r="D36" s="117">
        <v>384780.06076927588</v>
      </c>
      <c r="E36" s="117">
        <v>131765.73881027158</v>
      </c>
      <c r="F36" s="118">
        <f>(9945/14342)*18546</f>
        <v>12860.128991772417</v>
      </c>
      <c r="G36" s="118">
        <v>118905.60981849917</v>
      </c>
    </row>
    <row r="37" spans="1:7" x14ac:dyDescent="0.25">
      <c r="A37" s="26"/>
      <c r="B37" s="105" t="s">
        <v>32</v>
      </c>
      <c r="C37" s="116">
        <v>16289</v>
      </c>
      <c r="D37" s="117"/>
      <c r="E37" s="117">
        <v>194756.50863082285</v>
      </c>
      <c r="F37" s="118">
        <v>0</v>
      </c>
      <c r="G37" s="118">
        <v>194756.50863082285</v>
      </c>
    </row>
    <row r="38" spans="1:7" x14ac:dyDescent="0.25">
      <c r="A38" s="26"/>
      <c r="B38" s="105" t="s">
        <v>33</v>
      </c>
      <c r="C38" s="116">
        <v>2213</v>
      </c>
      <c r="D38" s="117"/>
      <c r="E38" s="117">
        <v>29321.023628670791</v>
      </c>
      <c r="F38" s="118">
        <f>(2213/14342)*18546</f>
        <v>2861.6858178775624</v>
      </c>
      <c r="G38" s="118">
        <v>26459.337810793229</v>
      </c>
    </row>
    <row r="39" spans="1:7" x14ac:dyDescent="0.25">
      <c r="A39" s="26"/>
      <c r="B39" s="105" t="s">
        <v>34</v>
      </c>
      <c r="C39" s="116">
        <v>2184</v>
      </c>
      <c r="D39" s="117"/>
      <c r="E39" s="117">
        <v>28936.789699510624</v>
      </c>
      <c r="F39" s="118">
        <f>(2184/14342)*18546</f>
        <v>2824.185190350021</v>
      </c>
      <c r="G39" s="118">
        <v>26112.604509160603</v>
      </c>
    </row>
    <row r="40" spans="1:7" ht="9.6" customHeight="1" x14ac:dyDescent="0.25">
      <c r="A40" s="34"/>
      <c r="B40" s="106"/>
      <c r="C40" s="119"/>
      <c r="D40" s="121"/>
      <c r="E40" s="121"/>
      <c r="F40" s="122"/>
      <c r="G40" s="122"/>
    </row>
    <row r="41" spans="1:7" x14ac:dyDescent="0.25">
      <c r="A41" s="26" t="s">
        <v>35</v>
      </c>
      <c r="B41" s="105" t="s">
        <v>36</v>
      </c>
      <c r="C41" s="116">
        <v>33936</v>
      </c>
      <c r="D41" s="117">
        <v>625147.53177021944</v>
      </c>
      <c r="E41" s="117">
        <v>470997.06461735524</v>
      </c>
      <c r="F41" s="118">
        <f>(33936/41621)*80023</f>
        <v>65247.363782705848</v>
      </c>
      <c r="G41" s="118">
        <v>405749.70083464938</v>
      </c>
    </row>
    <row r="42" spans="1:7" x14ac:dyDescent="0.25">
      <c r="A42" s="26"/>
      <c r="B42" s="105" t="s">
        <v>37</v>
      </c>
      <c r="C42" s="116">
        <v>3972</v>
      </c>
      <c r="D42" s="117"/>
      <c r="E42" s="117">
        <v>47490.506002923954</v>
      </c>
      <c r="F42" s="118">
        <v>0</v>
      </c>
      <c r="G42" s="118">
        <v>47490.506002923954</v>
      </c>
    </row>
    <row r="43" spans="1:7" x14ac:dyDescent="0.25">
      <c r="A43" s="26"/>
      <c r="B43" s="105" t="s">
        <v>38</v>
      </c>
      <c r="C43" s="116">
        <v>7685</v>
      </c>
      <c r="D43" s="117"/>
      <c r="E43" s="117">
        <v>106659.96114994033</v>
      </c>
      <c r="F43" s="118">
        <f>(7685/41621)*80023</f>
        <v>14775.636217294155</v>
      </c>
      <c r="G43" s="118">
        <v>91884.324932646166</v>
      </c>
    </row>
    <row r="44" spans="1:7" ht="9.6" customHeight="1" x14ac:dyDescent="0.25">
      <c r="A44" s="34"/>
      <c r="B44" s="106"/>
      <c r="C44" s="119"/>
      <c r="D44" s="121"/>
      <c r="E44" s="121"/>
      <c r="F44" s="122"/>
      <c r="G44" s="122"/>
    </row>
    <row r="45" spans="1:7" x14ac:dyDescent="0.25">
      <c r="A45" s="26" t="s">
        <v>41</v>
      </c>
      <c r="B45" s="105" t="s">
        <v>42</v>
      </c>
      <c r="C45" s="116">
        <v>27440</v>
      </c>
      <c r="D45" s="117">
        <v>414131.44126894092</v>
      </c>
      <c r="E45" s="117">
        <v>414131.44126894092</v>
      </c>
      <c r="F45" s="118">
        <v>86050</v>
      </c>
      <c r="G45" s="118">
        <v>328081.44126894092</v>
      </c>
    </row>
    <row r="46" spans="1:7" ht="9.6" customHeight="1" x14ac:dyDescent="0.25">
      <c r="A46" s="34"/>
      <c r="B46" s="106"/>
      <c r="C46" s="119"/>
      <c r="D46" s="121"/>
      <c r="E46" s="121"/>
      <c r="F46" s="122"/>
      <c r="G46" s="122"/>
    </row>
    <row r="47" spans="1:7" x14ac:dyDescent="0.25">
      <c r="A47" s="26" t="s">
        <v>43</v>
      </c>
      <c r="B47" s="105" t="s">
        <v>44</v>
      </c>
      <c r="C47" s="116">
        <v>16419</v>
      </c>
      <c r="D47" s="117">
        <v>988182.74128923262</v>
      </c>
      <c r="E47" s="117">
        <v>212981.83032779669</v>
      </c>
      <c r="F47" s="118">
        <v>16671</v>
      </c>
      <c r="G47" s="118">
        <v>196310.83032779669</v>
      </c>
    </row>
    <row r="48" spans="1:7" x14ac:dyDescent="0.25">
      <c r="A48" s="26"/>
      <c r="B48" s="105" t="s">
        <v>45</v>
      </c>
      <c r="C48" s="116">
        <v>37908</v>
      </c>
      <c r="D48" s="117"/>
      <c r="E48" s="117">
        <v>476292.20683757332</v>
      </c>
      <c r="F48" s="118">
        <v>23052</v>
      </c>
      <c r="G48" s="118">
        <v>453240.20683757332</v>
      </c>
    </row>
    <row r="49" spans="1:7" x14ac:dyDescent="0.25">
      <c r="A49" s="26"/>
      <c r="B49" s="105" t="s">
        <v>46</v>
      </c>
      <c r="C49" s="116">
        <v>24618</v>
      </c>
      <c r="D49" s="117"/>
      <c r="E49" s="117">
        <v>298908.7041238625</v>
      </c>
      <c r="F49" s="118">
        <v>4568</v>
      </c>
      <c r="G49" s="118">
        <v>294340.7041238625</v>
      </c>
    </row>
    <row r="50" spans="1:7" ht="9.6" customHeight="1" x14ac:dyDescent="0.25">
      <c r="A50" s="34"/>
      <c r="B50" s="106"/>
      <c r="C50" s="119"/>
      <c r="D50" s="121"/>
      <c r="E50" s="121"/>
      <c r="F50" s="122"/>
      <c r="G50" s="122"/>
    </row>
    <row r="51" spans="1:7" x14ac:dyDescent="0.25">
      <c r="A51" s="26" t="s">
        <v>47</v>
      </c>
      <c r="B51" s="105" t="s">
        <v>48</v>
      </c>
      <c r="C51" s="116">
        <v>1002</v>
      </c>
      <c r="D51" s="117">
        <v>373181.27579761087</v>
      </c>
      <c r="E51" s="117">
        <v>11980.233387444561</v>
      </c>
      <c r="F51" s="118">
        <v>0</v>
      </c>
      <c r="G51" s="118">
        <v>11980.233387444561</v>
      </c>
    </row>
    <row r="52" spans="1:7" x14ac:dyDescent="0.25">
      <c r="A52" s="26"/>
      <c r="B52" s="105" t="s">
        <v>49</v>
      </c>
      <c r="C52" s="116">
        <v>3310</v>
      </c>
      <c r="D52" s="117"/>
      <c r="E52" s="117">
        <v>46775.508484596525</v>
      </c>
      <c r="F52" s="118">
        <f>(3310/20964)*45602</f>
        <v>7200.0868154932259</v>
      </c>
      <c r="G52" s="118">
        <v>39575.4216691033</v>
      </c>
    </row>
    <row r="53" spans="1:7" x14ac:dyDescent="0.25">
      <c r="A53" s="26"/>
      <c r="B53" s="105" t="s">
        <v>50</v>
      </c>
      <c r="C53" s="116">
        <v>2758</v>
      </c>
      <c r="D53" s="117"/>
      <c r="E53" s="117">
        <v>38974.879879310341</v>
      </c>
      <c r="F53" s="118">
        <f>(2758/20964)*45602</f>
        <v>5999.3472619729055</v>
      </c>
      <c r="G53" s="118">
        <v>32975.532617337434</v>
      </c>
    </row>
    <row r="54" spans="1:7" x14ac:dyDescent="0.25">
      <c r="A54" s="26"/>
      <c r="B54" s="105" t="s">
        <v>51</v>
      </c>
      <c r="C54" s="116">
        <v>3831</v>
      </c>
      <c r="D54" s="117"/>
      <c r="E54" s="117">
        <v>54138.058309513377</v>
      </c>
      <c r="F54" s="118">
        <f>(3831/20964)*45602</f>
        <v>8333.3935317687465</v>
      </c>
      <c r="G54" s="118">
        <v>45804.664777744634</v>
      </c>
    </row>
    <row r="55" spans="1:7" x14ac:dyDescent="0.25">
      <c r="A55" s="26"/>
      <c r="B55" s="105" t="s">
        <v>52</v>
      </c>
      <c r="C55" s="116">
        <v>1794</v>
      </c>
      <c r="D55" s="117"/>
      <c r="E55" s="117">
        <v>25352.04296718011</v>
      </c>
      <c r="F55" s="118">
        <f>(1794/20964)*45602</f>
        <v>3902.4035489410421</v>
      </c>
      <c r="G55" s="118">
        <v>21449.639418239069</v>
      </c>
    </row>
    <row r="56" spans="1:7" x14ac:dyDescent="0.25">
      <c r="A56" s="26"/>
      <c r="B56" s="105" t="s">
        <v>53</v>
      </c>
      <c r="C56" s="116">
        <v>1080</v>
      </c>
      <c r="D56" s="117"/>
      <c r="E56" s="117">
        <v>12912.82640562887</v>
      </c>
      <c r="F56" s="118">
        <v>0</v>
      </c>
      <c r="G56" s="118">
        <v>12912.82640562887</v>
      </c>
    </row>
    <row r="57" spans="1:7" x14ac:dyDescent="0.25">
      <c r="A57" s="26"/>
      <c r="B57" s="105" t="s">
        <v>54</v>
      </c>
      <c r="C57" s="116">
        <v>6978</v>
      </c>
      <c r="D57" s="117"/>
      <c r="E57" s="117">
        <v>98610.120303780815</v>
      </c>
      <c r="F57" s="118">
        <f>(6978/20964)*45602</f>
        <v>15178.914138523181</v>
      </c>
      <c r="G57" s="118">
        <v>83431.206165257638</v>
      </c>
    </row>
    <row r="58" spans="1:7" x14ac:dyDescent="0.25">
      <c r="A58" s="26"/>
      <c r="B58" s="105" t="s">
        <v>55</v>
      </c>
      <c r="C58" s="116">
        <v>2293</v>
      </c>
      <c r="D58" s="117"/>
      <c r="E58" s="117">
        <v>32403.698173770339</v>
      </c>
      <c r="F58" s="118">
        <f>(2293/20964)*45602</f>
        <v>4987.8547033008963</v>
      </c>
      <c r="G58" s="118">
        <v>27415.843470469445</v>
      </c>
    </row>
    <row r="59" spans="1:7" x14ac:dyDescent="0.25">
      <c r="A59" s="26"/>
      <c r="B59" s="105" t="s">
        <v>56</v>
      </c>
      <c r="C59" s="116">
        <v>1018</v>
      </c>
      <c r="D59" s="117"/>
      <c r="E59" s="117">
        <v>12171.534519379806</v>
      </c>
      <c r="F59" s="118">
        <v>0</v>
      </c>
      <c r="G59" s="118">
        <v>12171.534519379806</v>
      </c>
    </row>
    <row r="60" spans="1:7" x14ac:dyDescent="0.25">
      <c r="A60" s="26"/>
      <c r="B60" s="105" t="s">
        <v>57</v>
      </c>
      <c r="C60" s="116">
        <v>3334</v>
      </c>
      <c r="D60" s="117"/>
      <c r="E60" s="117">
        <v>39862.373367006163</v>
      </c>
      <c r="F60" s="118">
        <v>0</v>
      </c>
      <c r="G60" s="118">
        <v>39862.373367006163</v>
      </c>
    </row>
    <row r="61" spans="1:7" ht="9.6" customHeight="1" x14ac:dyDescent="0.25">
      <c r="A61" s="34"/>
      <c r="B61" s="106"/>
      <c r="C61" s="119"/>
      <c r="D61" s="121"/>
      <c r="E61" s="121"/>
      <c r="F61" s="122"/>
      <c r="G61" s="122"/>
    </row>
    <row r="62" spans="1:7" x14ac:dyDescent="0.25">
      <c r="A62" s="26" t="s">
        <v>58</v>
      </c>
      <c r="B62" s="105" t="s">
        <v>59</v>
      </c>
      <c r="C62" s="116">
        <v>69871</v>
      </c>
      <c r="D62" s="117">
        <v>1109642.0868404582</v>
      </c>
      <c r="E62" s="117">
        <v>1109642.0868404582</v>
      </c>
      <c r="F62" s="118">
        <v>274242</v>
      </c>
      <c r="G62" s="118">
        <v>835400.0868404581</v>
      </c>
    </row>
    <row r="63" spans="1:7" ht="9.6" customHeight="1" x14ac:dyDescent="0.25">
      <c r="A63" s="34"/>
      <c r="B63" s="106"/>
      <c r="C63" s="119"/>
      <c r="D63" s="121"/>
      <c r="E63" s="121"/>
      <c r="F63" s="122"/>
      <c r="G63" s="122"/>
    </row>
    <row r="64" spans="1:7" x14ac:dyDescent="0.25">
      <c r="A64" s="45" t="s">
        <v>181</v>
      </c>
      <c r="B64" s="105" t="s">
        <v>64</v>
      </c>
      <c r="C64" s="116">
        <v>5620</v>
      </c>
      <c r="D64" s="117">
        <f>SUM(E64:E67)</f>
        <v>156430.75697008069</v>
      </c>
      <c r="E64" s="117">
        <v>75726.998599931481</v>
      </c>
      <c r="F64" s="118">
        <f>(5620/8336)*12656</f>
        <v>8532.4760076775437</v>
      </c>
      <c r="G64" s="118">
        <v>67194.522592253939</v>
      </c>
    </row>
    <row r="65" spans="1:7" x14ac:dyDescent="0.25">
      <c r="A65" s="45"/>
      <c r="B65" s="105" t="s">
        <v>61</v>
      </c>
      <c r="C65" s="116">
        <v>1935</v>
      </c>
      <c r="D65" s="117"/>
      <c r="E65" s="117">
        <v>23135.480643418392</v>
      </c>
      <c r="F65" s="118">
        <v>0</v>
      </c>
      <c r="G65" s="118">
        <v>23135.480643418392</v>
      </c>
    </row>
    <row r="66" spans="1:7" x14ac:dyDescent="0.25">
      <c r="A66" s="45"/>
      <c r="B66" s="105" t="s">
        <v>62</v>
      </c>
      <c r="C66" s="116">
        <v>1754</v>
      </c>
      <c r="D66" s="117"/>
      <c r="E66" s="117">
        <v>20971.386588400961</v>
      </c>
      <c r="F66" s="118">
        <v>0</v>
      </c>
      <c r="G66" s="118">
        <v>20971.386588400961</v>
      </c>
    </row>
    <row r="67" spans="1:7" x14ac:dyDescent="0.25">
      <c r="A67" s="45"/>
      <c r="B67" s="105" t="s">
        <v>63</v>
      </c>
      <c r="C67" s="116">
        <v>2716</v>
      </c>
      <c r="D67" s="117"/>
      <c r="E67" s="117">
        <v>36596.891138329876</v>
      </c>
      <c r="F67" s="118">
        <f>(2716/8336)*12656</f>
        <v>4123.5239923224572</v>
      </c>
      <c r="G67" s="118">
        <v>32473.367146007418</v>
      </c>
    </row>
    <row r="68" spans="1:7" ht="9.6" customHeight="1" x14ac:dyDescent="0.25">
      <c r="A68" s="34"/>
      <c r="B68" s="106"/>
      <c r="C68" s="119"/>
      <c r="D68" s="121"/>
      <c r="E68" s="121"/>
      <c r="F68" s="122"/>
      <c r="G68" s="122"/>
    </row>
    <row r="69" spans="1:7" x14ac:dyDescent="0.25">
      <c r="A69" s="26" t="s">
        <v>65</v>
      </c>
      <c r="B69" s="105" t="s">
        <v>66</v>
      </c>
      <c r="C69" s="116">
        <v>9401</v>
      </c>
      <c r="D69" s="117">
        <v>542982.40385004668</v>
      </c>
      <c r="E69" s="117">
        <v>167919.89950171503</v>
      </c>
      <c r="F69" s="118">
        <f>(9401/22436)*132498</f>
        <v>55518.528169014084</v>
      </c>
      <c r="G69" s="118">
        <v>112401.37133270093</v>
      </c>
    </row>
    <row r="70" spans="1:7" x14ac:dyDescent="0.25">
      <c r="A70" s="26"/>
      <c r="B70" s="105" t="s">
        <v>67</v>
      </c>
      <c r="C70" s="116">
        <v>8664</v>
      </c>
      <c r="D70" s="117"/>
      <c r="E70" s="117">
        <v>154755.66527846601</v>
      </c>
      <c r="F70" s="118">
        <f>(8664/22436)*132498</f>
        <v>51166.102335532181</v>
      </c>
      <c r="G70" s="118">
        <v>103589.56294293383</v>
      </c>
    </row>
    <row r="71" spans="1:7" x14ac:dyDescent="0.25">
      <c r="A71" s="26"/>
      <c r="B71" s="105" t="s">
        <v>68</v>
      </c>
      <c r="C71" s="116">
        <v>11896</v>
      </c>
      <c r="D71" s="117"/>
      <c r="E71" s="117">
        <v>142232.39159385281</v>
      </c>
      <c r="F71" s="118">
        <v>0</v>
      </c>
      <c r="G71" s="118">
        <v>142232.39159385281</v>
      </c>
    </row>
    <row r="72" spans="1:7" x14ac:dyDescent="0.25">
      <c r="A72" s="26"/>
      <c r="B72" s="105" t="s">
        <v>69</v>
      </c>
      <c r="C72" s="116">
        <v>4371</v>
      </c>
      <c r="D72" s="117"/>
      <c r="E72" s="117">
        <v>78074.447476012807</v>
      </c>
      <c r="F72" s="118">
        <f>(4371/22436)*132498</f>
        <v>25813.369495453735</v>
      </c>
      <c r="G72" s="118">
        <v>52261.077980559065</v>
      </c>
    </row>
    <row r="73" spans="1:7" ht="9.6" customHeight="1" x14ac:dyDescent="0.25">
      <c r="A73" s="34"/>
      <c r="B73" s="106"/>
      <c r="C73" s="119"/>
      <c r="D73" s="121"/>
      <c r="E73" s="121"/>
      <c r="F73" s="122"/>
      <c r="G73" s="122"/>
    </row>
    <row r="74" spans="1:7" x14ac:dyDescent="0.25">
      <c r="A74" s="26" t="s">
        <v>70</v>
      </c>
      <c r="B74" s="105" t="s">
        <v>71</v>
      </c>
      <c r="C74" s="116">
        <v>20081</v>
      </c>
      <c r="D74" s="117">
        <v>1071147.3593236748</v>
      </c>
      <c r="E74" s="117">
        <v>283996.87689947529</v>
      </c>
      <c r="F74" s="118">
        <v>43902</v>
      </c>
      <c r="G74" s="118">
        <v>240094.87689947529</v>
      </c>
    </row>
    <row r="75" spans="1:7" x14ac:dyDescent="0.25">
      <c r="A75" s="26"/>
      <c r="B75" s="105" t="s">
        <v>72</v>
      </c>
      <c r="C75" s="116">
        <v>34776</v>
      </c>
      <c r="D75" s="117"/>
      <c r="E75" s="117">
        <v>483927.01026124961</v>
      </c>
      <c r="F75" s="118">
        <v>68134</v>
      </c>
      <c r="G75" s="118">
        <v>415793.01026124961</v>
      </c>
    </row>
    <row r="76" spans="1:7" x14ac:dyDescent="0.25">
      <c r="A76" s="26"/>
      <c r="B76" s="105" t="s">
        <v>73</v>
      </c>
      <c r="C76" s="116">
        <v>12626</v>
      </c>
      <c r="D76" s="117"/>
      <c r="E76" s="117">
        <v>166323.50573839826</v>
      </c>
      <c r="F76" s="118">
        <v>15363</v>
      </c>
      <c r="G76" s="118">
        <v>150960.50573839826</v>
      </c>
    </row>
    <row r="77" spans="1:7" x14ac:dyDescent="0.25">
      <c r="A77" s="26"/>
      <c r="B77" s="105" t="s">
        <v>74</v>
      </c>
      <c r="C77" s="116">
        <v>9685</v>
      </c>
      <c r="D77" s="117"/>
      <c r="E77" s="117">
        <v>136899.9664245515</v>
      </c>
      <c r="F77" s="118">
        <v>21103</v>
      </c>
      <c r="G77" s="118">
        <v>115796.96642455149</v>
      </c>
    </row>
    <row r="78" spans="1:7" ht="9.6" customHeight="1" x14ac:dyDescent="0.25">
      <c r="A78" s="34"/>
      <c r="B78" s="106"/>
      <c r="C78" s="119"/>
      <c r="D78" s="121"/>
      <c r="E78" s="121"/>
      <c r="F78" s="122"/>
      <c r="G78" s="122"/>
    </row>
    <row r="79" spans="1:7" x14ac:dyDescent="0.25">
      <c r="A79" s="26" t="s">
        <v>75</v>
      </c>
      <c r="B79" s="105" t="s">
        <v>93</v>
      </c>
      <c r="C79" s="116">
        <v>8863</v>
      </c>
      <c r="D79" s="117">
        <f>SUM(E79:E82)</f>
        <v>1309214.6584748453</v>
      </c>
      <c r="E79" s="117">
        <v>180797.62957728011</v>
      </c>
      <c r="F79" s="118">
        <f>(8863/61067)*515578</f>
        <v>74828.758805901714</v>
      </c>
      <c r="G79" s="118">
        <v>105968.8707713784</v>
      </c>
    </row>
    <row r="80" spans="1:7" x14ac:dyDescent="0.25">
      <c r="A80" s="26"/>
      <c r="B80" s="105" t="s">
        <v>76</v>
      </c>
      <c r="C80" s="116">
        <v>5311</v>
      </c>
      <c r="D80" s="117"/>
      <c r="E80" s="117">
        <v>63500.019481754563</v>
      </c>
      <c r="F80" s="118">
        <v>0</v>
      </c>
      <c r="G80" s="118">
        <v>63500.019481754563</v>
      </c>
    </row>
    <row r="81" spans="1:7" x14ac:dyDescent="0.25">
      <c r="A81" s="26"/>
      <c r="B81" s="105" t="s">
        <v>77</v>
      </c>
      <c r="C81" s="116">
        <v>12806</v>
      </c>
      <c r="D81" s="117"/>
      <c r="E81" s="117">
        <v>261231.46162322568</v>
      </c>
      <c r="F81" s="118">
        <f>(12806/61067)*515578</f>
        <v>108118.81815055595</v>
      </c>
      <c r="G81" s="118">
        <v>153112.64347266973</v>
      </c>
    </row>
    <row r="82" spans="1:7" x14ac:dyDescent="0.25">
      <c r="A82" s="26"/>
      <c r="B82" s="105" t="s">
        <v>95</v>
      </c>
      <c r="C82" s="116">
        <v>39398</v>
      </c>
      <c r="D82" s="117"/>
      <c r="E82" s="117">
        <v>803685.5477925851</v>
      </c>
      <c r="F82" s="118">
        <f>(39398/61067)*515578</f>
        <v>332630.42304354231</v>
      </c>
      <c r="G82" s="118">
        <v>471055.12474904279</v>
      </c>
    </row>
    <row r="83" spans="1:7" ht="9.6" customHeight="1" x14ac:dyDescent="0.25">
      <c r="A83" s="34"/>
      <c r="B83" s="106"/>
      <c r="C83" s="119"/>
      <c r="D83" s="121"/>
      <c r="E83" s="121"/>
      <c r="F83" s="122"/>
      <c r="G83" s="122"/>
    </row>
    <row r="84" spans="1:7" x14ac:dyDescent="0.25">
      <c r="A84" s="26" t="s">
        <v>78</v>
      </c>
      <c r="B84" s="105" t="s">
        <v>79</v>
      </c>
      <c r="C84" s="116">
        <v>5923</v>
      </c>
      <c r="D84" s="117">
        <v>391488.64882136928</v>
      </c>
      <c r="E84" s="117">
        <v>71934.28777827759</v>
      </c>
      <c r="F84" s="118">
        <v>1117</v>
      </c>
      <c r="G84" s="118">
        <v>70817.28777827759</v>
      </c>
    </row>
    <row r="85" spans="1:7" x14ac:dyDescent="0.25">
      <c r="A85" s="26"/>
      <c r="B85" s="105" t="s">
        <v>80</v>
      </c>
      <c r="C85" s="116">
        <v>20917</v>
      </c>
      <c r="D85" s="117"/>
      <c r="E85" s="117">
        <v>319554.36104309175</v>
      </c>
      <c r="F85" s="118">
        <v>69464</v>
      </c>
      <c r="G85" s="118">
        <v>250090.36104309172</v>
      </c>
    </row>
    <row r="86" spans="1:7" ht="9.6" customHeight="1" x14ac:dyDescent="0.25">
      <c r="A86" s="34"/>
      <c r="B86" s="106"/>
      <c r="C86" s="119"/>
      <c r="D86" s="121"/>
      <c r="E86" s="121"/>
      <c r="F86" s="122"/>
      <c r="G86" s="122"/>
    </row>
    <row r="87" spans="1:7" x14ac:dyDescent="0.25">
      <c r="A87" s="26" t="s">
        <v>81</v>
      </c>
      <c r="B87" s="105" t="s">
        <v>82</v>
      </c>
      <c r="C87" s="116">
        <v>25281</v>
      </c>
      <c r="D87" s="117">
        <v>828830.34425377822</v>
      </c>
      <c r="E87" s="117">
        <v>320262.7447784291</v>
      </c>
      <c r="F87" s="118">
        <v>17995</v>
      </c>
      <c r="G87" s="118">
        <v>302267.7447784291</v>
      </c>
    </row>
    <row r="88" spans="1:7" x14ac:dyDescent="0.25">
      <c r="A88" s="26"/>
      <c r="B88" s="105" t="s">
        <v>83</v>
      </c>
      <c r="C88" s="116">
        <v>27504</v>
      </c>
      <c r="D88" s="117"/>
      <c r="E88" s="117">
        <v>378286.64579668187</v>
      </c>
      <c r="F88" s="118">
        <v>49440</v>
      </c>
      <c r="G88" s="118">
        <v>328846.64579668187</v>
      </c>
    </row>
    <row r="89" spans="1:7" x14ac:dyDescent="0.25">
      <c r="A89" s="26"/>
      <c r="B89" s="105" t="s">
        <v>84</v>
      </c>
      <c r="C89" s="116">
        <v>10830</v>
      </c>
      <c r="D89" s="117"/>
      <c r="E89" s="117">
        <v>130280.95367866728</v>
      </c>
      <c r="F89" s="118">
        <v>794</v>
      </c>
      <c r="G89" s="118">
        <v>129486.95367866728</v>
      </c>
    </row>
    <row r="90" spans="1:7" ht="9.6" customHeight="1" x14ac:dyDescent="0.25">
      <c r="A90" s="34"/>
      <c r="B90" s="106"/>
      <c r="C90" s="119"/>
      <c r="D90" s="121"/>
      <c r="E90" s="121"/>
      <c r="F90" s="122"/>
      <c r="G90" s="122"/>
    </row>
    <row r="91" spans="1:7" x14ac:dyDescent="0.25">
      <c r="A91" s="45" t="s">
        <v>90</v>
      </c>
      <c r="B91" s="105" t="s">
        <v>91</v>
      </c>
      <c r="C91" s="116">
        <v>6061</v>
      </c>
      <c r="D91" s="117">
        <v>126035</v>
      </c>
      <c r="E91" s="117">
        <v>126035</v>
      </c>
      <c r="F91" s="118">
        <v>6035</v>
      </c>
      <c r="G91" s="118">
        <v>120000</v>
      </c>
    </row>
    <row r="92" spans="1:7" ht="9.6" customHeight="1" x14ac:dyDescent="0.25">
      <c r="A92" s="34"/>
      <c r="B92" s="106"/>
      <c r="C92" s="119"/>
      <c r="D92" s="121"/>
      <c r="E92" s="121"/>
      <c r="F92" s="122"/>
      <c r="G92" s="122"/>
    </row>
    <row r="93" spans="1:7" x14ac:dyDescent="0.25">
      <c r="A93" s="26" t="s">
        <v>96</v>
      </c>
      <c r="B93" s="105" t="s">
        <v>97</v>
      </c>
      <c r="C93" s="116">
        <v>8961</v>
      </c>
      <c r="D93" s="117">
        <v>213789.48409007562</v>
      </c>
      <c r="E93" s="117">
        <v>107855.59020448176</v>
      </c>
      <c r="F93" s="118">
        <v>715</v>
      </c>
      <c r="G93" s="118">
        <v>107140.59020448176</v>
      </c>
    </row>
    <row r="94" spans="1:7" x14ac:dyDescent="0.25">
      <c r="A94" s="26"/>
      <c r="B94" s="105" t="s">
        <v>98</v>
      </c>
      <c r="C94" s="116">
        <v>8748</v>
      </c>
      <c r="D94" s="117"/>
      <c r="E94" s="117">
        <v>105933.89388559386</v>
      </c>
      <c r="F94" s="118">
        <v>1340</v>
      </c>
      <c r="G94" s="118">
        <v>104593.89388559386</v>
      </c>
    </row>
    <row r="95" spans="1:7" ht="9.6" customHeight="1" x14ac:dyDescent="0.25">
      <c r="A95" s="34"/>
      <c r="B95" s="106"/>
      <c r="C95" s="119"/>
      <c r="D95" s="121"/>
      <c r="E95" s="121"/>
      <c r="F95" s="122"/>
      <c r="G95" s="122"/>
    </row>
    <row r="96" spans="1:7" x14ac:dyDescent="0.25">
      <c r="A96" s="26" t="s">
        <v>99</v>
      </c>
      <c r="B96" s="105" t="s">
        <v>100</v>
      </c>
      <c r="C96" s="116">
        <v>13925</v>
      </c>
      <c r="D96" s="117">
        <v>637337.73409203137</v>
      </c>
      <c r="E96" s="117">
        <v>167283.76638739076</v>
      </c>
      <c r="F96" s="118">
        <v>792</v>
      </c>
      <c r="G96" s="118">
        <v>166491.76638739076</v>
      </c>
    </row>
    <row r="97" spans="1:7" x14ac:dyDescent="0.25">
      <c r="A97" s="26"/>
      <c r="B97" s="105" t="s">
        <v>101</v>
      </c>
      <c r="C97" s="116">
        <v>16796</v>
      </c>
      <c r="D97" s="117"/>
      <c r="E97" s="117">
        <v>231586.36324902085</v>
      </c>
      <c r="F97" s="118">
        <v>30768</v>
      </c>
      <c r="G97" s="118">
        <v>200818.36324902085</v>
      </c>
    </row>
    <row r="98" spans="1:7" x14ac:dyDescent="0.25">
      <c r="A98" s="26"/>
      <c r="B98" s="105" t="s">
        <v>102</v>
      </c>
      <c r="C98" s="116">
        <v>19057</v>
      </c>
      <c r="D98" s="117"/>
      <c r="E98" s="117">
        <v>238467.60445561979</v>
      </c>
      <c r="F98" s="118">
        <v>10616</v>
      </c>
      <c r="G98" s="118">
        <v>227851.60445561979</v>
      </c>
    </row>
    <row r="99" spans="1:7" ht="9.6" customHeight="1" x14ac:dyDescent="0.25">
      <c r="A99" s="34"/>
      <c r="B99" s="106"/>
      <c r="C99" s="119"/>
      <c r="D99" s="121"/>
      <c r="E99" s="121"/>
      <c r="F99" s="122"/>
      <c r="G99" s="122"/>
    </row>
    <row r="100" spans="1:7" x14ac:dyDescent="0.25">
      <c r="A100" s="26" t="s">
        <v>103</v>
      </c>
      <c r="B100" s="105" t="s">
        <v>104</v>
      </c>
      <c r="C100" s="116">
        <v>112936</v>
      </c>
      <c r="D100" s="117">
        <v>1415889.0397649093</v>
      </c>
      <c r="E100" s="117">
        <v>1415889.0397649093</v>
      </c>
      <c r="F100" s="118">
        <v>65590</v>
      </c>
      <c r="G100" s="118">
        <v>1350299.0397649093</v>
      </c>
    </row>
    <row r="101" spans="1:7" ht="9.6" customHeight="1" x14ac:dyDescent="0.25">
      <c r="A101" s="34"/>
      <c r="B101" s="106"/>
      <c r="C101" s="119"/>
      <c r="D101" s="121"/>
      <c r="E101" s="121"/>
      <c r="F101" s="122"/>
      <c r="G101" s="122"/>
    </row>
    <row r="102" spans="1:7" x14ac:dyDescent="0.25">
      <c r="A102" s="26" t="s">
        <v>105</v>
      </c>
      <c r="B102" s="105" t="s">
        <v>106</v>
      </c>
      <c r="C102" s="116">
        <v>23213</v>
      </c>
      <c r="D102" s="117">
        <v>792813.78732085833</v>
      </c>
      <c r="E102" s="117">
        <v>466473.07347579906</v>
      </c>
      <c r="F102" s="118">
        <v>188931</v>
      </c>
      <c r="G102" s="118">
        <v>277542.07347579906</v>
      </c>
    </row>
    <row r="103" spans="1:7" x14ac:dyDescent="0.25">
      <c r="A103" s="26"/>
      <c r="B103" s="105" t="s">
        <v>107</v>
      </c>
      <c r="C103" s="116">
        <v>24137</v>
      </c>
      <c r="D103" s="117"/>
      <c r="E103" s="117">
        <v>326340.71384505928</v>
      </c>
      <c r="F103" s="118">
        <v>37751</v>
      </c>
      <c r="G103" s="118">
        <v>288589.71384505928</v>
      </c>
    </row>
    <row r="104" spans="1:7" ht="9.6" customHeight="1" x14ac:dyDescent="0.25">
      <c r="A104" s="34"/>
      <c r="B104" s="106"/>
      <c r="C104" s="119"/>
      <c r="D104" s="121"/>
      <c r="E104" s="121"/>
      <c r="F104" s="122"/>
      <c r="G104" s="122"/>
    </row>
    <row r="105" spans="1:7" x14ac:dyDescent="0.25">
      <c r="A105" s="26" t="s">
        <v>108</v>
      </c>
      <c r="B105" s="105" t="s">
        <v>109</v>
      </c>
      <c r="C105" s="116">
        <v>5860</v>
      </c>
      <c r="D105" s="117">
        <v>447841.31156480871</v>
      </c>
      <c r="E105" s="117">
        <v>70064.03957128257</v>
      </c>
      <c r="F105" s="118">
        <v>0</v>
      </c>
      <c r="G105" s="118">
        <v>70064.03957128257</v>
      </c>
    </row>
    <row r="106" spans="1:7" x14ac:dyDescent="0.25">
      <c r="A106" s="26"/>
      <c r="B106" s="105" t="s">
        <v>110</v>
      </c>
      <c r="C106" s="116">
        <v>5564</v>
      </c>
      <c r="D106" s="117"/>
      <c r="E106" s="117">
        <v>69404.691471957965</v>
      </c>
      <c r="F106" s="118">
        <f>(5564/16597)*8590</f>
        <v>2879.7228414773754</v>
      </c>
      <c r="G106" s="118">
        <v>66524.968630480595</v>
      </c>
    </row>
    <row r="107" spans="1:7" x14ac:dyDescent="0.25">
      <c r="A107" s="26"/>
      <c r="B107" s="105" t="s">
        <v>111</v>
      </c>
      <c r="C107" s="116">
        <v>14281</v>
      </c>
      <c r="D107" s="117"/>
      <c r="E107" s="117">
        <v>170748.2165729499</v>
      </c>
      <c r="F107" s="118">
        <v>0</v>
      </c>
      <c r="G107" s="118">
        <v>170748.2165729499</v>
      </c>
    </row>
    <row r="108" spans="1:7" x14ac:dyDescent="0.25">
      <c r="A108" s="26"/>
      <c r="B108" s="105" t="s">
        <v>112</v>
      </c>
      <c r="C108" s="116">
        <v>11033</v>
      </c>
      <c r="D108" s="117"/>
      <c r="E108" s="117">
        <v>137624.36394861829</v>
      </c>
      <c r="F108" s="118">
        <f>(11033/16597)*8590</f>
        <v>5710.2771585226246</v>
      </c>
      <c r="G108" s="118">
        <v>131914.08679009567</v>
      </c>
    </row>
    <row r="109" spans="1:7" ht="9.6" customHeight="1" x14ac:dyDescent="0.25">
      <c r="A109" s="34"/>
      <c r="B109" s="106"/>
      <c r="C109" s="119"/>
      <c r="D109" s="121"/>
      <c r="E109" s="121"/>
      <c r="F109" s="122"/>
      <c r="G109" s="122"/>
    </row>
    <row r="110" spans="1:7" x14ac:dyDescent="0.25">
      <c r="A110" s="26" t="s">
        <v>113</v>
      </c>
      <c r="B110" s="105" t="s">
        <v>114</v>
      </c>
      <c r="C110" s="116">
        <v>8750</v>
      </c>
      <c r="D110" s="117">
        <v>1361624.9610049529</v>
      </c>
      <c r="E110" s="117">
        <v>104617.80652708575</v>
      </c>
      <c r="F110" s="118">
        <v>0</v>
      </c>
      <c r="G110" s="118">
        <v>104617.80652708575</v>
      </c>
    </row>
    <row r="111" spans="1:7" x14ac:dyDescent="0.25">
      <c r="A111" s="26"/>
      <c r="B111" s="105" t="s">
        <v>115</v>
      </c>
      <c r="C111" s="116">
        <v>18438</v>
      </c>
      <c r="D111" s="117"/>
      <c r="E111" s="117">
        <v>227379.33731047122</v>
      </c>
      <c r="F111" s="118">
        <f>(18438/79615)*29918</f>
        <v>6928.6953965961184</v>
      </c>
      <c r="G111" s="118">
        <v>220450.64191387509</v>
      </c>
    </row>
    <row r="112" spans="1:7" x14ac:dyDescent="0.25">
      <c r="A112" s="26"/>
      <c r="B112" s="105" t="s">
        <v>116</v>
      </c>
      <c r="C112" s="116">
        <v>13119</v>
      </c>
      <c r="D112" s="117"/>
      <c r="E112" s="117">
        <v>156854.97186615289</v>
      </c>
      <c r="F112" s="118">
        <v>0</v>
      </c>
      <c r="G112" s="118">
        <v>156854.97186615289</v>
      </c>
    </row>
    <row r="113" spans="1:7" x14ac:dyDescent="0.25">
      <c r="A113" s="26"/>
      <c r="B113" s="105" t="s">
        <v>117</v>
      </c>
      <c r="C113" s="116">
        <v>9897</v>
      </c>
      <c r="D113" s="117"/>
      <c r="E113" s="117">
        <v>118331.70642269346</v>
      </c>
      <c r="F113" s="118">
        <v>0</v>
      </c>
      <c r="G113" s="118">
        <v>118331.70642269346</v>
      </c>
    </row>
    <row r="114" spans="1:7" x14ac:dyDescent="0.25">
      <c r="A114" s="26"/>
      <c r="B114" s="105" t="s">
        <v>118</v>
      </c>
      <c r="C114" s="116">
        <v>8502</v>
      </c>
      <c r="D114" s="117"/>
      <c r="E114" s="117">
        <v>104847.54994107962</v>
      </c>
      <c r="F114" s="118">
        <f>(8502/79615)*29918</f>
        <v>3194.91095899014</v>
      </c>
      <c r="G114" s="118">
        <v>101652.63898208948</v>
      </c>
    </row>
    <row r="115" spans="1:7" x14ac:dyDescent="0.25">
      <c r="A115" s="26"/>
      <c r="B115" s="105" t="s">
        <v>119</v>
      </c>
      <c r="C115" s="116">
        <v>43106</v>
      </c>
      <c r="D115" s="117"/>
      <c r="E115" s="117">
        <v>531587.68381088902</v>
      </c>
      <c r="F115" s="118">
        <f>(43106/79615)*29918</f>
        <v>16198.521735853796</v>
      </c>
      <c r="G115" s="118">
        <v>515389.16207503522</v>
      </c>
    </row>
    <row r="116" spans="1:7" x14ac:dyDescent="0.25">
      <c r="A116" s="26"/>
      <c r="B116" s="105" t="s">
        <v>120</v>
      </c>
      <c r="C116" s="116">
        <v>9569</v>
      </c>
      <c r="D116" s="117"/>
      <c r="E116" s="117">
        <v>118005.90512658092</v>
      </c>
      <c r="F116" s="118">
        <f>(9569/79615)*29918</f>
        <v>3595.8719085599446</v>
      </c>
      <c r="G116" s="118">
        <v>114410.03321802098</v>
      </c>
    </row>
    <row r="117" spans="1:7" ht="9.6" customHeight="1" x14ac:dyDescent="0.25">
      <c r="A117" s="34"/>
      <c r="B117" s="106"/>
      <c r="C117" s="119"/>
      <c r="D117" s="121"/>
      <c r="E117" s="121"/>
      <c r="F117" s="122"/>
      <c r="G117" s="122"/>
    </row>
    <row r="118" spans="1:7" x14ac:dyDescent="0.25">
      <c r="A118" s="45" t="s">
        <v>121</v>
      </c>
      <c r="B118" s="107" t="s">
        <v>122</v>
      </c>
      <c r="C118" s="116">
        <v>4317</v>
      </c>
      <c r="D118" s="117">
        <v>597954.23946200067</v>
      </c>
      <c r="E118" s="117">
        <v>89412.436660277628</v>
      </c>
      <c r="F118" s="118">
        <v>37797</v>
      </c>
      <c r="G118" s="118">
        <v>51615.436660277621</v>
      </c>
    </row>
    <row r="119" spans="1:7" x14ac:dyDescent="0.25">
      <c r="A119" s="45"/>
      <c r="B119" s="107" t="s">
        <v>123</v>
      </c>
      <c r="C119" s="116">
        <v>7236</v>
      </c>
      <c r="D119" s="117"/>
      <c r="E119" s="117">
        <v>145695.93691771344</v>
      </c>
      <c r="F119" s="118">
        <v>59180</v>
      </c>
      <c r="G119" s="118">
        <v>86515.936917713421</v>
      </c>
    </row>
    <row r="120" spans="1:7" x14ac:dyDescent="0.25">
      <c r="A120" s="45"/>
      <c r="B120" s="107" t="s">
        <v>124</v>
      </c>
      <c r="C120" s="116">
        <v>17540</v>
      </c>
      <c r="D120" s="117"/>
      <c r="E120" s="117">
        <v>362845.86588400963</v>
      </c>
      <c r="F120" s="118">
        <v>153132</v>
      </c>
      <c r="G120" s="118">
        <v>209713.8658840096</v>
      </c>
    </row>
    <row r="121" spans="1:7" ht="9.6" customHeight="1" x14ac:dyDescent="0.25">
      <c r="A121" s="34"/>
      <c r="B121" s="106"/>
      <c r="C121" s="119"/>
      <c r="D121" s="121"/>
      <c r="E121" s="121"/>
      <c r="F121" s="122"/>
      <c r="G121" s="122"/>
    </row>
    <row r="122" spans="1:7" x14ac:dyDescent="0.25">
      <c r="A122" s="26" t="s">
        <v>125</v>
      </c>
      <c r="B122" s="105" t="s">
        <v>126</v>
      </c>
      <c r="C122" s="116">
        <v>23279</v>
      </c>
      <c r="D122" s="117">
        <v>351194.19064503192</v>
      </c>
      <c r="E122" s="117">
        <v>351194.19064503192</v>
      </c>
      <c r="F122" s="118">
        <v>72863</v>
      </c>
      <c r="G122" s="118">
        <v>278331.19064503192</v>
      </c>
    </row>
    <row r="123" spans="1:7" ht="9.6" customHeight="1" x14ac:dyDescent="0.25">
      <c r="A123" s="34"/>
      <c r="B123" s="106"/>
      <c r="C123" s="119"/>
      <c r="D123" s="121"/>
      <c r="E123" s="121"/>
      <c r="F123" s="122"/>
      <c r="G123" s="122"/>
    </row>
    <row r="124" spans="1:7" x14ac:dyDescent="0.25">
      <c r="A124" s="45" t="s">
        <v>157</v>
      </c>
      <c r="B124" s="105" t="s">
        <v>130</v>
      </c>
      <c r="C124" s="116">
        <v>3041</v>
      </c>
      <c r="D124" s="117">
        <v>376777</v>
      </c>
      <c r="E124" s="117">
        <v>44572.91</v>
      </c>
      <c r="F124" s="118">
        <v>0</v>
      </c>
      <c r="G124" s="118">
        <v>44572.91</v>
      </c>
    </row>
    <row r="125" spans="1:7" x14ac:dyDescent="0.25">
      <c r="A125" s="45"/>
      <c r="B125" s="105" t="s">
        <v>127</v>
      </c>
      <c r="C125" s="116">
        <v>2894</v>
      </c>
      <c r="E125" s="117">
        <v>42418.28</v>
      </c>
      <c r="F125" s="118">
        <v>0</v>
      </c>
      <c r="G125" s="118">
        <v>42418.28</v>
      </c>
    </row>
    <row r="126" spans="1:7" x14ac:dyDescent="0.25">
      <c r="A126" s="45"/>
      <c r="B126" s="105" t="s">
        <v>128</v>
      </c>
      <c r="C126" s="116">
        <v>12227</v>
      </c>
      <c r="D126" s="117"/>
      <c r="E126" s="117">
        <v>224012.84470379972</v>
      </c>
      <c r="F126" s="118">
        <f>(12227/15817)*57951</f>
        <v>44797.804703799709</v>
      </c>
      <c r="G126" s="118">
        <v>179215.04</v>
      </c>
    </row>
    <row r="127" spans="1:7" x14ac:dyDescent="0.25">
      <c r="A127" s="45"/>
      <c r="B127" s="105" t="s">
        <v>129</v>
      </c>
      <c r="C127" s="116">
        <v>3590</v>
      </c>
      <c r="D127" s="117"/>
      <c r="E127" s="117">
        <v>65772.965296200287</v>
      </c>
      <c r="F127" s="118">
        <f>(3590/15817)*57951</f>
        <v>13153.195296200291</v>
      </c>
      <c r="G127" s="118">
        <v>52619.77</v>
      </c>
    </row>
    <row r="128" spans="1:7" ht="9.6" customHeight="1" x14ac:dyDescent="0.25">
      <c r="A128" s="34"/>
      <c r="B128" s="106"/>
      <c r="C128" s="119"/>
      <c r="D128" s="121"/>
      <c r="E128" s="121"/>
      <c r="F128" s="122"/>
      <c r="G128" s="122"/>
    </row>
    <row r="129" spans="1:7" x14ac:dyDescent="0.25">
      <c r="A129" s="26" t="s">
        <v>131</v>
      </c>
      <c r="B129" s="105" t="s">
        <v>132</v>
      </c>
      <c r="C129" s="116">
        <v>28355</v>
      </c>
      <c r="D129" s="117">
        <v>357821.47475148761</v>
      </c>
      <c r="E129" s="117">
        <v>357821.47475148761</v>
      </c>
      <c r="F129" s="118">
        <v>18800</v>
      </c>
      <c r="G129" s="118">
        <v>339021.47475148761</v>
      </c>
    </row>
    <row r="130" spans="1:7" ht="9.6" customHeight="1" x14ac:dyDescent="0.25">
      <c r="A130" s="34"/>
      <c r="B130" s="106"/>
      <c r="C130" s="119"/>
      <c r="D130" s="121"/>
      <c r="E130" s="121"/>
      <c r="F130" s="122"/>
      <c r="G130" s="122"/>
    </row>
    <row r="131" spans="1:7" x14ac:dyDescent="0.25">
      <c r="A131" s="26" t="s">
        <v>133</v>
      </c>
      <c r="B131" s="105" t="s">
        <v>134</v>
      </c>
      <c r="C131" s="116">
        <v>86041</v>
      </c>
      <c r="D131" s="117">
        <v>1345316.7933025127</v>
      </c>
      <c r="E131" s="117">
        <v>1345316.7933025127</v>
      </c>
      <c r="F131" s="118">
        <v>316583</v>
      </c>
      <c r="G131" s="118">
        <v>1028733.7933025126</v>
      </c>
    </row>
    <row r="132" spans="1:7" ht="9.6" customHeight="1" x14ac:dyDescent="0.25">
      <c r="A132" s="34"/>
      <c r="B132" s="106"/>
      <c r="C132" s="119"/>
      <c r="D132" s="121"/>
      <c r="E132" s="121"/>
      <c r="F132" s="122"/>
      <c r="G132" s="122"/>
    </row>
    <row r="133" spans="1:7" x14ac:dyDescent="0.25">
      <c r="A133" s="26" t="s">
        <v>135</v>
      </c>
      <c r="B133" s="105" t="s">
        <v>136</v>
      </c>
      <c r="C133" s="116">
        <v>14185</v>
      </c>
      <c r="D133" s="117">
        <v>267914.64225712285</v>
      </c>
      <c r="E133" s="117">
        <v>170280.83323914741</v>
      </c>
      <c r="F133" s="118">
        <f>(14185/19388)*930</f>
        <v>680.42345780895391</v>
      </c>
      <c r="G133" s="118">
        <v>169600.40978133844</v>
      </c>
    </row>
    <row r="134" spans="1:7" x14ac:dyDescent="0.25">
      <c r="A134" s="53" t="s">
        <v>135</v>
      </c>
      <c r="B134" s="105" t="s">
        <v>137</v>
      </c>
      <c r="C134" s="116">
        <v>2942</v>
      </c>
      <c r="D134" s="117"/>
      <c r="E134" s="117">
        <v>35175.49563459272</v>
      </c>
      <c r="F134" s="118">
        <v>0</v>
      </c>
      <c r="G134" s="118">
        <v>35175.49563459272</v>
      </c>
    </row>
    <row r="135" spans="1:7" x14ac:dyDescent="0.25">
      <c r="A135" s="53" t="s">
        <v>135</v>
      </c>
      <c r="B135" s="105" t="s">
        <v>138</v>
      </c>
      <c r="C135" s="116">
        <v>5203</v>
      </c>
      <c r="D135" s="117"/>
      <c r="E135" s="117">
        <v>62458.313383382723</v>
      </c>
      <c r="F135" s="118">
        <f>(5203/19388)*930</f>
        <v>249.576542191046</v>
      </c>
      <c r="G135" s="118">
        <v>62208.736841191676</v>
      </c>
    </row>
    <row r="136" spans="1:7" ht="9.6" customHeight="1" x14ac:dyDescent="0.25">
      <c r="A136" s="34"/>
      <c r="B136" s="106"/>
      <c r="C136" s="119"/>
      <c r="D136" s="121"/>
      <c r="E136" s="121"/>
      <c r="F136" s="122"/>
      <c r="G136" s="122"/>
    </row>
    <row r="137" spans="1:7" x14ac:dyDescent="0.25">
      <c r="A137" s="26" t="s">
        <v>139</v>
      </c>
      <c r="B137" s="105" t="s">
        <v>140</v>
      </c>
      <c r="C137" s="116">
        <v>5681</v>
      </c>
      <c r="D137" s="117">
        <v>383785.93962433439</v>
      </c>
      <c r="E137" s="117">
        <v>67923.858157757044</v>
      </c>
      <c r="F137" s="118">
        <v>0</v>
      </c>
      <c r="G137" s="118">
        <v>67923.858157757044</v>
      </c>
    </row>
    <row r="138" spans="1:7" x14ac:dyDescent="0.25">
      <c r="A138" s="54" t="s">
        <v>139</v>
      </c>
      <c r="B138" s="105" t="s">
        <v>141</v>
      </c>
      <c r="C138" s="116">
        <v>6355</v>
      </c>
      <c r="D138" s="117"/>
      <c r="E138" s="117">
        <v>75982.418340529141</v>
      </c>
      <c r="F138" s="118">
        <v>0</v>
      </c>
      <c r="G138" s="118">
        <v>75982.418340529141</v>
      </c>
    </row>
    <row r="139" spans="1:7" x14ac:dyDescent="0.25">
      <c r="A139" s="54" t="s">
        <v>139</v>
      </c>
      <c r="B139" s="105" t="s">
        <v>142</v>
      </c>
      <c r="C139" s="116">
        <v>13633</v>
      </c>
      <c r="D139" s="117"/>
      <c r="E139" s="117">
        <v>163000.5207295726</v>
      </c>
      <c r="F139" s="118">
        <v>0</v>
      </c>
      <c r="G139" s="118">
        <v>163000.5207295726</v>
      </c>
    </row>
    <row r="140" spans="1:7" x14ac:dyDescent="0.25">
      <c r="A140" s="54" t="s">
        <v>139</v>
      </c>
      <c r="B140" s="105" t="s">
        <v>143</v>
      </c>
      <c r="C140" s="116">
        <v>6430</v>
      </c>
      <c r="D140" s="117"/>
      <c r="E140" s="117">
        <v>76879.142396475581</v>
      </c>
      <c r="F140" s="118">
        <v>0</v>
      </c>
      <c r="G140" s="118">
        <v>76879.142396475581</v>
      </c>
    </row>
    <row r="141" spans="1:7" x14ac:dyDescent="0.25">
      <c r="A141" s="10"/>
      <c r="B141" s="10"/>
      <c r="C141" s="111"/>
      <c r="D141" s="123"/>
      <c r="E141" s="4"/>
      <c r="F141" s="10"/>
      <c r="G141" s="10"/>
    </row>
    <row r="142" spans="1:7" ht="52.5" x14ac:dyDescent="0.25">
      <c r="A142" s="124" t="s">
        <v>144</v>
      </c>
      <c r="B142" s="23" t="s">
        <v>180</v>
      </c>
      <c r="C142" s="4"/>
      <c r="D142" s="4"/>
      <c r="E142" s="4"/>
      <c r="F142" s="10"/>
      <c r="G142" s="10"/>
    </row>
    <row r="143" spans="1:7" x14ac:dyDescent="0.25">
      <c r="A143" s="110" t="s">
        <v>145</v>
      </c>
      <c r="B143" s="112">
        <v>720003.01967000007</v>
      </c>
      <c r="C143" s="4"/>
      <c r="D143" s="4"/>
      <c r="E143" s="4"/>
      <c r="F143" s="10"/>
      <c r="G143" s="10"/>
    </row>
    <row r="144" spans="1:7" x14ac:dyDescent="0.25">
      <c r="A144" s="110" t="s">
        <v>168</v>
      </c>
      <c r="B144" s="114">
        <v>136978.25760000001</v>
      </c>
      <c r="C144" s="4"/>
      <c r="D144" s="4"/>
      <c r="E144" s="4"/>
      <c r="F144" s="10"/>
      <c r="G144" s="10"/>
    </row>
    <row r="145" spans="1:7" x14ac:dyDescent="0.25">
      <c r="A145" s="110" t="s">
        <v>169</v>
      </c>
      <c r="B145" s="114">
        <v>202887.8793</v>
      </c>
      <c r="C145" s="4"/>
      <c r="D145" s="4"/>
      <c r="E145" s="4"/>
      <c r="F145" s="10"/>
      <c r="G145" s="10"/>
    </row>
    <row r="146" spans="1:7" x14ac:dyDescent="0.25">
      <c r="A146" s="110" t="s">
        <v>148</v>
      </c>
      <c r="B146" s="114">
        <v>228580.73275000002</v>
      </c>
      <c r="C146" s="4"/>
      <c r="D146" s="4"/>
      <c r="E146" s="4"/>
      <c r="F146" s="10"/>
      <c r="G146" s="10"/>
    </row>
    <row r="147" spans="1:7" x14ac:dyDescent="0.25">
      <c r="A147" s="110" t="s">
        <v>149</v>
      </c>
      <c r="B147" s="114">
        <v>55280.210680000004</v>
      </c>
      <c r="C147" s="4"/>
      <c r="D147" s="4"/>
      <c r="E147" s="4"/>
      <c r="F147" s="10"/>
      <c r="G147" s="10"/>
    </row>
  </sheetData>
  <mergeCells count="4">
    <mergeCell ref="B1:C1"/>
    <mergeCell ref="B3:C3"/>
    <mergeCell ref="B4:C4"/>
    <mergeCell ref="B5:C5"/>
  </mergeCells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 Carry forward</vt:lpstr>
      <vt:lpstr>Carry forward </vt:lpstr>
      <vt:lpstr>Print format</vt:lpstr>
      <vt:lpstr>Print format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 Denton</dc:creator>
  <cp:lastModifiedBy>Elliott, Natasha J</cp:lastModifiedBy>
  <cp:lastPrinted>2016-11-07T16:37:27Z</cp:lastPrinted>
  <dcterms:created xsi:type="dcterms:W3CDTF">2015-11-18T15:19:39Z</dcterms:created>
  <dcterms:modified xsi:type="dcterms:W3CDTF">2016-11-07T16:37:39Z</dcterms:modified>
</cp:coreProperties>
</file>