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NSB\Training\CACFP\Website Updates\Website Change to DCFW.gov\Meal Patterns &amp; Nutrition Resources Page\"/>
    </mc:Choice>
  </mc:AlternateContent>
  <xr:revisionPtr revIDLastSave="0" documentId="8_{E8832369-4110-4C5C-9C92-A547924604EF}" xr6:coauthVersionLast="47" xr6:coauthVersionMax="47" xr10:uidLastSave="{00000000-0000-0000-0000-000000000000}"/>
  <bookViews>
    <workbookView xWindow="2544" yWindow="2544" windowWidth="17280" windowHeight="8964" xr2:uid="{C2C03D8C-3432-467B-8F11-D2373109FD25}"/>
  </bookViews>
  <sheets>
    <sheet name="Breakfast" sheetId="3" r:id="rId1"/>
    <sheet name="Lunch-Supper" sheetId="1" r:id="rId2"/>
    <sheet name="Snack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9" i="5" l="1"/>
  <c r="K27" i="1"/>
  <c r="K25" i="5"/>
  <c r="K22" i="3"/>
  <c r="K14" i="1" l="1"/>
  <c r="K13" i="5" l="1"/>
  <c r="K20" i="1"/>
  <c r="K22" i="5" l="1"/>
  <c r="K31" i="1"/>
  <c r="K9" i="5" l="1"/>
  <c r="K9" i="1"/>
  <c r="K17" i="1" l="1"/>
  <c r="K38" i="1" l="1"/>
  <c r="K26" i="5" l="1"/>
  <c r="K24" i="5"/>
  <c r="K23" i="5"/>
  <c r="K21" i="5"/>
  <c r="K20" i="5"/>
  <c r="K18" i="5"/>
  <c r="K17" i="5"/>
  <c r="K16" i="5"/>
  <c r="K15" i="5"/>
  <c r="K14" i="5"/>
  <c r="K12" i="5"/>
  <c r="K11" i="5"/>
  <c r="K10" i="5"/>
  <c r="K8" i="5"/>
  <c r="K39" i="1"/>
  <c r="K37" i="1"/>
  <c r="K36" i="1"/>
  <c r="K35" i="1"/>
  <c r="K34" i="1"/>
  <c r="K33" i="1"/>
  <c r="K32" i="1"/>
  <c r="K30" i="1"/>
  <c r="K29" i="1"/>
  <c r="K28" i="1"/>
  <c r="K26" i="1"/>
  <c r="K25" i="1"/>
  <c r="K24" i="1"/>
  <c r="K23" i="1"/>
  <c r="K22" i="1"/>
  <c r="K21" i="1"/>
  <c r="K19" i="1"/>
  <c r="K18" i="1"/>
  <c r="K16" i="1"/>
  <c r="K15" i="1"/>
  <c r="K13" i="1"/>
  <c r="K12" i="1"/>
  <c r="K11" i="1"/>
  <c r="K10" i="1"/>
  <c r="K8" i="1"/>
  <c r="K23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</calcChain>
</file>

<file path=xl/sharedStrings.xml><?xml version="1.0" encoding="utf-8"?>
<sst xmlns="http://schemas.openxmlformats.org/spreadsheetml/2006/main" count="612" uniqueCount="189">
  <si>
    <t>AMOUNT TO PURCHASE</t>
  </si>
  <si>
    <t>BREAKFAST</t>
  </si>
  <si>
    <t>LUNCH</t>
  </si>
  <si>
    <t>SNACK</t>
  </si>
  <si>
    <t>PREPARATION</t>
  </si>
  <si>
    <t>COOKED, PARED, DICED</t>
  </si>
  <si>
    <t xml:space="preserve">COOKED, DRAINED </t>
  </si>
  <si>
    <t xml:space="preserve">DICED, NO RIND </t>
  </si>
  <si>
    <t xml:space="preserve">COOKED, DRAINED, SLICED </t>
  </si>
  <si>
    <t xml:space="preserve"> </t>
  </si>
  <si>
    <t>COOKED, TRIMMED</t>
  </si>
  <si>
    <t>COOKED, MASHED</t>
  </si>
  <si>
    <t xml:space="preserve">DICED, WITHOUT RIND </t>
  </si>
  <si>
    <r>
      <rPr>
        <b/>
        <sz val="24"/>
        <rFont val="Calibri"/>
        <family val="2"/>
        <scheme val="minor"/>
      </rPr>
      <t>BANANAS</t>
    </r>
    <r>
      <rPr>
        <sz val="24"/>
        <rFont val="Calibri"/>
        <family val="2"/>
        <scheme val="minor"/>
      </rPr>
      <t xml:space="preserve"> (7" to 7-7/8")</t>
    </r>
  </si>
  <si>
    <r>
      <rPr>
        <b/>
        <sz val="24"/>
        <rFont val="Calibri"/>
        <family val="2"/>
        <scheme val="minor"/>
      </rPr>
      <t>BANANAS</t>
    </r>
    <r>
      <rPr>
        <sz val="24"/>
        <rFont val="Calibri"/>
        <family val="2"/>
        <scheme val="minor"/>
      </rPr>
      <t xml:space="preserve"> (7" to 7-7/8" LENGTH)</t>
    </r>
  </si>
  <si>
    <t>FRESH PRODUCE PURCHASING &amp; PREP GUIDE</t>
  </si>
  <si>
    <t>AMOUNT TO PREPARE</t>
  </si>
  <si>
    <t>BAKED</t>
  </si>
  <si>
    <t xml:space="preserve">DICED </t>
  </si>
  <si>
    <t xml:space="preserve">SLICED, COOKED  </t>
  </si>
  <si>
    <t xml:space="preserve">COOKED, DRAINED, LEAVES </t>
  </si>
  <si>
    <t>COOKED, PIECES</t>
  </si>
  <si>
    <r>
      <rPr>
        <b/>
        <sz val="24"/>
        <rFont val="Calibri"/>
        <family val="2"/>
        <scheme val="minor"/>
      </rPr>
      <t>ORANGES</t>
    </r>
    <r>
      <rPr>
        <sz val="24"/>
        <rFont val="Calibri"/>
        <family val="2"/>
        <scheme val="minor"/>
      </rPr>
      <t xml:space="preserve"> (ALL SIZES)</t>
    </r>
  </si>
  <si>
    <t>SLICED</t>
  </si>
  <si>
    <t>PARED, SLICED</t>
  </si>
  <si>
    <r>
      <t>APRICOTS</t>
    </r>
    <r>
      <rPr>
        <sz val="24"/>
        <rFont val="Calibri"/>
        <family val="2"/>
        <scheme val="minor"/>
      </rPr>
      <t xml:space="preserve"> (MEDIUM, APPROX. 1-3/8" DIAMETER, WHOLE)</t>
    </r>
  </si>
  <si>
    <r>
      <rPr>
        <b/>
        <sz val="24"/>
        <rFont val="Calibri"/>
        <family val="2"/>
        <scheme val="minor"/>
      </rPr>
      <t>CLEMENTINES</t>
    </r>
    <r>
      <rPr>
        <sz val="24"/>
        <rFont val="Calibri"/>
        <family val="2"/>
        <scheme val="minor"/>
      </rPr>
      <t xml:space="preserve"> </t>
    </r>
  </si>
  <si>
    <r>
      <rPr>
        <b/>
        <sz val="24"/>
        <rFont val="Calibri"/>
        <family val="2"/>
        <scheme val="minor"/>
      </rPr>
      <t>KIWI</t>
    </r>
    <r>
      <rPr>
        <sz val="24"/>
        <rFont val="Calibri"/>
        <family val="2"/>
        <scheme val="minor"/>
      </rPr>
      <t xml:space="preserve">  </t>
    </r>
  </si>
  <si>
    <r>
      <rPr>
        <b/>
        <sz val="24"/>
        <rFont val="Calibri"/>
        <family val="2"/>
        <scheme val="minor"/>
      </rPr>
      <t>PINEAPPLE</t>
    </r>
    <r>
      <rPr>
        <sz val="24"/>
        <rFont val="Calibri"/>
        <family val="2"/>
        <scheme val="minor"/>
      </rPr>
      <t xml:space="preserve"> (WHOLE)</t>
    </r>
  </si>
  <si>
    <r>
      <rPr>
        <b/>
        <sz val="24"/>
        <rFont val="Calibri"/>
        <family val="2"/>
        <scheme val="minor"/>
      </rPr>
      <t>CLEMENTINES</t>
    </r>
    <r>
      <rPr>
        <sz val="24"/>
        <rFont val="Calibri"/>
        <family val="2"/>
        <scheme val="minor"/>
      </rPr>
      <t xml:space="preserve">  </t>
    </r>
  </si>
  <si>
    <t>SLICED, COOKED, DRAINED</t>
  </si>
  <si>
    <r>
      <rPr>
        <b/>
        <sz val="24"/>
        <rFont val="Calibri"/>
        <family val="2"/>
        <scheme val="minor"/>
      </rPr>
      <t>TANGERINES</t>
    </r>
    <r>
      <rPr>
        <sz val="24"/>
        <rFont val="Calibri"/>
        <family val="2"/>
        <scheme val="minor"/>
      </rPr>
      <t xml:space="preserve">  </t>
    </r>
  </si>
  <si>
    <t>TANGERINES</t>
  </si>
  <si>
    <r>
      <t>APPLES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</si>
  <si>
    <r>
      <rPr>
        <b/>
        <sz val="24"/>
        <rFont val="Calibri"/>
        <family val="2"/>
        <scheme val="minor"/>
      </rPr>
      <t>CANTALOUPE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  <r>
      <rPr>
        <sz val="24"/>
        <rFont val="Calibri"/>
        <family val="2"/>
        <scheme val="minor"/>
      </rPr>
      <t xml:space="preserve"> (WHOLE, 5" DIAMETER)</t>
    </r>
  </si>
  <si>
    <r>
      <rPr>
        <b/>
        <sz val="24"/>
        <rFont val="Calibri"/>
        <family val="2"/>
        <scheme val="minor"/>
      </rPr>
      <t>COLLARD GREENS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  <r>
      <rPr>
        <sz val="24"/>
        <rFont val="Calibri"/>
        <family val="2"/>
        <scheme val="minor"/>
      </rPr>
      <t xml:space="preserve"> (UNTRIMMED)</t>
    </r>
  </si>
  <si>
    <r>
      <rPr>
        <b/>
        <sz val="24"/>
        <rFont val="Calibri"/>
        <family val="2"/>
        <scheme val="minor"/>
      </rPr>
      <t>HONEYDEW MELON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  <r>
      <rPr>
        <sz val="24"/>
        <rFont val="Calibri"/>
        <family val="2"/>
        <scheme val="minor"/>
      </rPr>
      <t xml:space="preserve"> (WHOLE)</t>
    </r>
  </si>
  <si>
    <r>
      <rPr>
        <b/>
        <sz val="24"/>
        <rFont val="Calibri"/>
        <family val="2"/>
        <scheme val="minor"/>
      </rPr>
      <t>PEACHES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  <r>
      <rPr>
        <sz val="24"/>
        <color theme="4" tint="-0.249977111117893"/>
        <rFont val="Calibri"/>
        <family val="2"/>
        <scheme val="minor"/>
      </rPr>
      <t xml:space="preserve"> </t>
    </r>
    <r>
      <rPr>
        <sz val="24"/>
        <rFont val="Calibri"/>
        <family val="2"/>
        <scheme val="minor"/>
      </rPr>
      <t>(SIZE 80)</t>
    </r>
  </si>
  <si>
    <r>
      <rPr>
        <b/>
        <sz val="24"/>
        <rFont val="Calibri"/>
        <family val="2"/>
        <scheme val="minor"/>
      </rPr>
      <t>PEARS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  <r>
      <rPr>
        <sz val="24"/>
        <rFont val="Calibri"/>
        <family val="2"/>
        <scheme val="minor"/>
      </rPr>
      <t xml:space="preserve"> (ALL SIZES)</t>
    </r>
  </si>
  <si>
    <r>
      <rPr>
        <b/>
        <sz val="24"/>
        <rFont val="Calibri"/>
        <family val="2"/>
        <scheme val="minor"/>
      </rPr>
      <t>PEPPERS, BELL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  <r>
      <rPr>
        <sz val="24"/>
        <rFont val="Calibri"/>
        <family val="2"/>
        <scheme val="minor"/>
      </rPr>
      <t xml:space="preserve"> (GREEN, YELLOW, ORANGE, OR RED, MEDIUM OR LARGE, WHOLE) </t>
    </r>
  </si>
  <si>
    <r>
      <t>PLUMS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  <r>
      <rPr>
        <b/>
        <sz val="24"/>
        <rFont val="Calibri"/>
        <family val="2"/>
        <scheme val="minor"/>
      </rPr>
      <t xml:space="preserve"> </t>
    </r>
    <r>
      <rPr>
        <sz val="24"/>
        <rFont val="Calibri"/>
        <family val="2"/>
        <scheme val="minor"/>
      </rPr>
      <t>(PURPLE, RED, OR BLACK 2" DIAMETER)</t>
    </r>
  </si>
  <si>
    <r>
      <rPr>
        <b/>
        <sz val="24"/>
        <rFont val="Calibri"/>
        <family val="2"/>
        <scheme val="minor"/>
      </rPr>
      <t>SPINACH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  <r>
      <rPr>
        <sz val="24"/>
        <rFont val="Calibri"/>
        <family val="2"/>
        <scheme val="minor"/>
      </rPr>
      <t xml:space="preserve"> (PARTLY TRIMMED)</t>
    </r>
  </si>
  <si>
    <r>
      <t>STRAWBERRIES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</si>
  <si>
    <r>
      <t>SWEET POTATOES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</si>
  <si>
    <r>
      <rPr>
        <b/>
        <sz val="24"/>
        <rFont val="Calibri"/>
        <family val="2"/>
        <scheme val="minor"/>
      </rPr>
      <t>WATERMELON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  <r>
      <rPr>
        <sz val="24"/>
        <rFont val="Calibri"/>
        <family val="2"/>
        <scheme val="minor"/>
      </rPr>
      <t xml:space="preserve"> (WHOLE)</t>
    </r>
  </si>
  <si>
    <r>
      <t>ZUCCHINI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</si>
  <si>
    <r>
      <t>NECTARINES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  <r>
      <rPr>
        <b/>
        <sz val="24"/>
        <rFont val="Calibri"/>
        <family val="2"/>
        <scheme val="minor"/>
      </rPr>
      <t xml:space="preserve"> </t>
    </r>
    <r>
      <rPr>
        <sz val="24"/>
        <rFont val="Calibri"/>
        <family val="2"/>
        <scheme val="minor"/>
      </rPr>
      <t>(ALL SIZES)</t>
    </r>
  </si>
  <si>
    <r>
      <rPr>
        <b/>
        <sz val="24"/>
        <rFont val="Calibri"/>
        <family val="2"/>
        <scheme val="minor"/>
      </rPr>
      <t>PEACHES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  <r>
      <rPr>
        <sz val="24"/>
        <rFont val="Calibri"/>
        <family val="2"/>
        <scheme val="minor"/>
      </rPr>
      <t xml:space="preserve"> (SIZE 80)</t>
    </r>
  </si>
  <si>
    <r>
      <rPr>
        <b/>
        <sz val="24"/>
        <rFont val="Calibri"/>
        <family val="2"/>
        <scheme val="minor"/>
      </rPr>
      <t>PLUMS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  <r>
      <rPr>
        <vertAlign val="superscript"/>
        <sz val="24"/>
        <rFont val="Calibri"/>
        <family val="2"/>
        <scheme val="minor"/>
      </rPr>
      <t xml:space="preserve"> </t>
    </r>
    <r>
      <rPr>
        <sz val="24"/>
        <rFont val="Calibri"/>
        <family val="2"/>
        <scheme val="minor"/>
      </rPr>
      <t>(PURPLE, RED, OR BLACK 2" DIAMETER)</t>
    </r>
  </si>
  <si>
    <r>
      <rPr>
        <b/>
        <sz val="24"/>
        <rFont val="Calibri"/>
        <family val="2"/>
        <scheme val="minor"/>
      </rPr>
      <t>STRAWBERRIES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  <r>
      <rPr>
        <sz val="24"/>
        <rFont val="Calibri"/>
        <family val="2"/>
        <scheme val="minor"/>
      </rPr>
      <t xml:space="preserve"> </t>
    </r>
  </si>
  <si>
    <r>
      <t>WATERMELON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</si>
  <si>
    <r>
      <rPr>
        <b/>
        <sz val="24"/>
        <rFont val="Calibri"/>
        <family val="2"/>
        <scheme val="minor"/>
      </rPr>
      <t>GREEN BEANS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  <r>
      <rPr>
        <sz val="24"/>
        <rFont val="Calibri"/>
        <family val="2"/>
        <scheme val="minor"/>
      </rPr>
      <t xml:space="preserve"> (WHOLE, UNTRIMMED)</t>
    </r>
  </si>
  <si>
    <r>
      <rPr>
        <b/>
        <sz val="24"/>
        <rFont val="Calibri"/>
        <family val="2"/>
        <scheme val="minor"/>
      </rPr>
      <t>NECTARINES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  <r>
      <rPr>
        <sz val="24"/>
        <color theme="4" tint="-0.249977111117893"/>
        <rFont val="Calibri"/>
        <family val="2"/>
        <scheme val="minor"/>
      </rPr>
      <t xml:space="preserve"> </t>
    </r>
    <r>
      <rPr>
        <sz val="24"/>
        <rFont val="Calibri"/>
        <family val="2"/>
        <scheme val="minor"/>
      </rPr>
      <t>(ALL SIZES)</t>
    </r>
  </si>
  <si>
    <r>
      <rPr>
        <b/>
        <sz val="24"/>
        <rFont val="Calibri"/>
        <family val="2"/>
        <scheme val="minor"/>
      </rPr>
      <t>PEPPERS, BELL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  <r>
      <rPr>
        <sz val="24"/>
        <rFont val="Calibri"/>
        <family val="2"/>
        <scheme val="minor"/>
      </rPr>
      <t xml:space="preserve"> (GREEN, YELLOW, ORANGE, OR RED, MEDIUM OR LARGE, WHOLE)</t>
    </r>
  </si>
  <si>
    <r>
      <t>PLUMS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  <r>
      <rPr>
        <sz val="24"/>
        <rFont val="Calibri"/>
        <family val="2"/>
        <scheme val="minor"/>
      </rPr>
      <t xml:space="preserve"> (PURPLE, RED, OR BLACK 2" DIAMETER)</t>
    </r>
  </si>
  <si>
    <r>
      <rPr>
        <b/>
        <sz val="24"/>
        <rFont val="Calibri"/>
        <family val="2"/>
        <scheme val="minor"/>
      </rPr>
      <t>SWEET POTATOES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  <r>
      <rPr>
        <sz val="24"/>
        <rFont val="Calibri"/>
        <family val="2"/>
        <scheme val="minor"/>
      </rPr>
      <t xml:space="preserve">  </t>
    </r>
  </si>
  <si>
    <r>
      <t>SNOW PEAS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</si>
  <si>
    <r>
      <t>SNOW PEAS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  <r>
      <rPr>
        <b/>
        <sz val="24"/>
        <rFont val="Calibri"/>
        <family val="2"/>
        <scheme val="minor"/>
      </rPr>
      <t xml:space="preserve"> </t>
    </r>
  </si>
  <si>
    <r>
      <rPr>
        <b/>
        <sz val="24"/>
        <rFont val="Calibri"/>
        <family val="2"/>
        <scheme val="minor"/>
      </rPr>
      <t>CANTALOUPE</t>
    </r>
    <r>
      <rPr>
        <b/>
        <vertAlign val="superscript"/>
        <sz val="24"/>
        <color theme="4" tint="-0.249977111117893"/>
        <rFont val="Calibri"/>
        <family val="2"/>
        <scheme val="minor"/>
      </rPr>
      <t xml:space="preserve">NC </t>
    </r>
    <r>
      <rPr>
        <sz val="24"/>
        <rFont val="Calibri"/>
        <family val="2"/>
        <scheme val="minor"/>
      </rPr>
      <t xml:space="preserve"> (WHOLE, 5" DIAMETER)</t>
    </r>
  </si>
  <si>
    <r>
      <t>ONIONS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  <r>
      <rPr>
        <b/>
        <sz val="24"/>
        <rFont val="Calibri"/>
        <family val="2"/>
        <scheme val="minor"/>
      </rPr>
      <t xml:space="preserve"> </t>
    </r>
    <r>
      <rPr>
        <sz val="24"/>
        <rFont val="Calibri"/>
        <family val="2"/>
        <scheme val="minor"/>
      </rPr>
      <t>(WHOLE, ALL SIZES)</t>
    </r>
  </si>
  <si>
    <r>
      <rPr>
        <b/>
        <sz val="24"/>
        <rFont val="Calibri"/>
        <family val="2"/>
        <scheme val="minor"/>
      </rPr>
      <t>POTATOES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  <r>
      <rPr>
        <sz val="24"/>
        <color theme="4" tint="-0.249977111117893"/>
        <rFont val="Calibri"/>
        <family val="2"/>
        <scheme val="minor"/>
      </rPr>
      <t xml:space="preserve"> </t>
    </r>
    <r>
      <rPr>
        <sz val="24"/>
        <rFont val="Calibri"/>
        <family val="2"/>
        <scheme val="minor"/>
      </rPr>
      <t>(WHOLE, WHITE OR RUSSET, ALL SIZES)</t>
    </r>
  </si>
  <si>
    <r>
      <rPr>
        <b/>
        <sz val="24"/>
        <rFont val="Calibri"/>
        <family val="2"/>
        <scheme val="minor"/>
      </rPr>
      <t>TOMATOES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  <r>
      <rPr>
        <sz val="24"/>
        <rFont val="Calibri"/>
        <family val="2"/>
        <scheme val="minor"/>
      </rPr>
      <t xml:space="preserve"> (WHOLE, ALL SIZES)</t>
    </r>
  </si>
  <si>
    <t xml:space="preserve">COOKED, DRAINED, FLORETS </t>
  </si>
  <si>
    <r>
      <rPr>
        <b/>
        <sz val="24"/>
        <rFont val="Calibri"/>
        <family val="2"/>
      </rPr>
      <t>YELLOW SQUASH</t>
    </r>
    <r>
      <rPr>
        <b/>
        <vertAlign val="superscript"/>
        <sz val="24"/>
        <color theme="4" tint="-0.249977111117893"/>
        <rFont val="Calibri"/>
        <family val="2"/>
      </rPr>
      <t>NC</t>
    </r>
  </si>
  <si>
    <r>
      <t>AVOCADOS</t>
    </r>
    <r>
      <rPr>
        <sz val="24"/>
        <rFont val="Calibri"/>
        <family val="2"/>
        <scheme val="minor"/>
      </rPr>
      <t xml:space="preserve"> (APPROX. 2.5" WIDTH by 3.5" LENGTH, WHOLE)</t>
    </r>
  </si>
  <si>
    <r>
      <rPr>
        <b/>
        <sz val="24"/>
        <rFont val="Calibri"/>
        <family val="2"/>
        <scheme val="minor"/>
      </rPr>
      <t>BEETS</t>
    </r>
    <r>
      <rPr>
        <b/>
        <vertAlign val="superscript"/>
        <sz val="24"/>
        <rFont val="Calibri"/>
        <family val="2"/>
        <scheme val="minor"/>
      </rPr>
      <t>NC</t>
    </r>
    <r>
      <rPr>
        <sz val="24"/>
        <rFont val="Calibri"/>
        <family val="2"/>
        <scheme val="minor"/>
      </rPr>
      <t xml:space="preserve"> (WITHOUT TOPS)</t>
    </r>
  </si>
  <si>
    <r>
      <rPr>
        <b/>
        <sz val="24"/>
        <rFont val="Calibri"/>
        <family val="2"/>
        <scheme val="minor"/>
      </rPr>
      <t>BROCCOLI</t>
    </r>
    <r>
      <rPr>
        <b/>
        <vertAlign val="superscript"/>
        <sz val="24"/>
        <rFont val="Calibri"/>
        <family val="2"/>
        <scheme val="minor"/>
      </rPr>
      <t>NC</t>
    </r>
    <r>
      <rPr>
        <sz val="24"/>
        <rFont val="Calibri"/>
        <family val="2"/>
        <scheme val="minor"/>
      </rPr>
      <t xml:space="preserve"> (FLORETS)</t>
    </r>
  </si>
  <si>
    <r>
      <rPr>
        <b/>
        <sz val="24"/>
        <rFont val="Calibri"/>
        <family val="2"/>
        <scheme val="minor"/>
      </rPr>
      <t>BUTTERNUT, SQUASH, WINTER</t>
    </r>
    <r>
      <rPr>
        <b/>
        <vertAlign val="superscript"/>
        <sz val="24"/>
        <rFont val="Calibri"/>
        <family val="2"/>
        <scheme val="minor"/>
      </rPr>
      <t>NC</t>
    </r>
    <r>
      <rPr>
        <sz val="24"/>
        <rFont val="Calibri"/>
        <family val="2"/>
        <scheme val="minor"/>
      </rPr>
      <t xml:space="preserve"> (WHOLE)</t>
    </r>
  </si>
  <si>
    <r>
      <rPr>
        <b/>
        <sz val="24"/>
        <rFont val="Calibri"/>
        <family val="2"/>
        <scheme val="minor"/>
      </rPr>
      <t>CABBAGE</t>
    </r>
    <r>
      <rPr>
        <b/>
        <vertAlign val="superscript"/>
        <sz val="24"/>
        <rFont val="Calibri"/>
        <family val="2"/>
        <scheme val="minor"/>
      </rPr>
      <t>NC</t>
    </r>
    <r>
      <rPr>
        <sz val="24"/>
        <rFont val="Calibri"/>
        <family val="2"/>
        <scheme val="minor"/>
      </rPr>
      <t xml:space="preserve"> (GREEN, UNTRIMMED, WHOLE)</t>
    </r>
  </si>
  <si>
    <r>
      <rPr>
        <b/>
        <sz val="24"/>
        <rFont val="Calibri"/>
        <family val="2"/>
        <scheme val="minor"/>
      </rPr>
      <t>CANTALOUPE</t>
    </r>
    <r>
      <rPr>
        <b/>
        <vertAlign val="superscript"/>
        <sz val="24"/>
        <rFont val="Calibri"/>
        <family val="2"/>
        <scheme val="minor"/>
      </rPr>
      <t>NC</t>
    </r>
    <r>
      <rPr>
        <sz val="24"/>
        <rFont val="Calibri"/>
        <family val="2"/>
        <scheme val="minor"/>
      </rPr>
      <t xml:space="preserve"> (WHOLE, 5" DIAMETER)</t>
    </r>
  </si>
  <si>
    <r>
      <rPr>
        <b/>
        <sz val="24"/>
        <rFont val="Calibri"/>
        <family val="2"/>
        <scheme val="minor"/>
      </rPr>
      <t>CARROTS</t>
    </r>
    <r>
      <rPr>
        <b/>
        <vertAlign val="superscript"/>
        <sz val="24"/>
        <rFont val="Calibri"/>
        <family val="2"/>
        <scheme val="minor"/>
      </rPr>
      <t>NC</t>
    </r>
    <r>
      <rPr>
        <sz val="24"/>
        <rFont val="Calibri"/>
        <family val="2"/>
        <scheme val="minor"/>
      </rPr>
      <t xml:space="preserve"> (WITHOUT TOPS)</t>
    </r>
  </si>
  <si>
    <r>
      <t xml:space="preserve">CAULIFLOWER </t>
    </r>
    <r>
      <rPr>
        <sz val="24"/>
        <rFont val="Calibri"/>
        <family val="2"/>
      </rPr>
      <t>(WHOLE, TRIMMED)</t>
    </r>
  </si>
  <si>
    <t>1 serving of vegetable or fruit = 1/2 cup</t>
  </si>
  <si>
    <t>(1 serving of vegetable or fruit = 1/4 cup)</t>
  </si>
  <si>
    <t>(1/8 cup serving of vegetable) + (1/8 cup serving of fruit or 2nd vegetable)</t>
  </si>
  <si>
    <t>FOR CHILD CARE PROGRAMS SERVING 1 - 2 YEAR OLDS*</t>
  </si>
  <si>
    <t xml:space="preserve">USDA Child Meal Pattern </t>
  </si>
  <si>
    <r>
      <t xml:space="preserve">Source: </t>
    </r>
    <r>
      <rPr>
        <b/>
        <u/>
        <sz val="24"/>
        <color theme="10"/>
        <rFont val="Calibri"/>
        <family val="2"/>
        <scheme val="minor"/>
      </rPr>
      <t xml:space="preserve">Food Buying Guide for Child Nutrition Programs </t>
    </r>
  </si>
  <si>
    <r>
      <rPr>
        <b/>
        <sz val="24"/>
        <color theme="4" tint="-0.249977111117893"/>
        <rFont val="Calibri"/>
        <family val="2"/>
        <scheme val="minor"/>
      </rPr>
      <t>NC</t>
    </r>
    <r>
      <rPr>
        <b/>
        <sz val="24"/>
        <color theme="1"/>
        <rFont val="Calibri"/>
        <family val="2"/>
        <scheme val="minor"/>
      </rPr>
      <t xml:space="preserve">  </t>
    </r>
    <r>
      <rPr>
        <sz val="24"/>
        <color theme="1"/>
        <rFont val="Calibri"/>
        <family val="2"/>
        <scheme val="minor"/>
      </rPr>
      <t xml:space="preserve">= Grown in North Carolina </t>
    </r>
  </si>
  <si>
    <r>
      <rPr>
        <b/>
        <sz val="24"/>
        <color theme="4" tint="-0.249977111117893"/>
        <rFont val="Calibri"/>
        <family val="2"/>
        <scheme val="minor"/>
      </rPr>
      <t>NC</t>
    </r>
    <r>
      <rPr>
        <b/>
        <sz val="24"/>
        <color theme="1"/>
        <rFont val="Calibri"/>
        <family val="2"/>
        <scheme val="minor"/>
      </rPr>
      <t xml:space="preserve"> </t>
    </r>
    <r>
      <rPr>
        <sz val="24"/>
        <color theme="1"/>
        <rFont val="Calibri"/>
        <family val="2"/>
        <scheme val="minor"/>
      </rPr>
      <t xml:space="preserve"> = Grown in North Carolina </t>
    </r>
  </si>
  <si>
    <t>FOOD ITEM**</t>
  </si>
  <si>
    <t>DICED</t>
  </si>
  <si>
    <t xml:space="preserve">PEELED, DICED </t>
  </si>
  <si>
    <t>COOKED, DRAINED, SHREDDED</t>
  </si>
  <si>
    <t>COOKED, DRAINED, STRIPS</t>
  </si>
  <si>
    <t>COOKED, DRAINED</t>
  </si>
  <si>
    <t xml:space="preserve">COOKED, DRAINED  </t>
  </si>
  <si>
    <t>PEELED, DICED</t>
  </si>
  <si>
    <t xml:space="preserve">PEELED, CORED, SLICED </t>
  </si>
  <si>
    <t>SEEDED, PEELED, DICED</t>
  </si>
  <si>
    <t>PEELED, CORED, SLICED</t>
  </si>
  <si>
    <t>COOKED, DRAINED, PARED, DICED</t>
  </si>
  <si>
    <t>COOKED, DICED</t>
  </si>
  <si>
    <t>Amounts are rounded up to the nearest 0.25 pound.</t>
  </si>
  <si>
    <t>SECTIONS, MEMBRANE 
REMOVED, DRAINED, DICED</t>
  </si>
  <si>
    <t>0.5
pound</t>
  </si>
  <si>
    <t>0.75
pound</t>
  </si>
  <si>
    <t>8.25
pounds</t>
  </si>
  <si>
    <t>PEELED, SLICED 
(3/8" by 3 ½" SLICES)</t>
  </si>
  <si>
    <t>SLICED 
(1 banana = 1/2 cup)</t>
  </si>
  <si>
    <t>PEELED, SLICED 
(1/4" SLICES)</t>
  </si>
  <si>
    <t>0.25
pound</t>
  </si>
  <si>
    <t>1
pound</t>
  </si>
  <si>
    <t>1.75
pounds</t>
  </si>
  <si>
    <t>1.25
pounds</t>
  </si>
  <si>
    <t>2.25
pounds</t>
  </si>
  <si>
    <t>3.75
pounds</t>
  </si>
  <si>
    <t>1.5
pounds</t>
  </si>
  <si>
    <t>2.5
pounds</t>
  </si>
  <si>
    <t>For 5 
servings</t>
  </si>
  <si>
    <t>For 25 
servings</t>
  </si>
  <si>
    <t>For 50 
servings</t>
  </si>
  <si>
    <t>ENTER 
SERVINGS</t>
  </si>
  <si>
    <t>AMOUNT TO 
PURCHASE</t>
  </si>
  <si>
    <t xml:space="preserve">For 5 
servings  </t>
  </si>
  <si>
    <t xml:space="preserve">For 25 
servings  </t>
  </si>
  <si>
    <t xml:space="preserve">For 50 
servings </t>
  </si>
  <si>
    <t>3.5
pounds</t>
  </si>
  <si>
    <t>4.5
pounds</t>
  </si>
  <si>
    <t>3.25
pounds</t>
  </si>
  <si>
    <t>7.25
pounds</t>
  </si>
  <si>
    <t>3
pounds</t>
  </si>
  <si>
    <t>4.75
pounds</t>
  </si>
  <si>
    <t>4.25
pounds</t>
  </si>
  <si>
    <t xml:space="preserve">For 5 
servings </t>
  </si>
  <si>
    <t xml:space="preserve">ENTER 
SERVINGS </t>
  </si>
  <si>
    <t xml:space="preserve">AMOUNT TO 
PURCHASE </t>
  </si>
  <si>
    <t>7
pounds</t>
  </si>
  <si>
    <t>8.75
pounds</t>
  </si>
  <si>
    <t>14.5
pounds</t>
  </si>
  <si>
    <t>6.5
pounds</t>
  </si>
  <si>
    <t>5
pounds</t>
  </si>
  <si>
    <t>14
pounds</t>
  </si>
  <si>
    <t>17.5
pounds</t>
  </si>
  <si>
    <t>28.75
pounds</t>
  </si>
  <si>
    <t>9.5
pounds</t>
  </si>
  <si>
    <t>12.75
pounds</t>
  </si>
  <si>
    <t>9.75
pounds</t>
  </si>
  <si>
    <t>16.5
pounds</t>
  </si>
  <si>
    <t>1 ¼
cups</t>
  </si>
  <si>
    <t>1 ¼  
cups</t>
  </si>
  <si>
    <t>1 ¼ 
cups</t>
  </si>
  <si>
    <t>SLICED
(1 banana = 1/2 cup)</t>
  </si>
  <si>
    <t>6 ¼
cups</t>
  </si>
  <si>
    <t>12 ½
cups</t>
  </si>
  <si>
    <t>5.25
pounds</t>
  </si>
  <si>
    <t>4 
pounds</t>
  </si>
  <si>
    <t>5.75
pounds</t>
  </si>
  <si>
    <t>10.25
pounds</t>
  </si>
  <si>
    <t>8
pounds</t>
  </si>
  <si>
    <t>5/8
cup</t>
  </si>
  <si>
    <t>3 ⅛ 
cups</t>
  </si>
  <si>
    <t>3 ⅛
cups</t>
  </si>
  <si>
    <t>6 ¼ 
cups</t>
  </si>
  <si>
    <t>2.75
pounds</t>
  </si>
  <si>
    <t>1.5   
pounds</t>
  </si>
  <si>
    <t>2
pounds</t>
  </si>
  <si>
    <t>4
pounds</t>
  </si>
  <si>
    <t>3.5 
pounds</t>
  </si>
  <si>
    <t>PEELED, SLICED
(3/8" by 3 ½" SLICES)</t>
  </si>
  <si>
    <t xml:space="preserve"> 2 ½
cups</t>
  </si>
  <si>
    <t>2 ½
cups</t>
  </si>
  <si>
    <t>2 ½  
cups</t>
  </si>
  <si>
    <t>2 ½ 
cups</t>
  </si>
  <si>
    <t>25
cups</t>
  </si>
  <si>
    <t>25 
cups</t>
  </si>
  <si>
    <t>1.25  
pounds</t>
  </si>
  <si>
    <t>9.25
pounds</t>
  </si>
  <si>
    <t>7.75
pounds</t>
  </si>
  <si>
    <t>18.25
pounds</t>
  </si>
  <si>
    <t>11.25
pounds</t>
  </si>
  <si>
    <t>9 
pounds</t>
  </si>
  <si>
    <t>15.75
pounds</t>
  </si>
  <si>
    <t>9.5   
pounds</t>
  </si>
  <si>
    <t>13
pounds</t>
  </si>
  <si>
    <t>20.5
pounds</t>
  </si>
  <si>
    <t>5.25 
pounds</t>
  </si>
  <si>
    <t>9
pounds</t>
  </si>
  <si>
    <t>15.25
pounds</t>
  </si>
  <si>
    <t xml:space="preserve">** Please use caution when serving items which could be potential choking hazards. For toddlers, puree, mash, or finely chop foods into </t>
  </si>
  <si>
    <t xml:space="preserve">     small pieces (no larger than ½ inch) or thin slices or strips (lengthwise).</t>
  </si>
  <si>
    <r>
      <rPr>
        <b/>
        <sz val="24"/>
        <color theme="1"/>
        <rFont val="Calibri"/>
        <family val="2"/>
        <scheme val="minor"/>
      </rPr>
      <t xml:space="preserve">** </t>
    </r>
    <r>
      <rPr>
        <sz val="24"/>
        <color theme="1"/>
        <rFont val="Calibri"/>
        <family val="2"/>
        <scheme val="minor"/>
      </rPr>
      <t xml:space="preserve">Please use caution when serving items which could be potential choking hazards. For toddlers, puree, mash, or finely chop foods into </t>
    </r>
  </si>
  <si>
    <r>
      <rPr>
        <b/>
        <sz val="24"/>
        <color theme="1"/>
        <rFont val="Calibri"/>
        <family val="2"/>
        <scheme val="minor"/>
      </rPr>
      <t>**</t>
    </r>
    <r>
      <rPr>
        <sz val="24"/>
        <color theme="1"/>
        <rFont val="Calibri"/>
        <family val="2"/>
        <scheme val="minor"/>
      </rPr>
      <t xml:space="preserve"> Please use caution when serving items which could be potential choking hazards. For toddlers, puree, mash, or finely chop foods into </t>
    </r>
  </si>
  <si>
    <r>
      <t xml:space="preserve">For seasonal produce, see </t>
    </r>
    <r>
      <rPr>
        <b/>
        <u/>
        <sz val="24"/>
        <color theme="10"/>
        <rFont val="Calibri"/>
        <family val="2"/>
        <scheme val="minor"/>
      </rPr>
      <t>What’s in Season? North Carolina Fruit and Vegetable Availability.</t>
    </r>
  </si>
  <si>
    <t xml:space="preserve">NC Farm to Preschool Network – Fresh Produce Purchasing &amp; Prep Guide for Programs Serving 1-2 year olds (2/2021)                         </t>
  </si>
  <si>
    <t xml:space="preserve">NC Farm to Preschool Network – Fresh Produce Purchasing &amp; Prep Guide for Programs Serving 1-2 year olds (2/2021)                                                   </t>
  </si>
  <si>
    <t xml:space="preserve">NC Farm to Preschool Network – Fresh Produce Purchasing &amp; Prep Guide for Programs Serving 1-2 year olds (2/2021)                                     </t>
  </si>
  <si>
    <t>USDA Child Meal Pattern</t>
  </si>
  <si>
    <r>
      <rPr>
        <b/>
        <sz val="24"/>
        <color theme="1"/>
        <rFont val="Calibri"/>
        <family val="2"/>
        <scheme val="minor"/>
      </rPr>
      <t xml:space="preserve">  * </t>
    </r>
    <r>
      <rPr>
        <sz val="24"/>
        <color theme="1"/>
        <rFont val="Calibri"/>
        <family val="2"/>
        <scheme val="minor"/>
      </rPr>
      <t>Amounts are calculated for 1 - 2 year olds and represent minimum serving sizes to meet the USDA Child Meal Patterns.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</si>
</sst>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8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sz val="24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b/>
      <i/>
      <sz val="22"/>
      <name val="Calibri"/>
      <family val="2"/>
      <scheme val="minor"/>
    </font>
    <font>
      <b/>
      <i/>
      <sz val="18"/>
      <name val="Calibri"/>
      <family val="2"/>
      <scheme val="minor"/>
    </font>
    <font>
      <b/>
      <sz val="24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24"/>
      <name val="Calibri"/>
      <family val="2"/>
      <scheme val="minor"/>
    </font>
    <font>
      <b/>
      <vertAlign val="superscript"/>
      <sz val="24"/>
      <color theme="4" tint="-0.249977111117893"/>
      <name val="Calibri"/>
      <family val="2"/>
      <scheme val="minor"/>
    </font>
    <font>
      <sz val="24"/>
      <color theme="4" tint="-0.249977111117893"/>
      <name val="Calibri"/>
      <family val="2"/>
      <scheme val="minor"/>
    </font>
    <font>
      <b/>
      <sz val="24"/>
      <color theme="4" tint="-0.249977111117893"/>
      <name val="Calibri"/>
      <family val="2"/>
      <scheme val="minor"/>
    </font>
    <font>
      <sz val="24"/>
      <color rgb="FFFF0000"/>
      <name val="Calibri"/>
      <family val="2"/>
      <scheme val="minor"/>
    </font>
    <font>
      <b/>
      <sz val="24"/>
      <color rgb="FFFF0000"/>
      <name val="Calibri"/>
      <family val="2"/>
    </font>
    <font>
      <b/>
      <vertAlign val="superscript"/>
      <sz val="24"/>
      <color theme="4" tint="-0.249977111117893"/>
      <name val="Calibri"/>
      <family val="2"/>
    </font>
    <font>
      <sz val="18"/>
      <color rgb="FFFF0000"/>
      <name val="Calibri"/>
      <family val="2"/>
    </font>
    <font>
      <sz val="24"/>
      <color rgb="FFFF0000"/>
      <name val="Calibri"/>
      <family val="2"/>
    </font>
    <font>
      <b/>
      <sz val="24"/>
      <name val="Calibri"/>
      <family val="2"/>
    </font>
    <font>
      <sz val="24"/>
      <name val="Calibri"/>
      <family val="2"/>
    </font>
    <font>
      <b/>
      <vertAlign val="superscript"/>
      <sz val="24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24"/>
      <color theme="10"/>
      <name val="Calibri"/>
      <family val="2"/>
      <scheme val="minor"/>
    </font>
    <font>
      <b/>
      <u/>
      <sz val="24"/>
      <color theme="10"/>
      <name val="Calibri"/>
      <family val="2"/>
      <scheme val="minor"/>
    </font>
    <font>
      <sz val="1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7" tint="0.39997558519241921"/>
        <bgColor rgb="FF000000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theme="2"/>
      </right>
      <top style="medium">
        <color indexed="64"/>
      </top>
      <bottom style="thin">
        <color indexed="64"/>
      </bottom>
      <diagonal/>
    </border>
    <border>
      <left style="thin">
        <color theme="2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29" fillId="0" borderId="0" applyNumberFormat="0" applyFill="0" applyBorder="0" applyAlignment="0" applyProtection="0"/>
  </cellStyleXfs>
  <cellXfs count="29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2" fontId="2" fillId="0" borderId="0" xfId="0" applyNumberFormat="1" applyFont="1" applyBorder="1"/>
    <xf numFmtId="0" fontId="5" fillId="0" borderId="0" xfId="0" applyFont="1"/>
    <xf numFmtId="0" fontId="7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6" fillId="0" borderId="0" xfId="0" applyFont="1" applyFill="1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2" fontId="11" fillId="10" borderId="8" xfId="1" applyNumberFormat="1" applyFont="1" applyFill="1" applyBorder="1" applyAlignment="1">
      <alignment horizontal="center" vertical="center" wrapText="1"/>
    </xf>
    <xf numFmtId="0" fontId="11" fillId="10" borderId="7" xfId="1" applyFont="1" applyFill="1" applyBorder="1" applyAlignment="1">
      <alignment horizontal="center" vertical="center" wrapText="1"/>
    </xf>
    <xf numFmtId="0" fontId="11" fillId="10" borderId="9" xfId="1" applyFont="1" applyFill="1" applyBorder="1" applyAlignment="1">
      <alignment horizontal="center" vertical="center" wrapText="1"/>
    </xf>
    <xf numFmtId="2" fontId="11" fillId="9" borderId="8" xfId="1" applyNumberFormat="1" applyFont="1" applyFill="1" applyBorder="1" applyAlignment="1">
      <alignment horizontal="center" vertical="center" wrapText="1"/>
    </xf>
    <xf numFmtId="0" fontId="11" fillId="9" borderId="7" xfId="1" applyFont="1" applyFill="1" applyBorder="1" applyAlignment="1">
      <alignment horizontal="center" vertical="center" wrapText="1"/>
    </xf>
    <xf numFmtId="0" fontId="11" fillId="9" borderId="9" xfId="1" applyFont="1" applyFill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wrapText="1"/>
    </xf>
    <xf numFmtId="0" fontId="11" fillId="15" borderId="9" xfId="3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 wrapText="1"/>
    </xf>
    <xf numFmtId="0" fontId="11" fillId="7" borderId="7" xfId="1" applyFont="1" applyFill="1" applyBorder="1" applyAlignment="1">
      <alignment horizontal="center" vertical="center" wrapText="1"/>
    </xf>
    <xf numFmtId="0" fontId="11" fillId="7" borderId="9" xfId="1" applyFont="1" applyFill="1" applyBorder="1" applyAlignment="1">
      <alignment horizontal="center" vertical="center" wrapText="1"/>
    </xf>
    <xf numFmtId="164" fontId="11" fillId="7" borderId="10" xfId="0" applyNumberFormat="1" applyFont="1" applyFill="1" applyBorder="1" applyAlignment="1">
      <alignment horizontal="center" vertical="center" wrapText="1"/>
    </xf>
    <xf numFmtId="164" fontId="11" fillId="7" borderId="7" xfId="1" applyNumberFormat="1" applyFont="1" applyFill="1" applyBorder="1" applyAlignment="1">
      <alignment horizontal="center" vertical="center" wrapText="1"/>
    </xf>
    <xf numFmtId="0" fontId="11" fillId="6" borderId="8" xfId="1" applyFont="1" applyFill="1" applyBorder="1" applyAlignment="1">
      <alignment horizontal="center" vertical="center" wrapText="1"/>
    </xf>
    <xf numFmtId="0" fontId="11" fillId="6" borderId="7" xfId="1" applyFont="1" applyFill="1" applyBorder="1" applyAlignment="1">
      <alignment horizontal="center" vertical="center" wrapText="1"/>
    </xf>
    <xf numFmtId="0" fontId="11" fillId="6" borderId="9" xfId="1" applyFont="1" applyFill="1" applyBorder="1" applyAlignment="1">
      <alignment horizontal="center" vertical="center" wrapText="1"/>
    </xf>
    <xf numFmtId="164" fontId="11" fillId="6" borderId="10" xfId="0" applyNumberFormat="1" applyFont="1" applyFill="1" applyBorder="1" applyAlignment="1">
      <alignment horizontal="center" vertical="center" wrapText="1"/>
    </xf>
    <xf numFmtId="164" fontId="11" fillId="6" borderId="7" xfId="1" applyNumberFormat="1" applyFont="1" applyFill="1" applyBorder="1" applyAlignment="1">
      <alignment horizontal="center" vertical="center" wrapText="1"/>
    </xf>
    <xf numFmtId="0" fontId="11" fillId="9" borderId="9" xfId="3" applyFont="1" applyFill="1" applyBorder="1" applyAlignment="1">
      <alignment horizontal="center" vertical="center"/>
    </xf>
    <xf numFmtId="0" fontId="11" fillId="11" borderId="18" xfId="0" applyFont="1" applyFill="1" applyBorder="1" applyAlignment="1">
      <alignment vertical="center" wrapText="1"/>
    </xf>
    <xf numFmtId="0" fontId="11" fillId="11" borderId="11" xfId="0" applyFont="1" applyFill="1" applyBorder="1" applyAlignment="1">
      <alignment vertical="center" wrapText="1"/>
    </xf>
    <xf numFmtId="0" fontId="11" fillId="11" borderId="8" xfId="1" applyFont="1" applyFill="1" applyBorder="1" applyAlignment="1">
      <alignment horizontal="center" vertical="center" wrapText="1"/>
    </xf>
    <xf numFmtId="0" fontId="11" fillId="11" borderId="7" xfId="1" applyFont="1" applyFill="1" applyBorder="1" applyAlignment="1">
      <alignment horizontal="center" vertical="center" wrapText="1"/>
    </xf>
    <xf numFmtId="0" fontId="11" fillId="11" borderId="9" xfId="1" applyFont="1" applyFill="1" applyBorder="1" applyAlignment="1">
      <alignment horizontal="center" vertical="center" wrapText="1"/>
    </xf>
    <xf numFmtId="2" fontId="11" fillId="11" borderId="10" xfId="0" applyNumberFormat="1" applyFont="1" applyFill="1" applyBorder="1" applyAlignment="1">
      <alignment horizontal="center" vertical="center" wrapText="1"/>
    </xf>
    <xf numFmtId="0" fontId="11" fillId="14" borderId="11" xfId="3" applyFont="1" applyFill="1" applyBorder="1" applyAlignment="1">
      <alignment horizontal="center" vertical="center"/>
    </xf>
    <xf numFmtId="0" fontId="11" fillId="12" borderId="18" xfId="0" applyFont="1" applyFill="1" applyBorder="1" applyAlignment="1">
      <alignment vertical="center" wrapText="1"/>
    </xf>
    <xf numFmtId="0" fontId="11" fillId="12" borderId="11" xfId="0" applyFont="1" applyFill="1" applyBorder="1" applyAlignment="1">
      <alignment vertical="center" wrapText="1"/>
    </xf>
    <xf numFmtId="0" fontId="11" fillId="12" borderId="8" xfId="1" applyFont="1" applyFill="1" applyBorder="1" applyAlignment="1">
      <alignment horizontal="center" vertical="center" wrapText="1"/>
    </xf>
    <xf numFmtId="0" fontId="11" fillId="12" borderId="7" xfId="1" applyFont="1" applyFill="1" applyBorder="1" applyAlignment="1">
      <alignment horizontal="center" vertical="center" wrapText="1"/>
    </xf>
    <xf numFmtId="0" fontId="11" fillId="12" borderId="9" xfId="1" applyFont="1" applyFill="1" applyBorder="1" applyAlignment="1">
      <alignment horizontal="center" vertical="center" wrapText="1"/>
    </xf>
    <xf numFmtId="2" fontId="11" fillId="12" borderId="10" xfId="0" applyNumberFormat="1" applyFont="1" applyFill="1" applyBorder="1" applyAlignment="1">
      <alignment horizontal="center" vertical="center" wrapText="1"/>
    </xf>
    <xf numFmtId="0" fontId="11" fillId="11" borderId="11" xfId="3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9" fillId="9" borderId="20" xfId="0" applyFont="1" applyFill="1" applyBorder="1" applyAlignment="1">
      <alignment vertical="center"/>
    </xf>
    <xf numFmtId="0" fontId="9" fillId="10" borderId="20" xfId="0" applyFont="1" applyFill="1" applyBorder="1" applyAlignment="1">
      <alignment vertical="center"/>
    </xf>
    <xf numFmtId="0" fontId="11" fillId="9" borderId="11" xfId="0" applyFont="1" applyFill="1" applyBorder="1" applyAlignment="1">
      <alignment vertical="center" wrapText="1"/>
    </xf>
    <xf numFmtId="0" fontId="11" fillId="10" borderId="11" xfId="0" applyFont="1" applyFill="1" applyBorder="1" applyAlignment="1">
      <alignment vertical="center" wrapText="1"/>
    </xf>
    <xf numFmtId="0" fontId="11" fillId="7" borderId="11" xfId="0" applyFont="1" applyFill="1" applyBorder="1" applyAlignment="1">
      <alignment vertical="center" wrapText="1"/>
    </xf>
    <xf numFmtId="0" fontId="11" fillId="6" borderId="11" xfId="0" applyFont="1" applyFill="1" applyBorder="1" applyAlignment="1">
      <alignment vertical="center" wrapText="1"/>
    </xf>
    <xf numFmtId="0" fontId="11" fillId="7" borderId="20" xfId="0" applyFont="1" applyFill="1" applyBorder="1" applyAlignment="1">
      <alignment vertical="center" wrapText="1"/>
    </xf>
    <xf numFmtId="0" fontId="11" fillId="6" borderId="20" xfId="0" applyFont="1" applyFill="1" applyBorder="1" applyAlignment="1">
      <alignment vertical="center" wrapText="1"/>
    </xf>
    <xf numFmtId="0" fontId="11" fillId="11" borderId="21" xfId="0" applyFont="1" applyFill="1" applyBorder="1" applyAlignment="1">
      <alignment vertical="center" wrapText="1"/>
    </xf>
    <xf numFmtId="0" fontId="11" fillId="12" borderId="21" xfId="0" applyFont="1" applyFill="1" applyBorder="1" applyAlignment="1">
      <alignment vertical="center" wrapText="1"/>
    </xf>
    <xf numFmtId="0" fontId="11" fillId="12" borderId="21" xfId="0" applyFont="1" applyFill="1" applyBorder="1" applyAlignment="1">
      <alignment vertical="center"/>
    </xf>
    <xf numFmtId="0" fontId="11" fillId="11" borderId="21" xfId="0" applyFont="1" applyFill="1" applyBorder="1" applyAlignment="1">
      <alignment vertical="center"/>
    </xf>
    <xf numFmtId="0" fontId="5" fillId="0" borderId="0" xfId="0" applyFont="1" applyAlignment="1">
      <alignment wrapText="1"/>
    </xf>
    <xf numFmtId="0" fontId="15" fillId="11" borderId="18" xfId="0" applyFont="1" applyFill="1" applyBorder="1" applyAlignment="1">
      <alignment vertical="center" wrapText="1"/>
    </xf>
    <xf numFmtId="0" fontId="15" fillId="9" borderId="18" xfId="0" applyFont="1" applyFill="1" applyBorder="1" applyAlignment="1">
      <alignment vertical="center" wrapText="1"/>
    </xf>
    <xf numFmtId="0" fontId="11" fillId="10" borderId="18" xfId="0" applyFont="1" applyFill="1" applyBorder="1" applyAlignment="1">
      <alignment vertical="center" wrapText="1"/>
    </xf>
    <xf numFmtId="0" fontId="11" fillId="9" borderId="18" xfId="0" applyFont="1" applyFill="1" applyBorder="1" applyAlignment="1">
      <alignment vertical="center" wrapText="1"/>
    </xf>
    <xf numFmtId="2" fontId="11" fillId="6" borderId="7" xfId="1" applyNumberFormat="1" applyFont="1" applyFill="1" applyBorder="1" applyAlignment="1">
      <alignment horizontal="center" vertical="center" wrapText="1"/>
    </xf>
    <xf numFmtId="0" fontId="15" fillId="10" borderId="18" xfId="0" applyFont="1" applyFill="1" applyBorder="1" applyAlignment="1">
      <alignment vertical="center" wrapText="1"/>
    </xf>
    <xf numFmtId="0" fontId="11" fillId="11" borderId="18" xfId="0" applyFont="1" applyFill="1" applyBorder="1" applyAlignment="1">
      <alignment vertical="center"/>
    </xf>
    <xf numFmtId="0" fontId="9" fillId="10" borderId="20" xfId="0" applyFont="1" applyFill="1" applyBorder="1" applyAlignment="1">
      <alignment vertical="center" wrapText="1"/>
    </xf>
    <xf numFmtId="0" fontId="11" fillId="12" borderId="30" xfId="0" applyFont="1" applyFill="1" applyBorder="1" applyAlignment="1">
      <alignment vertical="center" wrapText="1"/>
    </xf>
    <xf numFmtId="0" fontId="11" fillId="12" borderId="25" xfId="1" applyFont="1" applyFill="1" applyBorder="1" applyAlignment="1">
      <alignment horizontal="center" vertical="center" wrapText="1"/>
    </xf>
    <xf numFmtId="0" fontId="11" fillId="12" borderId="26" xfId="1" applyFont="1" applyFill="1" applyBorder="1" applyAlignment="1">
      <alignment horizontal="center" vertical="center" wrapText="1"/>
    </xf>
    <xf numFmtId="0" fontId="11" fillId="12" borderId="27" xfId="1" applyFont="1" applyFill="1" applyBorder="1" applyAlignment="1">
      <alignment horizontal="center" vertical="center" wrapText="1"/>
    </xf>
    <xf numFmtId="0" fontId="11" fillId="9" borderId="29" xfId="0" applyFont="1" applyFill="1" applyBorder="1" applyAlignment="1">
      <alignment vertical="center" wrapText="1"/>
    </xf>
    <xf numFmtId="0" fontId="9" fillId="9" borderId="23" xfId="0" applyFont="1" applyFill="1" applyBorder="1" applyAlignment="1">
      <alignment vertical="center"/>
    </xf>
    <xf numFmtId="0" fontId="11" fillId="9" borderId="24" xfId="0" applyFont="1" applyFill="1" applyBorder="1" applyAlignment="1">
      <alignment vertical="center" wrapText="1"/>
    </xf>
    <xf numFmtId="2" fontId="11" fillId="9" borderId="25" xfId="1" applyNumberFormat="1" applyFont="1" applyFill="1" applyBorder="1" applyAlignment="1">
      <alignment horizontal="center" vertical="center" wrapText="1"/>
    </xf>
    <xf numFmtId="0" fontId="11" fillId="9" borderId="26" xfId="1" applyFont="1" applyFill="1" applyBorder="1" applyAlignment="1">
      <alignment horizontal="center" vertical="center" wrapText="1"/>
    </xf>
    <xf numFmtId="0" fontId="11" fillId="9" borderId="27" xfId="1" applyFont="1" applyFill="1" applyBorder="1" applyAlignment="1">
      <alignment horizontal="center" vertical="center" wrapText="1"/>
    </xf>
    <xf numFmtId="0" fontId="11" fillId="15" borderId="27" xfId="3" applyFont="1" applyFill="1" applyBorder="1" applyAlignment="1">
      <alignment horizontal="center" vertical="center"/>
    </xf>
    <xf numFmtId="2" fontId="11" fillId="7" borderId="7" xfId="1" applyNumberFormat="1" applyFont="1" applyFill="1" applyBorder="1" applyAlignment="1">
      <alignment horizontal="center" vertical="center" wrapText="1"/>
    </xf>
    <xf numFmtId="0" fontId="11" fillId="12" borderId="18" xfId="0" applyFont="1" applyFill="1" applyBorder="1" applyAlignment="1">
      <alignment vertical="center"/>
    </xf>
    <xf numFmtId="0" fontId="15" fillId="12" borderId="18" xfId="0" applyFont="1" applyFill="1" applyBorder="1" applyAlignment="1">
      <alignment vertical="center" wrapText="1"/>
    </xf>
    <xf numFmtId="0" fontId="11" fillId="11" borderId="29" xfId="0" applyFont="1" applyFill="1" applyBorder="1" applyAlignment="1">
      <alignment vertical="center" wrapText="1"/>
    </xf>
    <xf numFmtId="0" fontId="11" fillId="11" borderId="30" xfId="0" applyFont="1" applyFill="1" applyBorder="1" applyAlignment="1">
      <alignment vertical="center" wrapText="1"/>
    </xf>
    <xf numFmtId="0" fontId="11" fillId="11" borderId="24" xfId="0" applyFont="1" applyFill="1" applyBorder="1" applyAlignment="1">
      <alignment vertical="center" wrapText="1"/>
    </xf>
    <xf numFmtId="0" fontId="11" fillId="11" borderId="25" xfId="1" applyFont="1" applyFill="1" applyBorder="1" applyAlignment="1">
      <alignment horizontal="center" vertical="center" wrapText="1"/>
    </xf>
    <xf numFmtId="0" fontId="11" fillId="11" borderId="26" xfId="1" applyFont="1" applyFill="1" applyBorder="1" applyAlignment="1">
      <alignment horizontal="center" vertical="center" wrapText="1"/>
    </xf>
    <xf numFmtId="0" fontId="11" fillId="11" borderId="27" xfId="1" applyFont="1" applyFill="1" applyBorder="1" applyAlignment="1">
      <alignment horizontal="center" vertical="center" wrapText="1"/>
    </xf>
    <xf numFmtId="2" fontId="11" fillId="11" borderId="28" xfId="0" applyNumberFormat="1" applyFont="1" applyFill="1" applyBorder="1" applyAlignment="1">
      <alignment horizontal="center" vertical="center" wrapText="1"/>
    </xf>
    <xf numFmtId="0" fontId="11" fillId="14" borderId="24" xfId="3" applyFont="1" applyFill="1" applyBorder="1" applyAlignment="1">
      <alignment horizontal="center" vertical="center"/>
    </xf>
    <xf numFmtId="0" fontId="11" fillId="10" borderId="29" xfId="0" applyFont="1" applyFill="1" applyBorder="1" applyAlignment="1">
      <alignment vertical="center" wrapText="1"/>
    </xf>
    <xf numFmtId="0" fontId="9" fillId="10" borderId="23" xfId="0" applyFont="1" applyFill="1" applyBorder="1" applyAlignment="1">
      <alignment vertical="center"/>
    </xf>
    <xf numFmtId="0" fontId="11" fillId="10" borderId="24" xfId="0" applyFont="1" applyFill="1" applyBorder="1" applyAlignment="1">
      <alignment vertical="center" wrapText="1"/>
    </xf>
    <xf numFmtId="2" fontId="11" fillId="10" borderId="25" xfId="1" applyNumberFormat="1" applyFont="1" applyFill="1" applyBorder="1" applyAlignment="1">
      <alignment horizontal="center" vertical="center" wrapText="1"/>
    </xf>
    <xf numFmtId="0" fontId="11" fillId="10" borderId="26" xfId="1" applyFont="1" applyFill="1" applyBorder="1" applyAlignment="1">
      <alignment horizontal="center" vertical="center" wrapText="1"/>
    </xf>
    <xf numFmtId="0" fontId="11" fillId="10" borderId="27" xfId="1" applyFont="1" applyFill="1" applyBorder="1" applyAlignment="1">
      <alignment horizontal="center" vertical="center" wrapText="1"/>
    </xf>
    <xf numFmtId="0" fontId="11" fillId="9" borderId="27" xfId="3" applyFont="1" applyFill="1" applyBorder="1" applyAlignment="1">
      <alignment horizontal="center" vertical="center"/>
    </xf>
    <xf numFmtId="0" fontId="15" fillId="12" borderId="29" xfId="0" applyFont="1" applyFill="1" applyBorder="1" applyAlignment="1">
      <alignment vertical="center" wrapText="1"/>
    </xf>
    <xf numFmtId="0" fontId="11" fillId="9" borderId="8" xfId="0" applyFont="1" applyFill="1" applyBorder="1" applyAlignment="1">
      <alignment horizontal="center" vertical="center" wrapText="1"/>
    </xf>
    <xf numFmtId="0" fontId="11" fillId="10" borderId="8" xfId="0" applyFont="1" applyFill="1" applyBorder="1" applyAlignment="1">
      <alignment horizontal="center" vertical="center" wrapText="1"/>
    </xf>
    <xf numFmtId="0" fontId="11" fillId="10" borderId="7" xfId="0" applyFont="1" applyFill="1" applyBorder="1" applyAlignment="1">
      <alignment horizontal="center" vertical="center" wrapText="1"/>
    </xf>
    <xf numFmtId="0" fontId="11" fillId="10" borderId="9" xfId="0" applyFont="1" applyFill="1" applyBorder="1" applyAlignment="1">
      <alignment horizontal="center" vertical="center" wrapText="1"/>
    </xf>
    <xf numFmtId="0" fontId="11" fillId="9" borderId="7" xfId="0" applyFont="1" applyFill="1" applyBorder="1" applyAlignment="1">
      <alignment horizontal="center" vertical="center" wrapText="1"/>
    </xf>
    <xf numFmtId="0" fontId="11" fillId="9" borderId="9" xfId="0" applyFont="1" applyFill="1" applyBorder="1" applyAlignment="1">
      <alignment horizontal="center" vertical="center" wrapText="1"/>
    </xf>
    <xf numFmtId="0" fontId="11" fillId="10" borderId="25" xfId="0" applyFont="1" applyFill="1" applyBorder="1" applyAlignment="1">
      <alignment horizontal="center" vertical="center" wrapText="1"/>
    </xf>
    <xf numFmtId="0" fontId="11" fillId="10" borderId="26" xfId="0" applyFont="1" applyFill="1" applyBorder="1" applyAlignment="1">
      <alignment horizontal="center" vertical="center" wrapText="1"/>
    </xf>
    <xf numFmtId="0" fontId="11" fillId="10" borderId="27" xfId="0" applyFont="1" applyFill="1" applyBorder="1" applyAlignment="1">
      <alignment horizontal="center" vertical="center" wrapText="1"/>
    </xf>
    <xf numFmtId="0" fontId="11" fillId="9" borderId="25" xfId="0" applyFont="1" applyFill="1" applyBorder="1" applyAlignment="1">
      <alignment horizontal="center" vertical="center" wrapText="1"/>
    </xf>
    <xf numFmtId="0" fontId="11" fillId="9" borderId="26" xfId="0" applyFont="1" applyFill="1" applyBorder="1" applyAlignment="1">
      <alignment horizontal="center" vertical="center" wrapText="1"/>
    </xf>
    <xf numFmtId="0" fontId="11" fillId="9" borderId="27" xfId="0" applyFont="1" applyFill="1" applyBorder="1" applyAlignment="1">
      <alignment horizontal="center" vertical="center" wrapText="1"/>
    </xf>
    <xf numFmtId="0" fontId="11" fillId="14" borderId="8" xfId="1" applyFont="1" applyFill="1" applyBorder="1" applyAlignment="1" applyProtection="1">
      <alignment horizontal="center" vertical="center"/>
      <protection locked="0"/>
    </xf>
    <xf numFmtId="0" fontId="11" fillId="11" borderId="8" xfId="1" applyFont="1" applyFill="1" applyBorder="1" applyAlignment="1" applyProtection="1">
      <alignment horizontal="center" vertical="center"/>
      <protection locked="0"/>
    </xf>
    <xf numFmtId="0" fontId="11" fillId="14" borderId="25" xfId="1" applyFont="1" applyFill="1" applyBorder="1" applyAlignment="1" applyProtection="1">
      <alignment horizontal="center" vertical="center"/>
      <protection locked="0"/>
    </xf>
    <xf numFmtId="0" fontId="15" fillId="9" borderId="29" xfId="0" applyFont="1" applyFill="1" applyBorder="1" applyAlignment="1">
      <alignment vertical="center" wrapText="1"/>
    </xf>
    <xf numFmtId="0" fontId="25" fillId="0" borderId="0" xfId="0" applyFont="1" applyFill="1" applyAlignment="1">
      <alignment vertical="center"/>
    </xf>
    <xf numFmtId="0" fontId="15" fillId="9" borderId="21" xfId="0" applyFont="1" applyFill="1" applyBorder="1" applyAlignment="1">
      <alignment vertical="center" wrapText="1"/>
    </xf>
    <xf numFmtId="0" fontId="21" fillId="9" borderId="20" xfId="0" applyFont="1" applyFill="1" applyBorder="1" applyAlignment="1">
      <alignment vertical="center" wrapText="1"/>
    </xf>
    <xf numFmtId="164" fontId="11" fillId="9" borderId="10" xfId="0" applyNumberFormat="1" applyFont="1" applyFill="1" applyBorder="1" applyAlignment="1">
      <alignment horizontal="center" vertical="center" wrapText="1"/>
    </xf>
    <xf numFmtId="164" fontId="11" fillId="9" borderId="7" xfId="1" applyNumberFormat="1" applyFont="1" applyFill="1" applyBorder="1" applyAlignment="1">
      <alignment horizontal="center" vertical="center" wrapText="1"/>
    </xf>
    <xf numFmtId="164" fontId="11" fillId="9" borderId="12" xfId="1" applyNumberFormat="1" applyFont="1" applyFill="1" applyBorder="1" applyAlignment="1">
      <alignment horizontal="center" vertical="center" wrapText="1"/>
    </xf>
    <xf numFmtId="0" fontId="11" fillId="10" borderId="12" xfId="0" applyFont="1" applyFill="1" applyBorder="1" applyAlignment="1">
      <alignment horizontal="center" vertical="center" wrapText="1"/>
    </xf>
    <xf numFmtId="0" fontId="26" fillId="17" borderId="18" xfId="0" applyFont="1" applyFill="1" applyBorder="1" applyAlignment="1">
      <alignment vertical="center" wrapText="1"/>
    </xf>
    <xf numFmtId="0" fontId="24" fillId="17" borderId="20" xfId="0" applyFont="1" applyFill="1" applyBorder="1" applyAlignment="1">
      <alignment vertical="center"/>
    </xf>
    <xf numFmtId="0" fontId="27" fillId="17" borderId="11" xfId="0" applyFont="1" applyFill="1" applyBorder="1" applyAlignment="1">
      <alignment vertical="center" wrapText="1"/>
    </xf>
    <xf numFmtId="0" fontId="27" fillId="17" borderId="8" xfId="1" applyFont="1" applyFill="1" applyBorder="1" applyAlignment="1">
      <alignment horizontal="center" vertical="center" wrapText="1"/>
    </xf>
    <xf numFmtId="0" fontId="27" fillId="17" borderId="7" xfId="1" applyFont="1" applyFill="1" applyBorder="1" applyAlignment="1">
      <alignment horizontal="center" vertical="center" wrapText="1"/>
    </xf>
    <xf numFmtId="0" fontId="27" fillId="17" borderId="9" xfId="1" applyFont="1" applyFill="1" applyBorder="1" applyAlignment="1">
      <alignment horizontal="center" vertical="center" wrapText="1"/>
    </xf>
    <xf numFmtId="0" fontId="22" fillId="18" borderId="18" xfId="0" applyFont="1" applyFill="1" applyBorder="1" applyAlignment="1">
      <alignment vertical="center" wrapText="1"/>
    </xf>
    <xf numFmtId="0" fontId="24" fillId="18" borderId="20" xfId="0" applyFont="1" applyFill="1" applyBorder="1" applyAlignment="1">
      <alignment vertical="center"/>
    </xf>
    <xf numFmtId="0" fontId="27" fillId="18" borderId="11" xfId="0" applyFont="1" applyFill="1" applyBorder="1" applyAlignment="1">
      <alignment vertical="center" wrapText="1"/>
    </xf>
    <xf numFmtId="0" fontId="27" fillId="18" borderId="8" xfId="1" applyFont="1" applyFill="1" applyBorder="1" applyAlignment="1">
      <alignment horizontal="center" vertical="center" wrapText="1"/>
    </xf>
    <xf numFmtId="0" fontId="27" fillId="18" borderId="7" xfId="1" applyFont="1" applyFill="1" applyBorder="1" applyAlignment="1">
      <alignment horizontal="center" vertical="center" wrapText="1"/>
    </xf>
    <xf numFmtId="0" fontId="27" fillId="18" borderId="9" xfId="1" applyFont="1" applyFill="1" applyBorder="1" applyAlignment="1">
      <alignment horizontal="center" vertical="center" wrapText="1"/>
    </xf>
    <xf numFmtId="0" fontId="15" fillId="12" borderId="21" xfId="0" applyFont="1" applyFill="1" applyBorder="1" applyAlignment="1">
      <alignment vertical="center" wrapText="1"/>
    </xf>
    <xf numFmtId="0" fontId="21" fillId="12" borderId="20" xfId="0" applyFont="1" applyFill="1" applyBorder="1" applyAlignment="1">
      <alignment vertical="center" wrapText="1"/>
    </xf>
    <xf numFmtId="164" fontId="11" fillId="12" borderId="10" xfId="0" applyNumberFormat="1" applyFont="1" applyFill="1" applyBorder="1" applyAlignment="1">
      <alignment horizontal="center" vertical="center" wrapText="1"/>
    </xf>
    <xf numFmtId="164" fontId="11" fillId="12" borderId="7" xfId="1" applyNumberFormat="1" applyFont="1" applyFill="1" applyBorder="1" applyAlignment="1">
      <alignment horizontal="center" vertical="center" wrapText="1"/>
    </xf>
    <xf numFmtId="164" fontId="11" fillId="12" borderId="9" xfId="1" applyNumberFormat="1" applyFont="1" applyFill="1" applyBorder="1" applyAlignment="1">
      <alignment horizontal="center" vertical="center" wrapText="1"/>
    </xf>
    <xf numFmtId="0" fontId="15" fillId="11" borderId="44" xfId="0" applyFont="1" applyFill="1" applyBorder="1" applyAlignment="1">
      <alignment vertical="center" wrapText="1"/>
    </xf>
    <xf numFmtId="0" fontId="11" fillId="11" borderId="6" xfId="0" applyFont="1" applyFill="1" applyBorder="1" applyAlignment="1">
      <alignment vertical="center" wrapText="1"/>
    </xf>
    <xf numFmtId="0" fontId="11" fillId="11" borderId="19" xfId="0" applyFont="1" applyFill="1" applyBorder="1" applyAlignment="1">
      <alignment vertical="center" wrapText="1"/>
    </xf>
    <xf numFmtId="0" fontId="11" fillId="11" borderId="15" xfId="1" applyFont="1" applyFill="1" applyBorder="1" applyAlignment="1">
      <alignment horizontal="center" vertical="center" wrapText="1"/>
    </xf>
    <xf numFmtId="0" fontId="11" fillId="11" borderId="14" xfId="1" applyFont="1" applyFill="1" applyBorder="1" applyAlignment="1">
      <alignment horizontal="center" vertical="center" wrapText="1"/>
    </xf>
    <xf numFmtId="0" fontId="11" fillId="11" borderId="16" xfId="1" applyFont="1" applyFill="1" applyBorder="1" applyAlignment="1">
      <alignment horizontal="center" vertical="center" wrapText="1"/>
    </xf>
    <xf numFmtId="2" fontId="11" fillId="11" borderId="17" xfId="0" applyNumberFormat="1" applyFont="1" applyFill="1" applyBorder="1" applyAlignment="1">
      <alignment horizontal="center" vertical="center" wrapText="1"/>
    </xf>
    <xf numFmtId="0" fontId="14" fillId="3" borderId="45" xfId="2" applyFont="1" applyBorder="1" applyAlignment="1">
      <alignment vertical="center" wrapText="1"/>
    </xf>
    <xf numFmtId="0" fontId="14" fillId="3" borderId="46" xfId="2" applyFont="1" applyBorder="1" applyAlignment="1">
      <alignment vertical="center" wrapText="1"/>
    </xf>
    <xf numFmtId="0" fontId="13" fillId="3" borderId="47" xfId="2" applyFont="1" applyBorder="1" applyAlignment="1">
      <alignment horizontal="center" vertical="center" wrapText="1"/>
    </xf>
    <xf numFmtId="0" fontId="13" fillId="3" borderId="48" xfId="2" applyFont="1" applyBorder="1" applyAlignment="1">
      <alignment horizontal="center" vertical="center" wrapText="1"/>
    </xf>
    <xf numFmtId="0" fontId="13" fillId="3" borderId="49" xfId="2" applyFont="1" applyBorder="1" applyAlignment="1">
      <alignment horizontal="center" vertical="center" wrapText="1"/>
    </xf>
    <xf numFmtId="0" fontId="13" fillId="3" borderId="50" xfId="2" applyFont="1" applyBorder="1" applyAlignment="1">
      <alignment horizontal="center" vertical="center" wrapText="1"/>
    </xf>
    <xf numFmtId="2" fontId="13" fillId="3" borderId="51" xfId="2" applyNumberFormat="1" applyFont="1" applyBorder="1" applyAlignment="1">
      <alignment horizontal="center" vertical="center" wrapText="1"/>
    </xf>
    <xf numFmtId="0" fontId="13" fillId="8" borderId="48" xfId="2" applyFont="1" applyFill="1" applyBorder="1" applyAlignment="1">
      <alignment horizontal="center" vertical="center" wrapText="1"/>
    </xf>
    <xf numFmtId="0" fontId="15" fillId="10" borderId="44" xfId="0" applyFont="1" applyFill="1" applyBorder="1" applyAlignment="1">
      <alignment vertical="center" wrapText="1"/>
    </xf>
    <xf numFmtId="0" fontId="9" fillId="10" borderId="22" xfId="0" applyFont="1" applyFill="1" applyBorder="1" applyAlignment="1">
      <alignment vertical="center"/>
    </xf>
    <xf numFmtId="0" fontId="11" fillId="10" borderId="19" xfId="0" applyFont="1" applyFill="1" applyBorder="1" applyAlignment="1">
      <alignment vertical="center" wrapText="1"/>
    </xf>
    <xf numFmtId="2" fontId="11" fillId="10" borderId="15" xfId="1" applyNumberFormat="1" applyFont="1" applyFill="1" applyBorder="1" applyAlignment="1">
      <alignment horizontal="center" vertical="center" wrapText="1"/>
    </xf>
    <xf numFmtId="0" fontId="11" fillId="10" borderId="14" xfId="1" applyFont="1" applyFill="1" applyBorder="1" applyAlignment="1">
      <alignment horizontal="center" vertical="center" wrapText="1"/>
    </xf>
    <xf numFmtId="0" fontId="11" fillId="10" borderId="16" xfId="1" applyFont="1" applyFill="1" applyBorder="1" applyAlignment="1">
      <alignment horizontal="center" vertical="center" wrapText="1"/>
    </xf>
    <xf numFmtId="0" fontId="11" fillId="10" borderId="15" xfId="0" applyFont="1" applyFill="1" applyBorder="1" applyAlignment="1">
      <alignment horizontal="center" vertical="center" wrapText="1"/>
    </xf>
    <xf numFmtId="0" fontId="11" fillId="10" borderId="13" xfId="1" applyFont="1" applyFill="1" applyBorder="1" applyAlignment="1">
      <alignment horizontal="center" vertical="center" wrapText="1"/>
    </xf>
    <xf numFmtId="0" fontId="11" fillId="9" borderId="16" xfId="3" applyFont="1" applyFill="1" applyBorder="1" applyAlignment="1">
      <alignment horizontal="center" vertical="center"/>
    </xf>
    <xf numFmtId="0" fontId="10" fillId="3" borderId="45" xfId="2" applyFont="1" applyBorder="1" applyAlignment="1">
      <alignment wrapText="1"/>
    </xf>
    <xf numFmtId="0" fontId="10" fillId="3" borderId="53" xfId="2" applyFont="1" applyBorder="1"/>
    <xf numFmtId="0" fontId="12" fillId="3" borderId="54" xfId="2" applyFont="1" applyBorder="1" applyAlignment="1">
      <alignment horizontal="center" vertical="center" wrapText="1"/>
    </xf>
    <xf numFmtId="2" fontId="12" fillId="3" borderId="48" xfId="2" applyNumberFormat="1" applyFont="1" applyBorder="1" applyAlignment="1">
      <alignment horizontal="center" vertical="center" wrapText="1"/>
    </xf>
    <xf numFmtId="0" fontId="12" fillId="3" borderId="49" xfId="2" applyFont="1" applyBorder="1" applyAlignment="1">
      <alignment horizontal="center" vertical="center" wrapText="1"/>
    </xf>
    <xf numFmtId="0" fontId="12" fillId="3" borderId="50" xfId="2" applyFont="1" applyBorder="1" applyAlignment="1">
      <alignment horizontal="center" vertical="center" wrapText="1"/>
    </xf>
    <xf numFmtId="0" fontId="12" fillId="3" borderId="48" xfId="2" applyFont="1" applyBorder="1" applyAlignment="1">
      <alignment horizontal="center" vertical="center" wrapText="1"/>
    </xf>
    <xf numFmtId="0" fontId="11" fillId="6" borderId="22" xfId="0" applyFont="1" applyFill="1" applyBorder="1" applyAlignment="1">
      <alignment vertical="center" wrapText="1"/>
    </xf>
    <xf numFmtId="0" fontId="11" fillId="6" borderId="19" xfId="0" applyFont="1" applyFill="1" applyBorder="1" applyAlignment="1">
      <alignment vertical="center" wrapText="1"/>
    </xf>
    <xf numFmtId="0" fontId="11" fillId="6" borderId="15" xfId="1" applyFont="1" applyFill="1" applyBorder="1" applyAlignment="1">
      <alignment horizontal="center" vertical="center" wrapText="1"/>
    </xf>
    <xf numFmtId="0" fontId="11" fillId="6" borderId="14" xfId="1" applyFont="1" applyFill="1" applyBorder="1" applyAlignment="1">
      <alignment horizontal="center" vertical="center" wrapText="1"/>
    </xf>
    <xf numFmtId="0" fontId="11" fillId="6" borderId="16" xfId="1" applyFont="1" applyFill="1" applyBorder="1" applyAlignment="1">
      <alignment horizontal="center" vertical="center" wrapText="1"/>
    </xf>
    <xf numFmtId="164" fontId="11" fillId="6" borderId="17" xfId="0" applyNumberFormat="1" applyFont="1" applyFill="1" applyBorder="1" applyAlignment="1">
      <alignment horizontal="center" vertical="center" wrapText="1"/>
    </xf>
    <xf numFmtId="164" fontId="11" fillId="6" borderId="14" xfId="1" applyNumberFormat="1" applyFont="1" applyFill="1" applyBorder="1" applyAlignment="1">
      <alignment horizontal="center" vertical="center" wrapText="1"/>
    </xf>
    <xf numFmtId="0" fontId="14" fillId="8" borderId="53" xfId="2" applyFont="1" applyFill="1" applyBorder="1" applyAlignment="1">
      <alignment horizontal="center" vertical="center" wrapText="1"/>
    </xf>
    <xf numFmtId="0" fontId="13" fillId="8" borderId="4" xfId="2" applyFont="1" applyFill="1" applyBorder="1" applyAlignment="1">
      <alignment horizontal="center" vertical="center" wrapText="1"/>
    </xf>
    <xf numFmtId="0" fontId="13" fillId="8" borderId="56" xfId="2" applyFont="1" applyFill="1" applyBorder="1" applyAlignment="1">
      <alignment horizontal="center" vertical="center" wrapText="1"/>
    </xf>
    <xf numFmtId="0" fontId="13" fillId="8" borderId="55" xfId="2" applyFont="1" applyFill="1" applyBorder="1" applyAlignment="1">
      <alignment horizontal="center" vertical="center" wrapText="1"/>
    </xf>
    <xf numFmtId="0" fontId="13" fillId="8" borderId="57" xfId="2" applyFont="1" applyFill="1" applyBorder="1" applyAlignment="1">
      <alignment horizontal="center" vertical="center" wrapText="1"/>
    </xf>
    <xf numFmtId="164" fontId="13" fillId="8" borderId="5" xfId="2" applyNumberFormat="1" applyFont="1" applyFill="1" applyBorder="1" applyAlignment="1">
      <alignment horizontal="center" vertical="center" wrapText="1"/>
    </xf>
    <xf numFmtId="164" fontId="13" fillId="8" borderId="55" xfId="2" applyNumberFormat="1" applyFont="1" applyFill="1" applyBorder="1" applyAlignment="1">
      <alignment horizontal="center" vertical="center" wrapText="1"/>
    </xf>
    <xf numFmtId="0" fontId="13" fillId="8" borderId="50" xfId="3" applyFont="1" applyFill="1" applyBorder="1" applyAlignment="1">
      <alignment horizontal="center" vertical="center" wrapText="1"/>
    </xf>
    <xf numFmtId="0" fontId="13" fillId="8" borderId="52" xfId="3" applyFont="1" applyFill="1" applyBorder="1" applyAlignment="1">
      <alignment horizontal="center" vertical="center" wrapText="1"/>
    </xf>
    <xf numFmtId="0" fontId="11" fillId="14" borderId="65" xfId="1" applyFont="1" applyFill="1" applyBorder="1" applyAlignment="1" applyProtection="1">
      <alignment horizontal="center" vertical="center"/>
      <protection locked="0"/>
    </xf>
    <xf numFmtId="0" fontId="11" fillId="14" borderId="66" xfId="3" applyFont="1" applyFill="1" applyBorder="1" applyAlignment="1">
      <alignment horizontal="center" vertical="center"/>
    </xf>
    <xf numFmtId="0" fontId="11" fillId="11" borderId="11" xfId="3" applyFont="1" applyFill="1" applyBorder="1" applyAlignment="1">
      <alignment horizontal="center" vertical="center" wrapText="1"/>
    </xf>
    <xf numFmtId="0" fontId="4" fillId="4" borderId="45" xfId="0" applyFont="1" applyFill="1" applyBorder="1" applyAlignment="1">
      <alignment horizontal="center" vertical="center" wrapText="1"/>
    </xf>
    <xf numFmtId="0" fontId="13" fillId="8" borderId="54" xfId="3" applyFont="1" applyFill="1" applyBorder="1" applyAlignment="1">
      <alignment horizontal="center" vertical="center" wrapText="1"/>
    </xf>
    <xf numFmtId="0" fontId="15" fillId="6" borderId="22" xfId="0" applyFont="1" applyFill="1" applyBorder="1" applyAlignment="1">
      <alignment vertical="center" wrapText="1"/>
    </xf>
    <xf numFmtId="0" fontId="11" fillId="16" borderId="19" xfId="3" applyFont="1" applyFill="1" applyBorder="1" applyAlignment="1">
      <alignment horizontal="center" vertical="center" wrapText="1"/>
    </xf>
    <xf numFmtId="0" fontId="15" fillId="7" borderId="20" xfId="0" applyFont="1" applyFill="1" applyBorder="1" applyAlignment="1">
      <alignment vertical="center" wrapText="1"/>
    </xf>
    <xf numFmtId="0" fontId="11" fillId="6" borderId="11" xfId="3" applyFont="1" applyFill="1" applyBorder="1" applyAlignment="1">
      <alignment horizontal="center" vertical="center" wrapText="1"/>
    </xf>
    <xf numFmtId="0" fontId="11" fillId="16" borderId="11" xfId="3" applyFont="1" applyFill="1" applyBorder="1" applyAlignment="1">
      <alignment horizontal="center" vertical="center" wrapText="1"/>
    </xf>
    <xf numFmtId="0" fontId="11" fillId="11" borderId="8" xfId="1" applyFont="1" applyFill="1" applyBorder="1" applyAlignment="1" applyProtection="1">
      <alignment horizontal="center" vertical="center" wrapText="1"/>
      <protection locked="0"/>
    </xf>
    <xf numFmtId="0" fontId="11" fillId="9" borderId="15" xfId="1" applyFont="1" applyFill="1" applyBorder="1" applyAlignment="1" applyProtection="1">
      <alignment horizontal="center" vertical="center"/>
      <protection locked="0"/>
    </xf>
    <xf numFmtId="0" fontId="11" fillId="9" borderId="8" xfId="1" applyFont="1" applyFill="1" applyBorder="1" applyAlignment="1" applyProtection="1">
      <alignment horizontal="center" vertical="center"/>
      <protection locked="0"/>
    </xf>
    <xf numFmtId="0" fontId="11" fillId="15" borderId="8" xfId="1" applyFont="1" applyFill="1" applyBorder="1" applyAlignment="1" applyProtection="1">
      <alignment horizontal="center" vertical="center"/>
      <protection locked="0"/>
    </xf>
    <xf numFmtId="0" fontId="11" fillId="15" borderId="25" xfId="1" applyFont="1" applyFill="1" applyBorder="1" applyAlignment="1" applyProtection="1">
      <alignment horizontal="center" vertical="center"/>
      <protection locked="0"/>
    </xf>
    <xf numFmtId="0" fontId="11" fillId="9" borderId="25" xfId="1" applyFont="1" applyFill="1" applyBorder="1" applyAlignment="1" applyProtection="1">
      <alignment horizontal="center" vertical="center"/>
      <protection locked="0"/>
    </xf>
    <xf numFmtId="0" fontId="11" fillId="16" borderId="15" xfId="1" applyFont="1" applyFill="1" applyBorder="1" applyAlignment="1" applyProtection="1">
      <alignment horizontal="center" vertical="center" wrapText="1"/>
      <protection locked="0"/>
    </xf>
    <xf numFmtId="0" fontId="11" fillId="6" borderId="8" xfId="1" applyFont="1" applyFill="1" applyBorder="1" applyAlignment="1" applyProtection="1">
      <alignment horizontal="center" vertical="center" wrapText="1"/>
      <protection locked="0"/>
    </xf>
    <xf numFmtId="0" fontId="11" fillId="16" borderId="8" xfId="1" applyFont="1" applyFill="1" applyBorder="1" applyAlignment="1" applyProtection="1">
      <alignment horizontal="center" vertical="center" wrapText="1"/>
      <protection locked="0"/>
    </xf>
    <xf numFmtId="0" fontId="11" fillId="11" borderId="37" xfId="0" applyFont="1" applyFill="1" applyBorder="1" applyAlignment="1">
      <alignment vertical="center" wrapText="1"/>
    </xf>
    <xf numFmtId="0" fontId="11" fillId="11" borderId="38" xfId="0" applyFont="1" applyFill="1" applyBorder="1" applyAlignment="1">
      <alignment vertical="center" wrapText="1"/>
    </xf>
    <xf numFmtId="0" fontId="11" fillId="11" borderId="39" xfId="0" applyFont="1" applyFill="1" applyBorder="1" applyAlignment="1">
      <alignment vertical="center" wrapText="1"/>
    </xf>
    <xf numFmtId="0" fontId="11" fillId="11" borderId="40" xfId="1" applyFont="1" applyFill="1" applyBorder="1" applyAlignment="1">
      <alignment horizontal="center" vertical="center" wrapText="1"/>
    </xf>
    <xf numFmtId="0" fontId="11" fillId="11" borderId="41" xfId="1" applyFont="1" applyFill="1" applyBorder="1" applyAlignment="1">
      <alignment horizontal="center" vertical="center" wrapText="1"/>
    </xf>
    <xf numFmtId="0" fontId="11" fillId="11" borderId="42" xfId="1" applyFont="1" applyFill="1" applyBorder="1" applyAlignment="1">
      <alignment horizontal="center" vertical="center" wrapText="1"/>
    </xf>
    <xf numFmtId="2" fontId="11" fillId="11" borderId="43" xfId="0" applyNumberFormat="1" applyFont="1" applyFill="1" applyBorder="1" applyAlignment="1">
      <alignment horizontal="center" vertical="center" wrapText="1"/>
    </xf>
    <xf numFmtId="0" fontId="11" fillId="14" borderId="40" xfId="1" applyFont="1" applyFill="1" applyBorder="1" applyAlignment="1" applyProtection="1">
      <alignment horizontal="center" vertical="center"/>
      <protection locked="0"/>
    </xf>
    <xf numFmtId="0" fontId="11" fillId="14" borderId="39" xfId="3" applyFont="1" applyFill="1" applyBorder="1" applyAlignment="1">
      <alignment horizontal="center" vertical="center"/>
    </xf>
    <xf numFmtId="0" fontId="11" fillId="6" borderId="23" xfId="0" applyFont="1" applyFill="1" applyBorder="1" applyAlignment="1">
      <alignment vertical="center" wrapText="1"/>
    </xf>
    <xf numFmtId="0" fontId="15" fillId="7" borderId="70" xfId="0" applyFont="1" applyFill="1" applyBorder="1" applyAlignment="1">
      <alignment vertical="center" wrapText="1"/>
    </xf>
    <xf numFmtId="0" fontId="11" fillId="7" borderId="70" xfId="0" applyFont="1" applyFill="1" applyBorder="1" applyAlignment="1">
      <alignment vertical="center" wrapText="1"/>
    </xf>
    <xf numFmtId="0" fontId="11" fillId="7" borderId="39" xfId="0" applyFont="1" applyFill="1" applyBorder="1" applyAlignment="1">
      <alignment vertical="center" wrapText="1"/>
    </xf>
    <xf numFmtId="0" fontId="11" fillId="7" borderId="40" xfId="1" applyFont="1" applyFill="1" applyBorder="1" applyAlignment="1">
      <alignment horizontal="center" vertical="center" wrapText="1"/>
    </xf>
    <xf numFmtId="0" fontId="11" fillId="7" borderId="41" xfId="1" applyFont="1" applyFill="1" applyBorder="1" applyAlignment="1">
      <alignment horizontal="center" vertical="center" wrapText="1"/>
    </xf>
    <xf numFmtId="0" fontId="11" fillId="7" borderId="42" xfId="1" applyFont="1" applyFill="1" applyBorder="1" applyAlignment="1">
      <alignment horizontal="center" vertical="center" wrapText="1"/>
    </xf>
    <xf numFmtId="164" fontId="11" fillId="7" borderId="43" xfId="0" applyNumberFormat="1" applyFont="1" applyFill="1" applyBorder="1" applyAlignment="1">
      <alignment horizontal="center" vertical="center" wrapText="1"/>
    </xf>
    <xf numFmtId="164" fontId="11" fillId="7" borderId="41" xfId="1" applyNumberFormat="1" applyFont="1" applyFill="1" applyBorder="1" applyAlignment="1">
      <alignment horizontal="center" vertical="center" wrapText="1"/>
    </xf>
    <xf numFmtId="0" fontId="11" fillId="6" borderId="40" xfId="1" applyFont="1" applyFill="1" applyBorder="1" applyAlignment="1" applyProtection="1">
      <alignment horizontal="center" vertical="center" wrapText="1"/>
      <protection locked="0"/>
    </xf>
    <xf numFmtId="0" fontId="11" fillId="6" borderId="39" xfId="3" applyFont="1" applyFill="1" applyBorder="1" applyAlignment="1">
      <alignment horizontal="center" vertical="center" wrapText="1"/>
    </xf>
    <xf numFmtId="0" fontId="15" fillId="9" borderId="31" xfId="0" applyFont="1" applyFill="1" applyBorder="1" applyAlignment="1">
      <alignment vertical="center" wrapText="1"/>
    </xf>
    <xf numFmtId="0" fontId="9" fillId="9" borderId="32" xfId="0" applyFont="1" applyFill="1" applyBorder="1" applyAlignment="1">
      <alignment vertical="center"/>
    </xf>
    <xf numFmtId="0" fontId="11" fillId="9" borderId="33" xfId="0" applyFont="1" applyFill="1" applyBorder="1" applyAlignment="1">
      <alignment vertical="center" wrapText="1"/>
    </xf>
    <xf numFmtId="2" fontId="11" fillId="9" borderId="34" xfId="1" applyNumberFormat="1" applyFont="1" applyFill="1" applyBorder="1" applyAlignment="1">
      <alignment horizontal="center" vertical="center" wrapText="1"/>
    </xf>
    <xf numFmtId="0" fontId="11" fillId="9" borderId="35" xfId="1" applyFont="1" applyFill="1" applyBorder="1" applyAlignment="1">
      <alignment horizontal="center" vertical="center" wrapText="1"/>
    </xf>
    <xf numFmtId="0" fontId="11" fillId="9" borderId="36" xfId="1" applyFont="1" applyFill="1" applyBorder="1" applyAlignment="1">
      <alignment horizontal="center" vertical="center" wrapText="1"/>
    </xf>
    <xf numFmtId="0" fontId="11" fillId="9" borderId="34" xfId="0" applyFont="1" applyFill="1" applyBorder="1" applyAlignment="1">
      <alignment horizontal="center" vertical="center" wrapText="1"/>
    </xf>
    <xf numFmtId="0" fontId="11" fillId="9" borderId="35" xfId="0" applyFont="1" applyFill="1" applyBorder="1" applyAlignment="1">
      <alignment horizontal="center" vertical="center" wrapText="1"/>
    </xf>
    <xf numFmtId="0" fontId="11" fillId="9" borderId="36" xfId="0" applyFont="1" applyFill="1" applyBorder="1" applyAlignment="1">
      <alignment horizontal="center" vertical="center" wrapText="1"/>
    </xf>
    <xf numFmtId="0" fontId="11" fillId="15" borderId="34" xfId="1" applyFont="1" applyFill="1" applyBorder="1" applyAlignment="1" applyProtection="1">
      <alignment horizontal="center" vertical="center"/>
      <protection locked="0"/>
    </xf>
    <xf numFmtId="0" fontId="11" fillId="15" borderId="36" xfId="3" applyFont="1" applyFill="1" applyBorder="1" applyAlignment="1">
      <alignment horizontal="center" vertical="center"/>
    </xf>
    <xf numFmtId="0" fontId="5" fillId="13" borderId="0" xfId="0" applyFont="1" applyFill="1" applyAlignment="1">
      <alignment wrapText="1"/>
    </xf>
    <xf numFmtId="0" fontId="11" fillId="16" borderId="25" xfId="1" applyFont="1" applyFill="1" applyBorder="1" applyAlignment="1" applyProtection="1">
      <alignment horizontal="center" vertical="center" wrapText="1"/>
      <protection locked="0"/>
    </xf>
    <xf numFmtId="164" fontId="11" fillId="6" borderId="28" xfId="0" applyNumberFormat="1" applyFont="1" applyFill="1" applyBorder="1" applyAlignment="1">
      <alignment horizontal="center" vertical="center" wrapText="1"/>
    </xf>
    <xf numFmtId="164" fontId="11" fillId="6" borderId="26" xfId="1" applyNumberFormat="1" applyFont="1" applyFill="1" applyBorder="1" applyAlignment="1">
      <alignment horizontal="center" vertical="center" wrapText="1"/>
    </xf>
    <xf numFmtId="0" fontId="11" fillId="16" borderId="24" xfId="3" applyFont="1" applyFill="1" applyBorder="1" applyAlignment="1">
      <alignment horizontal="center" vertical="center" wrapText="1"/>
    </xf>
    <xf numFmtId="0" fontId="11" fillId="11" borderId="25" xfId="1" applyFont="1" applyFill="1" applyBorder="1" applyAlignment="1" applyProtection="1">
      <alignment horizontal="center" vertical="center"/>
      <protection locked="0"/>
    </xf>
    <xf numFmtId="2" fontId="11" fillId="12" borderId="28" xfId="0" applyNumberFormat="1" applyFont="1" applyFill="1" applyBorder="1" applyAlignment="1">
      <alignment horizontal="center" vertical="center" wrapText="1"/>
    </xf>
    <xf numFmtId="0" fontId="11" fillId="11" borderId="24" xfId="3" applyFont="1" applyFill="1" applyBorder="1" applyAlignment="1">
      <alignment horizontal="center" vertical="center"/>
    </xf>
    <xf numFmtId="0" fontId="5" fillId="13" borderId="0" xfId="0" applyFont="1" applyFill="1" applyAlignment="1">
      <alignment wrapText="1"/>
    </xf>
    <xf numFmtId="0" fontId="2" fillId="0" borderId="0" xfId="0" applyFont="1" applyFill="1"/>
    <xf numFmtId="0" fontId="6" fillId="0" borderId="0" xfId="0" applyFont="1" applyFill="1" applyAlignment="1">
      <alignment vertical="center"/>
    </xf>
    <xf numFmtId="0" fontId="32" fillId="0" borderId="0" xfId="0" applyFont="1" applyFill="1" applyAlignment="1">
      <alignment vertical="center"/>
    </xf>
    <xf numFmtId="0" fontId="11" fillId="6" borderId="24" xfId="0" applyFont="1" applyFill="1" applyBorder="1" applyAlignment="1">
      <alignment vertical="center" wrapText="1"/>
    </xf>
    <xf numFmtId="0" fontId="11" fillId="12" borderId="11" xfId="0" applyFont="1" applyFill="1" applyBorder="1" applyAlignment="1">
      <alignment vertical="center"/>
    </xf>
    <xf numFmtId="0" fontId="11" fillId="11" borderId="11" xfId="0" applyFont="1" applyFill="1" applyBorder="1" applyAlignment="1">
      <alignment vertical="center"/>
    </xf>
    <xf numFmtId="0" fontId="11" fillId="12" borderId="24" xfId="0" applyFont="1" applyFill="1" applyBorder="1" applyAlignment="1">
      <alignment vertical="center" wrapText="1"/>
    </xf>
    <xf numFmtId="0" fontId="5" fillId="13" borderId="0" xfId="0" applyFont="1" applyFill="1" applyAlignment="1" applyProtection="1">
      <alignment wrapText="1"/>
    </xf>
    <xf numFmtId="0" fontId="30" fillId="13" borderId="0" xfId="4" applyFont="1" applyFill="1" applyAlignment="1" applyProtection="1">
      <alignment wrapText="1"/>
    </xf>
    <xf numFmtId="0" fontId="11" fillId="19" borderId="21" xfId="1" applyFont="1" applyFill="1" applyBorder="1" applyAlignment="1" applyProtection="1">
      <alignment horizontal="center" vertical="center"/>
      <protection locked="0"/>
    </xf>
    <xf numFmtId="0" fontId="11" fillId="17" borderId="21" xfId="1" applyFont="1" applyFill="1" applyBorder="1" applyAlignment="1" applyProtection="1">
      <alignment horizontal="center" vertical="center"/>
      <protection locked="0"/>
    </xf>
    <xf numFmtId="0" fontId="7" fillId="13" borderId="0" xfId="0" applyFont="1" applyFill="1" applyAlignment="1">
      <alignment horizontal="center" wrapText="1"/>
    </xf>
    <xf numFmtId="0" fontId="8" fillId="13" borderId="0" xfId="0" applyFont="1" applyFill="1" applyAlignment="1">
      <alignment horizontal="center" wrapText="1"/>
    </xf>
    <xf numFmtId="0" fontId="5" fillId="13" borderId="0" xfId="0" applyFont="1" applyFill="1" applyAlignment="1">
      <alignment horizontal="center" wrapText="1"/>
    </xf>
    <xf numFmtId="0" fontId="6" fillId="13" borderId="0" xfId="0" applyFont="1" applyFill="1" applyAlignment="1">
      <alignment horizontal="center" wrapText="1"/>
    </xf>
    <xf numFmtId="0" fontId="5" fillId="13" borderId="0" xfId="0" applyFont="1" applyFill="1" applyAlignment="1" applyProtection="1">
      <alignment horizontal="left" wrapText="1"/>
    </xf>
    <xf numFmtId="0" fontId="4" fillId="4" borderId="62" xfId="0" applyFont="1" applyFill="1" applyBorder="1" applyAlignment="1">
      <alignment horizontal="center" vertical="center" wrapText="1"/>
    </xf>
    <xf numFmtId="0" fontId="4" fillId="4" borderId="67" xfId="0" applyFont="1" applyFill="1" applyBorder="1" applyAlignment="1">
      <alignment horizontal="center" vertical="center" wrapText="1"/>
    </xf>
    <xf numFmtId="0" fontId="30" fillId="13" borderId="0" xfId="4" applyFont="1" applyFill="1" applyAlignment="1" applyProtection="1">
      <alignment horizontal="left" wrapText="1"/>
    </xf>
    <xf numFmtId="0" fontId="31" fillId="13" borderId="0" xfId="4" applyFont="1" applyFill="1" applyAlignment="1" applyProtection="1">
      <alignment horizontal="left" wrapText="1"/>
    </xf>
    <xf numFmtId="0" fontId="4" fillId="4" borderId="69" xfId="0" applyFont="1" applyFill="1" applyBorder="1" applyAlignment="1">
      <alignment horizontal="center" vertical="center"/>
    </xf>
    <xf numFmtId="0" fontId="4" fillId="4" borderId="52" xfId="0" applyFont="1" applyFill="1" applyBorder="1" applyAlignment="1">
      <alignment horizontal="center" vertical="center"/>
    </xf>
    <xf numFmtId="0" fontId="4" fillId="4" borderId="68" xfId="0" applyFont="1" applyFill="1" applyBorder="1" applyAlignment="1">
      <alignment horizontal="center" vertical="center" wrapText="1"/>
    </xf>
    <xf numFmtId="0" fontId="4" fillId="4" borderId="69" xfId="0" applyFont="1" applyFill="1" applyBorder="1" applyAlignment="1">
      <alignment horizontal="center" vertical="center" wrapText="1"/>
    </xf>
    <xf numFmtId="0" fontId="8" fillId="13" borderId="0" xfId="0" applyFont="1" applyFill="1" applyAlignment="1" applyProtection="1">
      <alignment horizontal="center" vertical="center" wrapText="1"/>
    </xf>
    <xf numFmtId="0" fontId="8" fillId="13" borderId="0" xfId="0" applyFont="1" applyFill="1" applyAlignment="1">
      <alignment horizontal="center" vertical="center" wrapText="1"/>
    </xf>
    <xf numFmtId="0" fontId="31" fillId="13" borderId="0" xfId="4" applyFont="1" applyFill="1" applyAlignment="1">
      <alignment horizontal="left" wrapText="1"/>
    </xf>
    <xf numFmtId="0" fontId="30" fillId="13" borderId="0" xfId="4" applyFont="1" applyFill="1" applyAlignment="1">
      <alignment horizontal="left" wrapText="1"/>
    </xf>
    <xf numFmtId="0" fontId="4" fillId="4" borderId="60" xfId="0" applyFont="1" applyFill="1" applyBorder="1" applyAlignment="1">
      <alignment horizontal="center" vertical="center"/>
    </xf>
    <xf numFmtId="0" fontId="4" fillId="4" borderId="64" xfId="0" applyFont="1" applyFill="1" applyBorder="1" applyAlignment="1">
      <alignment horizontal="center" vertical="center"/>
    </xf>
    <xf numFmtId="2" fontId="4" fillId="4" borderId="59" xfId="0" applyNumberFormat="1" applyFont="1" applyFill="1" applyBorder="1" applyAlignment="1">
      <alignment horizontal="center" vertical="center"/>
    </xf>
    <xf numFmtId="2" fontId="4" fillId="4" borderId="60" xfId="0" applyNumberFormat="1" applyFont="1" applyFill="1" applyBorder="1" applyAlignment="1">
      <alignment horizontal="center" vertical="center"/>
    </xf>
    <xf numFmtId="2" fontId="4" fillId="4" borderId="61" xfId="0" applyNumberFormat="1" applyFont="1" applyFill="1" applyBorder="1" applyAlignment="1">
      <alignment horizontal="center" vertical="center"/>
    </xf>
    <xf numFmtId="0" fontId="5" fillId="13" borderId="0" xfId="0" applyFont="1" applyFill="1" applyAlignment="1">
      <alignment horizontal="left" wrapText="1"/>
    </xf>
    <xf numFmtId="0" fontId="5" fillId="13" borderId="0" xfId="0" applyFont="1" applyFill="1" applyAlignment="1">
      <alignment wrapText="1"/>
    </xf>
    <xf numFmtId="0" fontId="4" fillId="4" borderId="6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59" xfId="0" applyFont="1" applyFill="1" applyBorder="1" applyAlignment="1">
      <alignment horizontal="center" vertical="center" wrapText="1"/>
    </xf>
    <xf numFmtId="0" fontId="4" fillId="4" borderId="60" xfId="0" applyFont="1" applyFill="1" applyBorder="1" applyAlignment="1">
      <alignment horizontal="center" vertical="center" wrapText="1"/>
    </xf>
    <xf numFmtId="0" fontId="4" fillId="4" borderId="61" xfId="0" applyFont="1" applyFill="1" applyBorder="1" applyAlignment="1">
      <alignment horizontal="center" vertical="center" wrapText="1"/>
    </xf>
    <xf numFmtId="0" fontId="4" fillId="4" borderId="58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30" fillId="13" borderId="0" xfId="4" applyFont="1" applyFill="1"/>
  </cellXfs>
  <cellStyles count="5">
    <cellStyle name="20% - Accent3" xfId="1" builtinId="38"/>
    <cellStyle name="40% - Accent3" xfId="3" builtinId="39"/>
    <cellStyle name="60% - Accent3" xfId="2" builtinId="40"/>
    <cellStyle name="Hyperlink" xfId="4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jpeg"/><Relationship Id="rId13" Type="http://schemas.openxmlformats.org/officeDocument/2006/relationships/image" Target="../media/image27.jpeg"/><Relationship Id="rId18" Type="http://schemas.openxmlformats.org/officeDocument/2006/relationships/image" Target="../media/image32.jpeg"/><Relationship Id="rId26" Type="http://schemas.openxmlformats.org/officeDocument/2006/relationships/image" Target="../media/image38.jpeg"/><Relationship Id="rId3" Type="http://schemas.openxmlformats.org/officeDocument/2006/relationships/image" Target="../media/image18.jpeg"/><Relationship Id="rId21" Type="http://schemas.openxmlformats.org/officeDocument/2006/relationships/image" Target="../media/image35.jpeg"/><Relationship Id="rId7" Type="http://schemas.openxmlformats.org/officeDocument/2006/relationships/image" Target="../media/image21.jpeg"/><Relationship Id="rId12" Type="http://schemas.openxmlformats.org/officeDocument/2006/relationships/image" Target="../media/image26.jpeg"/><Relationship Id="rId17" Type="http://schemas.openxmlformats.org/officeDocument/2006/relationships/image" Target="../media/image31.jpeg"/><Relationship Id="rId25" Type="http://schemas.openxmlformats.org/officeDocument/2006/relationships/image" Target="../media/image10.jpeg"/><Relationship Id="rId33" Type="http://schemas.openxmlformats.org/officeDocument/2006/relationships/image" Target="../media/image17.png"/><Relationship Id="rId2" Type="http://schemas.openxmlformats.org/officeDocument/2006/relationships/image" Target="../media/image3.jpeg"/><Relationship Id="rId16" Type="http://schemas.openxmlformats.org/officeDocument/2006/relationships/image" Target="../media/image30.jpeg"/><Relationship Id="rId20" Type="http://schemas.openxmlformats.org/officeDocument/2006/relationships/image" Target="../media/image34.jpeg"/><Relationship Id="rId29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20.jpeg"/><Relationship Id="rId11" Type="http://schemas.openxmlformats.org/officeDocument/2006/relationships/image" Target="../media/image25.jpeg"/><Relationship Id="rId24" Type="http://schemas.openxmlformats.org/officeDocument/2006/relationships/image" Target="../media/image37.jpeg"/><Relationship Id="rId32" Type="http://schemas.openxmlformats.org/officeDocument/2006/relationships/image" Target="../media/image16.jpeg"/><Relationship Id="rId5" Type="http://schemas.openxmlformats.org/officeDocument/2006/relationships/image" Target="../media/image19.jpeg"/><Relationship Id="rId15" Type="http://schemas.openxmlformats.org/officeDocument/2006/relationships/image" Target="../media/image29.jpeg"/><Relationship Id="rId23" Type="http://schemas.openxmlformats.org/officeDocument/2006/relationships/image" Target="../media/image36.jpeg"/><Relationship Id="rId28" Type="http://schemas.openxmlformats.org/officeDocument/2006/relationships/image" Target="../media/image40.jpeg"/><Relationship Id="rId10" Type="http://schemas.openxmlformats.org/officeDocument/2006/relationships/image" Target="../media/image24.jpeg"/><Relationship Id="rId19" Type="http://schemas.openxmlformats.org/officeDocument/2006/relationships/image" Target="../media/image33.jpeg"/><Relationship Id="rId31" Type="http://schemas.openxmlformats.org/officeDocument/2006/relationships/image" Target="../media/image15.jpeg"/><Relationship Id="rId4" Type="http://schemas.openxmlformats.org/officeDocument/2006/relationships/image" Target="../media/image5.jpeg"/><Relationship Id="rId9" Type="http://schemas.openxmlformats.org/officeDocument/2006/relationships/image" Target="../media/image23.jpeg"/><Relationship Id="rId14" Type="http://schemas.openxmlformats.org/officeDocument/2006/relationships/image" Target="../media/image28.jpeg"/><Relationship Id="rId22" Type="http://schemas.openxmlformats.org/officeDocument/2006/relationships/image" Target="../media/image6.jpeg"/><Relationship Id="rId27" Type="http://schemas.openxmlformats.org/officeDocument/2006/relationships/image" Target="../media/image39.jpeg"/><Relationship Id="rId30" Type="http://schemas.openxmlformats.org/officeDocument/2006/relationships/image" Target="../media/image13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4.jpeg"/><Relationship Id="rId13" Type="http://schemas.openxmlformats.org/officeDocument/2006/relationships/image" Target="../media/image47.jpeg"/><Relationship Id="rId18" Type="http://schemas.openxmlformats.org/officeDocument/2006/relationships/image" Target="../media/image52.jpeg"/><Relationship Id="rId3" Type="http://schemas.openxmlformats.org/officeDocument/2006/relationships/image" Target="../media/image18.jpeg"/><Relationship Id="rId7" Type="http://schemas.openxmlformats.org/officeDocument/2006/relationships/image" Target="../media/image43.jpeg"/><Relationship Id="rId12" Type="http://schemas.openxmlformats.org/officeDocument/2006/relationships/image" Target="../media/image37.jpeg"/><Relationship Id="rId17" Type="http://schemas.openxmlformats.org/officeDocument/2006/relationships/image" Target="../media/image51.jpeg"/><Relationship Id="rId2" Type="http://schemas.openxmlformats.org/officeDocument/2006/relationships/image" Target="../media/image3.jpeg"/><Relationship Id="rId16" Type="http://schemas.openxmlformats.org/officeDocument/2006/relationships/image" Target="../media/image50.jpeg"/><Relationship Id="rId20" Type="http://schemas.openxmlformats.org/officeDocument/2006/relationships/image" Target="../media/image17.png"/><Relationship Id="rId1" Type="http://schemas.openxmlformats.org/officeDocument/2006/relationships/image" Target="../media/image2.jpeg"/><Relationship Id="rId6" Type="http://schemas.openxmlformats.org/officeDocument/2006/relationships/image" Target="../media/image30.jpeg"/><Relationship Id="rId11" Type="http://schemas.openxmlformats.org/officeDocument/2006/relationships/image" Target="../media/image46.jpeg"/><Relationship Id="rId5" Type="http://schemas.openxmlformats.org/officeDocument/2006/relationships/image" Target="../media/image20.jpeg"/><Relationship Id="rId15" Type="http://schemas.openxmlformats.org/officeDocument/2006/relationships/image" Target="../media/image49.jpeg"/><Relationship Id="rId10" Type="http://schemas.openxmlformats.org/officeDocument/2006/relationships/image" Target="../media/image45.jpeg"/><Relationship Id="rId19" Type="http://schemas.openxmlformats.org/officeDocument/2006/relationships/image" Target="../media/image53.jpeg"/><Relationship Id="rId4" Type="http://schemas.openxmlformats.org/officeDocument/2006/relationships/image" Target="../media/image5.jpeg"/><Relationship Id="rId9" Type="http://schemas.openxmlformats.org/officeDocument/2006/relationships/image" Target="../media/image6.jpeg"/><Relationship Id="rId14" Type="http://schemas.openxmlformats.org/officeDocument/2006/relationships/image" Target="../media/image48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90781</xdr:colOff>
      <xdr:row>13</xdr:row>
      <xdr:rowOff>59869</xdr:rowOff>
    </xdr:from>
    <xdr:to>
      <xdr:col>1</xdr:col>
      <xdr:colOff>1524382</xdr:colOff>
      <xdr:row>13</xdr:row>
      <xdr:rowOff>1047802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33DEFB0A-2094-471B-A8A8-E700E8E5B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4713" y="10549449"/>
          <a:ext cx="1433601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72483</xdr:colOff>
      <xdr:row>14</xdr:row>
      <xdr:rowOff>69760</xdr:rowOff>
    </xdr:from>
    <xdr:to>
      <xdr:col>1</xdr:col>
      <xdr:colOff>1541782</xdr:colOff>
      <xdr:row>14</xdr:row>
      <xdr:rowOff>1044358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51E7BA33-D92C-4E67-8BAA-A5ADE897A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6415" y="11670745"/>
          <a:ext cx="1473109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17</xdr:row>
      <xdr:rowOff>65315</xdr:rowOff>
    </xdr:from>
    <xdr:to>
      <xdr:col>1</xdr:col>
      <xdr:colOff>1540002</xdr:colOff>
      <xdr:row>17</xdr:row>
      <xdr:rowOff>1047533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FED543A2-52A3-4787-AF90-B65BA5E84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8671" y="19528972"/>
          <a:ext cx="1467612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71222</xdr:colOff>
      <xdr:row>20</xdr:row>
      <xdr:rowOff>84365</xdr:rowOff>
    </xdr:from>
    <xdr:to>
      <xdr:col>1</xdr:col>
      <xdr:colOff>1542644</xdr:colOff>
      <xdr:row>20</xdr:row>
      <xdr:rowOff>1013243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DF1172D3-D564-4217-8BFC-29878DDAD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5154" y="18353780"/>
          <a:ext cx="1467612" cy="940308"/>
        </a:xfrm>
        <a:prstGeom prst="rect">
          <a:avLst/>
        </a:prstGeom>
      </xdr:spPr>
    </xdr:pic>
    <xdr:clientData/>
  </xdr:twoCellAnchor>
  <xdr:twoCellAnchor editAs="oneCell">
    <xdr:from>
      <xdr:col>1</xdr:col>
      <xdr:colOff>66774</xdr:colOff>
      <xdr:row>22</xdr:row>
      <xdr:rowOff>73480</xdr:rowOff>
    </xdr:from>
    <xdr:to>
      <xdr:col>1</xdr:col>
      <xdr:colOff>1543722</xdr:colOff>
      <xdr:row>22</xdr:row>
      <xdr:rowOff>1048078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F2A104E7-7AE2-4C51-9C73-110135B5B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0706" y="20565704"/>
          <a:ext cx="1467423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38565</xdr:colOff>
      <xdr:row>19</xdr:row>
      <xdr:rowOff>42282</xdr:rowOff>
    </xdr:from>
    <xdr:to>
      <xdr:col>1</xdr:col>
      <xdr:colOff>1577805</xdr:colOff>
      <xdr:row>19</xdr:row>
      <xdr:rowOff>1082412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2514C2CD-4DD7-44E3-B8F3-9A1AEA112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2497" y="17200292"/>
          <a:ext cx="1543050" cy="1028700"/>
        </a:xfrm>
        <a:prstGeom prst="rect">
          <a:avLst/>
        </a:prstGeom>
      </xdr:spPr>
    </xdr:pic>
    <xdr:clientData/>
  </xdr:twoCellAnchor>
  <xdr:twoCellAnchor editAs="oneCell">
    <xdr:from>
      <xdr:col>1</xdr:col>
      <xdr:colOff>61797</xdr:colOff>
      <xdr:row>21</xdr:row>
      <xdr:rowOff>65049</xdr:rowOff>
    </xdr:from>
    <xdr:to>
      <xdr:col>1</xdr:col>
      <xdr:colOff>1540077</xdr:colOff>
      <xdr:row>21</xdr:row>
      <xdr:rowOff>1046759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4C451520-65CA-48F4-8AC0-0FC0C856C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5729" y="19445869"/>
          <a:ext cx="1466850" cy="977900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15</xdr:row>
      <xdr:rowOff>58891</xdr:rowOff>
    </xdr:from>
    <xdr:to>
      <xdr:col>1</xdr:col>
      <xdr:colOff>1463040</xdr:colOff>
      <xdr:row>15</xdr:row>
      <xdr:rowOff>1051397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6654C57B-5382-42FE-BFBA-25E6432F9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57282" y="12771281"/>
          <a:ext cx="1333500" cy="1000126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7</xdr:row>
      <xdr:rowOff>69850</xdr:rowOff>
    </xdr:from>
    <xdr:to>
      <xdr:col>1</xdr:col>
      <xdr:colOff>1562100</xdr:colOff>
      <xdr:row>7</xdr:row>
      <xdr:rowOff>1047115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A2B76A2-CC9E-4512-B2EB-4810EEA3D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5950" y="3879850"/>
          <a:ext cx="1485900" cy="9906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10</xdr:row>
      <xdr:rowOff>57150</xdr:rowOff>
    </xdr:from>
    <xdr:to>
      <xdr:col>1</xdr:col>
      <xdr:colOff>1562100</xdr:colOff>
      <xdr:row>10</xdr:row>
      <xdr:rowOff>1043940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7537ECD0-6DF1-43F0-85D0-DB1129F42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5950" y="7181850"/>
          <a:ext cx="1485900" cy="9906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11</xdr:row>
      <xdr:rowOff>66133</xdr:rowOff>
    </xdr:from>
    <xdr:to>
      <xdr:col>1</xdr:col>
      <xdr:colOff>1524000</xdr:colOff>
      <xdr:row>11</xdr:row>
      <xdr:rowOff>1009108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9649309C-A278-4D10-A038-7CEC110DB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9182" y="8332904"/>
          <a:ext cx="1428750" cy="952500"/>
        </a:xfrm>
        <a:prstGeom prst="rect">
          <a:avLst/>
        </a:prstGeom>
      </xdr:spPr>
    </xdr:pic>
    <xdr:clientData/>
  </xdr:twoCellAnchor>
  <xdr:twoCellAnchor editAs="oneCell">
    <xdr:from>
      <xdr:col>1</xdr:col>
      <xdr:colOff>47858</xdr:colOff>
      <xdr:row>18</xdr:row>
      <xdr:rowOff>120371</xdr:rowOff>
    </xdr:from>
    <xdr:to>
      <xdr:col>1</xdr:col>
      <xdr:colOff>1545756</xdr:colOff>
      <xdr:row>18</xdr:row>
      <xdr:rowOff>968490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83D7E5B1-CF11-44B1-A8EA-F1405BB868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1790" y="16166976"/>
          <a:ext cx="1494088" cy="851929"/>
        </a:xfrm>
        <a:prstGeom prst="rect">
          <a:avLst/>
        </a:prstGeom>
      </xdr:spPr>
    </xdr:pic>
    <xdr:clientData/>
  </xdr:twoCellAnchor>
  <xdr:twoCellAnchor editAs="oneCell">
    <xdr:from>
      <xdr:col>1</xdr:col>
      <xdr:colOff>90837</xdr:colOff>
      <xdr:row>12</xdr:row>
      <xdr:rowOff>88900</xdr:rowOff>
    </xdr:from>
    <xdr:to>
      <xdr:col>1</xdr:col>
      <xdr:colOff>1540542</xdr:colOff>
      <xdr:row>12</xdr:row>
      <xdr:rowOff>1043940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6C5D5BF5-3B37-427D-9A09-3316F5F32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4769" y="9467076"/>
          <a:ext cx="1438275" cy="958850"/>
        </a:xfrm>
        <a:prstGeom prst="rect">
          <a:avLst/>
        </a:prstGeom>
      </xdr:spPr>
    </xdr:pic>
    <xdr:clientData/>
  </xdr:twoCellAnchor>
  <xdr:twoCellAnchor>
    <xdr:from>
      <xdr:col>1</xdr:col>
      <xdr:colOff>95250</xdr:colOff>
      <xdr:row>8</xdr:row>
      <xdr:rowOff>72948</xdr:rowOff>
    </xdr:from>
    <xdr:to>
      <xdr:col>1</xdr:col>
      <xdr:colOff>1530858</xdr:colOff>
      <xdr:row>8</xdr:row>
      <xdr:rowOff>1033068</xdr:rowOff>
    </xdr:to>
    <xdr:grpSp>
      <xdr:nvGrpSpPr>
        <xdr:cNvPr id="32" name="Group 31">
          <a:extLst>
            <a:ext uri="{FF2B5EF4-FFF2-40B4-BE49-F238E27FC236}">
              <a16:creationId xmlns:a16="http://schemas.microsoft.com/office/drawing/2014/main" id="{238CEEDF-6812-4BD3-A7CE-6BE8900BBBF3}"/>
            </a:ext>
          </a:extLst>
        </xdr:cNvPr>
        <xdr:cNvGrpSpPr/>
      </xdr:nvGrpSpPr>
      <xdr:grpSpPr>
        <a:xfrm>
          <a:off x="5715000" y="4987848"/>
          <a:ext cx="1435608" cy="960120"/>
          <a:chOff x="20212050" y="6286500"/>
          <a:chExt cx="1435608" cy="960120"/>
        </a:xfrm>
      </xdr:grpSpPr>
      <xdr:sp macro="" textlink="">
        <xdr:nvSpPr>
          <xdr:cNvPr id="31" name="Rectangle 30">
            <a:extLst>
              <a:ext uri="{FF2B5EF4-FFF2-40B4-BE49-F238E27FC236}">
                <a16:creationId xmlns:a16="http://schemas.microsoft.com/office/drawing/2014/main" id="{D68C9839-8506-489E-80B0-F86E97D8B0C3}"/>
              </a:ext>
            </a:extLst>
          </xdr:cNvPr>
          <xdr:cNvSpPr/>
        </xdr:nvSpPr>
        <xdr:spPr>
          <a:xfrm>
            <a:off x="20212050" y="6286500"/>
            <a:ext cx="1435608" cy="96012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E62661D4-6A8F-45EE-BF00-2538173F37D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439889" y="6296024"/>
            <a:ext cx="933685" cy="945656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95250</xdr:colOff>
      <xdr:row>9</xdr:row>
      <xdr:rowOff>78658</xdr:rowOff>
    </xdr:from>
    <xdr:to>
      <xdr:col>1</xdr:col>
      <xdr:colOff>1530858</xdr:colOff>
      <xdr:row>9</xdr:row>
      <xdr:rowOff>1038778</xdr:rowOff>
    </xdr:to>
    <xdr:grpSp>
      <xdr:nvGrpSpPr>
        <xdr:cNvPr id="36" name="Group 35">
          <a:extLst>
            <a:ext uri="{FF2B5EF4-FFF2-40B4-BE49-F238E27FC236}">
              <a16:creationId xmlns:a16="http://schemas.microsoft.com/office/drawing/2014/main" id="{7C5E6722-3A9C-4145-ACBB-0D29FA1275EE}"/>
            </a:ext>
          </a:extLst>
        </xdr:cNvPr>
        <xdr:cNvGrpSpPr/>
      </xdr:nvGrpSpPr>
      <xdr:grpSpPr>
        <a:xfrm>
          <a:off x="5715000" y="6098458"/>
          <a:ext cx="1435608" cy="960120"/>
          <a:chOff x="5719302" y="6127955"/>
          <a:chExt cx="1435608" cy="960120"/>
        </a:xfrm>
      </xdr:grpSpPr>
      <xdr:sp macro="" textlink="">
        <xdr:nvSpPr>
          <xdr:cNvPr id="33" name="Rectangle 32">
            <a:extLst>
              <a:ext uri="{FF2B5EF4-FFF2-40B4-BE49-F238E27FC236}">
                <a16:creationId xmlns:a16="http://schemas.microsoft.com/office/drawing/2014/main" id="{F2BA49AE-587B-4684-AC8C-ECFA57AFCCA2}"/>
              </a:ext>
            </a:extLst>
          </xdr:cNvPr>
          <xdr:cNvSpPr/>
        </xdr:nvSpPr>
        <xdr:spPr>
          <a:xfrm>
            <a:off x="5719302" y="6127955"/>
            <a:ext cx="1435608" cy="96012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A1F9F721-FAAD-4CA7-8141-2F66DB03F25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776453" y="6128385"/>
            <a:ext cx="1246784" cy="954633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95250</xdr:colOff>
      <xdr:row>16</xdr:row>
      <xdr:rowOff>57150</xdr:rowOff>
    </xdr:from>
    <xdr:to>
      <xdr:col>1</xdr:col>
      <xdr:colOff>1530858</xdr:colOff>
      <xdr:row>16</xdr:row>
      <xdr:rowOff>1018833</xdr:rowOff>
    </xdr:to>
    <xdr:grpSp>
      <xdr:nvGrpSpPr>
        <xdr:cNvPr id="37" name="Group 36">
          <a:extLst>
            <a:ext uri="{FF2B5EF4-FFF2-40B4-BE49-F238E27FC236}">
              <a16:creationId xmlns:a16="http://schemas.microsoft.com/office/drawing/2014/main" id="{C6DDB306-293E-478C-909A-CB8D6BC04A1B}"/>
            </a:ext>
          </a:extLst>
        </xdr:cNvPr>
        <xdr:cNvGrpSpPr/>
      </xdr:nvGrpSpPr>
      <xdr:grpSpPr>
        <a:xfrm>
          <a:off x="5715000" y="13811250"/>
          <a:ext cx="1435608" cy="961683"/>
          <a:chOff x="5719182" y="13880945"/>
          <a:chExt cx="1435608" cy="961683"/>
        </a:xfrm>
      </xdr:grpSpPr>
      <xdr:sp macro="" textlink="">
        <xdr:nvSpPr>
          <xdr:cNvPr id="42" name="Rectangle 41">
            <a:extLst>
              <a:ext uri="{FF2B5EF4-FFF2-40B4-BE49-F238E27FC236}">
                <a16:creationId xmlns:a16="http://schemas.microsoft.com/office/drawing/2014/main" id="{6787EA56-CFF2-421A-A890-FDA52357DEF5}"/>
              </a:ext>
            </a:extLst>
          </xdr:cNvPr>
          <xdr:cNvSpPr/>
        </xdr:nvSpPr>
        <xdr:spPr>
          <a:xfrm>
            <a:off x="5719182" y="13880945"/>
            <a:ext cx="1435608" cy="96012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pic>
        <xdr:nvPicPr>
          <xdr:cNvPr id="26" name="Picture 25">
            <a:extLst>
              <a:ext uri="{FF2B5EF4-FFF2-40B4-BE49-F238E27FC236}">
                <a16:creationId xmlns:a16="http://schemas.microsoft.com/office/drawing/2014/main" id="{B4DACA71-EB29-4630-A138-8C1494CBE3A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10800000" flipV="1">
            <a:off x="5915778" y="13887995"/>
            <a:ext cx="946404" cy="954633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209550</xdr:colOff>
      <xdr:row>24</xdr:row>
      <xdr:rowOff>76200</xdr:rowOff>
    </xdr:from>
    <xdr:to>
      <xdr:col>0</xdr:col>
      <xdr:colOff>1580979</xdr:colOff>
      <xdr:row>24</xdr:row>
      <xdr:rowOff>838105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1B14764-1914-465C-9B89-771EF7DDC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1869400"/>
          <a:ext cx="1371429" cy="7619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53151</xdr:colOff>
      <xdr:row>21</xdr:row>
      <xdr:rowOff>66964</xdr:rowOff>
    </xdr:from>
    <xdr:to>
      <xdr:col>1</xdr:col>
      <xdr:colOff>1486752</xdr:colOff>
      <xdr:row>21</xdr:row>
      <xdr:rowOff>1049182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A08E45D2-B250-4BC0-AC13-0A3D26473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9660" y="19463328"/>
          <a:ext cx="1433601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25</xdr:row>
      <xdr:rowOff>71045</xdr:rowOff>
    </xdr:from>
    <xdr:to>
      <xdr:col>1</xdr:col>
      <xdr:colOff>1562862</xdr:colOff>
      <xdr:row>25</xdr:row>
      <xdr:rowOff>1045643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BF3E154B-E9AC-4388-8CFE-EA86633FB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3932" y="34764457"/>
          <a:ext cx="1467612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90632</xdr:colOff>
      <xdr:row>32</xdr:row>
      <xdr:rowOff>67235</xdr:rowOff>
    </xdr:from>
    <xdr:to>
      <xdr:col>1</xdr:col>
      <xdr:colOff>1556339</xdr:colOff>
      <xdr:row>32</xdr:row>
      <xdr:rowOff>1049453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C962253C-E49D-461F-8475-687D4EC95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7141" y="31706399"/>
          <a:ext cx="1467612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36</xdr:row>
      <xdr:rowOff>67235</xdr:rowOff>
    </xdr:from>
    <xdr:to>
      <xdr:col>1</xdr:col>
      <xdr:colOff>1524573</xdr:colOff>
      <xdr:row>36</xdr:row>
      <xdr:rowOff>1049453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A0560454-E832-4A32-8950-4DA0028512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5832" y="49211753"/>
          <a:ext cx="1467423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63962</xdr:colOff>
      <xdr:row>11</xdr:row>
      <xdr:rowOff>69925</xdr:rowOff>
    </xdr:from>
    <xdr:to>
      <xdr:col>1</xdr:col>
      <xdr:colOff>1533609</xdr:colOff>
      <xdr:row>11</xdr:row>
      <xdr:rowOff>1044523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E1569CFE-8A43-4E9C-B42A-CC0B4D910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0471" y="8336470"/>
          <a:ext cx="1467742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83127</xdr:colOff>
      <xdr:row>34</xdr:row>
      <xdr:rowOff>104603</xdr:rowOff>
    </xdr:from>
    <xdr:to>
      <xdr:col>1</xdr:col>
      <xdr:colOff>1553406</xdr:colOff>
      <xdr:row>34</xdr:row>
      <xdr:rowOff>1008855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844946EC-97D4-4C27-939B-98B628566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7327" y="47386703"/>
          <a:ext cx="1472184" cy="908062"/>
        </a:xfrm>
        <a:prstGeom prst="rect">
          <a:avLst/>
        </a:prstGeom>
      </xdr:spPr>
    </xdr:pic>
    <xdr:clientData/>
  </xdr:twoCellAnchor>
  <xdr:twoCellAnchor editAs="oneCell">
    <xdr:from>
      <xdr:col>1</xdr:col>
      <xdr:colOff>63269</xdr:colOff>
      <xdr:row>10</xdr:row>
      <xdr:rowOff>69272</xdr:rowOff>
    </xdr:from>
    <xdr:to>
      <xdr:col>1</xdr:col>
      <xdr:colOff>1532786</xdr:colOff>
      <xdr:row>10</xdr:row>
      <xdr:rowOff>1051490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B8DEC0DD-9F38-4192-AC82-B18431273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9778" y="7222836"/>
          <a:ext cx="1467612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55419</xdr:colOff>
      <xdr:row>15</xdr:row>
      <xdr:rowOff>66040</xdr:rowOff>
    </xdr:from>
    <xdr:to>
      <xdr:col>1</xdr:col>
      <xdr:colOff>1523238</xdr:colOff>
      <xdr:row>15</xdr:row>
      <xdr:rowOff>1048258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ECC3C005-DB43-4D41-976D-E43CF99CFD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1928" y="12784513"/>
          <a:ext cx="1467819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68962</xdr:colOff>
      <xdr:row>18</xdr:row>
      <xdr:rowOff>67642</xdr:rowOff>
    </xdr:from>
    <xdr:to>
      <xdr:col>1</xdr:col>
      <xdr:colOff>1540202</xdr:colOff>
      <xdr:row>18</xdr:row>
      <xdr:rowOff>1048964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EF79E361-4FD8-4ABA-84E0-5EF31D3ABE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5471" y="16125060"/>
          <a:ext cx="1467430" cy="985132"/>
        </a:xfrm>
        <a:prstGeom prst="rect">
          <a:avLst/>
        </a:prstGeom>
      </xdr:spPr>
    </xdr:pic>
    <xdr:clientData/>
  </xdr:twoCellAnchor>
  <xdr:twoCellAnchor editAs="oneCell">
    <xdr:from>
      <xdr:col>1</xdr:col>
      <xdr:colOff>44566</xdr:colOff>
      <xdr:row>22</xdr:row>
      <xdr:rowOff>73891</xdr:rowOff>
    </xdr:from>
    <xdr:to>
      <xdr:col>1</xdr:col>
      <xdr:colOff>1508368</xdr:colOff>
      <xdr:row>22</xdr:row>
      <xdr:rowOff>1048489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6EE04EB7-0626-4D30-A198-70A7BA5C5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1075" y="20583236"/>
          <a:ext cx="1467612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146859</xdr:colOff>
      <xdr:row>29</xdr:row>
      <xdr:rowOff>60919</xdr:rowOff>
    </xdr:from>
    <xdr:to>
      <xdr:col>1</xdr:col>
      <xdr:colOff>1482357</xdr:colOff>
      <xdr:row>29</xdr:row>
      <xdr:rowOff>1066759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4CCF348D-1AA5-4D8D-AFFF-95DB80C3C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5541" y="39200825"/>
          <a:ext cx="1335498" cy="1005840"/>
        </a:xfrm>
        <a:prstGeom prst="rect">
          <a:avLst/>
        </a:prstGeom>
      </xdr:spPr>
    </xdr:pic>
    <xdr:clientData/>
  </xdr:twoCellAnchor>
  <xdr:twoCellAnchor editAs="oneCell">
    <xdr:from>
      <xdr:col>1</xdr:col>
      <xdr:colOff>83127</xdr:colOff>
      <xdr:row>31</xdr:row>
      <xdr:rowOff>67927</xdr:rowOff>
    </xdr:from>
    <xdr:to>
      <xdr:col>1</xdr:col>
      <xdr:colOff>1548834</xdr:colOff>
      <xdr:row>31</xdr:row>
      <xdr:rowOff>1050145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472F6B64-248A-487C-8ABD-024D2FEBF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1809" y="42542703"/>
          <a:ext cx="1467612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83127</xdr:colOff>
      <xdr:row>33</xdr:row>
      <xdr:rowOff>99753</xdr:rowOff>
    </xdr:from>
    <xdr:to>
      <xdr:col>1</xdr:col>
      <xdr:colOff>1553406</xdr:colOff>
      <xdr:row>33</xdr:row>
      <xdr:rowOff>1017963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id="{946A47CE-383A-48C9-9EEE-50569F96B8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7327" y="46269333"/>
          <a:ext cx="1472184" cy="920115"/>
        </a:xfrm>
        <a:prstGeom prst="rect">
          <a:avLst/>
        </a:prstGeom>
      </xdr:spPr>
    </xdr:pic>
    <xdr:clientData/>
  </xdr:twoCellAnchor>
  <xdr:twoCellAnchor editAs="oneCell">
    <xdr:from>
      <xdr:col>1</xdr:col>
      <xdr:colOff>87746</xdr:colOff>
      <xdr:row>35</xdr:row>
      <xdr:rowOff>69273</xdr:rowOff>
    </xdr:from>
    <xdr:to>
      <xdr:col>1</xdr:col>
      <xdr:colOff>1553453</xdr:colOff>
      <xdr:row>35</xdr:row>
      <xdr:rowOff>1051491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78F3F07A-0C6D-42B5-A9E7-5509887B6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4255" y="35047382"/>
          <a:ext cx="1467612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64655</xdr:colOff>
      <xdr:row>38</xdr:row>
      <xdr:rowOff>72003</xdr:rowOff>
    </xdr:from>
    <xdr:to>
      <xdr:col>1</xdr:col>
      <xdr:colOff>1532508</xdr:colOff>
      <xdr:row>38</xdr:row>
      <xdr:rowOff>1046601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id="{EE25F004-F1F2-4144-B338-EADB40B25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1164" y="38389058"/>
          <a:ext cx="1465948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69273</xdr:colOff>
      <xdr:row>8</xdr:row>
      <xdr:rowOff>41563</xdr:rowOff>
    </xdr:from>
    <xdr:to>
      <xdr:col>1</xdr:col>
      <xdr:colOff>1534218</xdr:colOff>
      <xdr:row>8</xdr:row>
      <xdr:rowOff>1013113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73A48F1-BCAD-4378-8F2D-1737833DB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0400" y="5818908"/>
          <a:ext cx="1463040" cy="975360"/>
        </a:xfrm>
        <a:prstGeom prst="rect">
          <a:avLst/>
        </a:prstGeom>
      </xdr:spPr>
    </xdr:pic>
    <xdr:clientData/>
  </xdr:twoCellAnchor>
  <xdr:twoCellAnchor editAs="oneCell">
    <xdr:from>
      <xdr:col>1</xdr:col>
      <xdr:colOff>68299</xdr:colOff>
      <xdr:row>16</xdr:row>
      <xdr:rowOff>55417</xdr:rowOff>
    </xdr:from>
    <xdr:to>
      <xdr:col>1</xdr:col>
      <xdr:colOff>1533244</xdr:colOff>
      <xdr:row>16</xdr:row>
      <xdr:rowOff>1032074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81CBA27-7FD6-4306-8253-D33249DFA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7004808" y="13886872"/>
          <a:ext cx="1463040" cy="976657"/>
        </a:xfrm>
        <a:prstGeom prst="rect">
          <a:avLst/>
        </a:prstGeom>
      </xdr:spPr>
    </xdr:pic>
    <xdr:clientData/>
  </xdr:twoCellAnchor>
  <xdr:twoCellAnchor editAs="oneCell">
    <xdr:from>
      <xdr:col>1</xdr:col>
      <xdr:colOff>55418</xdr:colOff>
      <xdr:row>37</xdr:row>
      <xdr:rowOff>64652</xdr:rowOff>
    </xdr:from>
    <xdr:to>
      <xdr:col>1</xdr:col>
      <xdr:colOff>1516553</xdr:colOff>
      <xdr:row>37</xdr:row>
      <xdr:rowOff>1041917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4948B78-8112-4CF4-BDC8-EAD12E367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1927" y="37268725"/>
          <a:ext cx="1463040" cy="975360"/>
        </a:xfrm>
        <a:prstGeom prst="rect">
          <a:avLst/>
        </a:prstGeom>
      </xdr:spPr>
    </xdr:pic>
    <xdr:clientData/>
  </xdr:twoCellAnchor>
  <xdr:twoCellAnchor editAs="oneCell">
    <xdr:from>
      <xdr:col>1</xdr:col>
      <xdr:colOff>86014</xdr:colOff>
      <xdr:row>30</xdr:row>
      <xdr:rowOff>72738</xdr:rowOff>
    </xdr:from>
    <xdr:to>
      <xdr:col>1</xdr:col>
      <xdr:colOff>1545244</xdr:colOff>
      <xdr:row>30</xdr:row>
      <xdr:rowOff>1044044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349C4E2D-5A25-41A7-9DD0-124AE6A2D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2523" y="29485938"/>
          <a:ext cx="1463040" cy="975116"/>
        </a:xfrm>
        <a:prstGeom prst="rect">
          <a:avLst/>
        </a:prstGeom>
      </xdr:spPr>
    </xdr:pic>
    <xdr:clientData/>
  </xdr:twoCellAnchor>
  <xdr:twoCellAnchor editAs="oneCell">
    <xdr:from>
      <xdr:col>1</xdr:col>
      <xdr:colOff>105642</xdr:colOff>
      <xdr:row>26</xdr:row>
      <xdr:rowOff>67542</xdr:rowOff>
    </xdr:from>
    <xdr:to>
      <xdr:col>1</xdr:col>
      <xdr:colOff>1570587</xdr:colOff>
      <xdr:row>26</xdr:row>
      <xdr:rowOff>1046712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10B9C2AE-D218-4376-824C-755D7A95A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2151" y="25028815"/>
          <a:ext cx="1463040" cy="97536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13</xdr:row>
      <xdr:rowOff>48492</xdr:rowOff>
    </xdr:from>
    <xdr:to>
      <xdr:col>1</xdr:col>
      <xdr:colOff>1428750</xdr:colOff>
      <xdr:row>13</xdr:row>
      <xdr:rowOff>1074525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280428DA-2F1E-4E8C-B9CB-35DB2E3B3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8909" y="10541001"/>
          <a:ext cx="1280160" cy="1024128"/>
        </a:xfrm>
        <a:prstGeom prst="rect">
          <a:avLst/>
        </a:prstGeom>
      </xdr:spPr>
    </xdr:pic>
    <xdr:clientData/>
  </xdr:twoCellAnchor>
  <xdr:twoCellAnchor editAs="oneCell">
    <xdr:from>
      <xdr:col>1</xdr:col>
      <xdr:colOff>57728</xdr:colOff>
      <xdr:row>28</xdr:row>
      <xdr:rowOff>43874</xdr:rowOff>
    </xdr:from>
    <xdr:to>
      <xdr:col>1</xdr:col>
      <xdr:colOff>1600778</xdr:colOff>
      <xdr:row>28</xdr:row>
      <xdr:rowOff>1084466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0EE8F673-9F8D-4616-9C5E-3E3C632E2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4237" y="27231110"/>
          <a:ext cx="1543050" cy="1036782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23</xdr:row>
      <xdr:rowOff>66964</xdr:rowOff>
    </xdr:from>
    <xdr:to>
      <xdr:col>1</xdr:col>
      <xdr:colOff>1447800</xdr:colOff>
      <xdr:row>23</xdr:row>
      <xdr:rowOff>1067090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5AD3C472-BA70-4753-9203-45FA64FCB4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0809" y="21689291"/>
          <a:ext cx="1333500" cy="1000126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7</xdr:row>
      <xdr:rowOff>76200</xdr:rowOff>
    </xdr:from>
    <xdr:to>
      <xdr:col>1</xdr:col>
      <xdr:colOff>1577340</xdr:colOff>
      <xdr:row>7</xdr:row>
      <xdr:rowOff>1066800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0F9A6087-1877-4D3A-B638-08D6F9E2C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9450" y="3886200"/>
          <a:ext cx="1485900" cy="990600"/>
        </a:xfrm>
        <a:prstGeom prst="rect">
          <a:avLst/>
        </a:prstGeom>
      </xdr:spPr>
    </xdr:pic>
    <xdr:clientData/>
  </xdr:twoCellAnchor>
  <xdr:twoCellAnchor editAs="oneCell">
    <xdr:from>
      <xdr:col>1</xdr:col>
      <xdr:colOff>47914</xdr:colOff>
      <xdr:row>14</xdr:row>
      <xdr:rowOff>57728</xdr:rowOff>
    </xdr:from>
    <xdr:to>
      <xdr:col>1</xdr:col>
      <xdr:colOff>1535719</xdr:colOff>
      <xdr:row>14</xdr:row>
      <xdr:rowOff>1044518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D51ECB2E-1E0B-43C5-A38A-24DE11B9C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4423" y="11663219"/>
          <a:ext cx="1485900" cy="990600"/>
        </a:xfrm>
        <a:prstGeom prst="rect">
          <a:avLst/>
        </a:prstGeom>
      </xdr:spPr>
    </xdr:pic>
    <xdr:clientData/>
  </xdr:twoCellAnchor>
  <xdr:twoCellAnchor editAs="oneCell">
    <xdr:from>
      <xdr:col>1</xdr:col>
      <xdr:colOff>95828</xdr:colOff>
      <xdr:row>17</xdr:row>
      <xdr:rowOff>76200</xdr:rowOff>
    </xdr:from>
    <xdr:to>
      <xdr:col>1</xdr:col>
      <xdr:colOff>1524578</xdr:colOff>
      <xdr:row>17</xdr:row>
      <xdr:rowOff>1028700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0D7DDAF3-5D90-4AFA-99F0-91E188229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2337" y="15020636"/>
          <a:ext cx="1428750" cy="952500"/>
        </a:xfrm>
        <a:prstGeom prst="rect">
          <a:avLst/>
        </a:prstGeom>
      </xdr:spPr>
    </xdr:pic>
    <xdr:clientData/>
  </xdr:twoCellAnchor>
  <xdr:twoCellAnchor editAs="oneCell">
    <xdr:from>
      <xdr:col>1</xdr:col>
      <xdr:colOff>76777</xdr:colOff>
      <xdr:row>27</xdr:row>
      <xdr:rowOff>133349</xdr:rowOff>
    </xdr:from>
    <xdr:to>
      <xdr:col>1</xdr:col>
      <xdr:colOff>1581561</xdr:colOff>
      <xdr:row>27</xdr:row>
      <xdr:rowOff>993550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BD97E322-E2AD-4A42-A661-6CBC3C84F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3286" y="26207604"/>
          <a:ext cx="1508594" cy="860201"/>
        </a:xfrm>
        <a:prstGeom prst="rect">
          <a:avLst/>
        </a:prstGeom>
      </xdr:spPr>
    </xdr:pic>
    <xdr:clientData/>
  </xdr:twoCellAnchor>
  <xdr:twoCellAnchor editAs="oneCell">
    <xdr:from>
      <xdr:col>1</xdr:col>
      <xdr:colOff>86015</xdr:colOff>
      <xdr:row>12</xdr:row>
      <xdr:rowOff>76778</xdr:rowOff>
    </xdr:from>
    <xdr:to>
      <xdr:col>1</xdr:col>
      <xdr:colOff>1512859</xdr:colOff>
      <xdr:row>12</xdr:row>
      <xdr:rowOff>1029277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8A1BC188-BA22-48D6-BE93-C0FE45195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2524" y="9456305"/>
          <a:ext cx="1428749" cy="952499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19</xdr:row>
      <xdr:rowOff>55172</xdr:rowOff>
    </xdr:from>
    <xdr:to>
      <xdr:col>1</xdr:col>
      <xdr:colOff>1539240</xdr:colOff>
      <xdr:row>19</xdr:row>
      <xdr:rowOff>1057641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7F8A9BFF-7AA0-4AD8-A382-BF2E507D0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4609" y="17225572"/>
          <a:ext cx="1504950" cy="1004374"/>
        </a:xfrm>
        <a:prstGeom prst="rect">
          <a:avLst/>
        </a:prstGeom>
      </xdr:spPr>
    </xdr:pic>
    <xdr:clientData/>
  </xdr:twoCellAnchor>
  <xdr:twoCellAnchor editAs="oneCell">
    <xdr:from>
      <xdr:col>1</xdr:col>
      <xdr:colOff>61768</xdr:colOff>
      <xdr:row>20</xdr:row>
      <xdr:rowOff>76200</xdr:rowOff>
    </xdr:from>
    <xdr:to>
      <xdr:col>1</xdr:col>
      <xdr:colOff>1503853</xdr:colOff>
      <xdr:row>20</xdr:row>
      <xdr:rowOff>1036955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A79E97BB-29C6-4290-A438-4351A79115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8277" y="18359582"/>
          <a:ext cx="1438275" cy="958850"/>
        </a:xfrm>
        <a:prstGeom prst="rect">
          <a:avLst/>
        </a:prstGeom>
      </xdr:spPr>
    </xdr:pic>
    <xdr:clientData/>
  </xdr:twoCellAnchor>
  <xdr:twoCellAnchor>
    <xdr:from>
      <xdr:col>1</xdr:col>
      <xdr:colOff>86592</xdr:colOff>
      <xdr:row>9</xdr:row>
      <xdr:rowOff>76200</xdr:rowOff>
    </xdr:from>
    <xdr:to>
      <xdr:col>1</xdr:col>
      <xdr:colOff>1522200</xdr:colOff>
      <xdr:row>9</xdr:row>
      <xdr:rowOff>1036320</xdr:rowOff>
    </xdr:to>
    <xdr:grpSp>
      <xdr:nvGrpSpPr>
        <xdr:cNvPr id="62" name="Group 61">
          <a:extLst>
            <a:ext uri="{FF2B5EF4-FFF2-40B4-BE49-F238E27FC236}">
              <a16:creationId xmlns:a16="http://schemas.microsoft.com/office/drawing/2014/main" id="{462EA55F-F551-4F06-B7DC-111784C329F5}"/>
            </a:ext>
          </a:extLst>
        </xdr:cNvPr>
        <xdr:cNvGrpSpPr/>
      </xdr:nvGrpSpPr>
      <xdr:grpSpPr>
        <a:xfrm>
          <a:off x="7020792" y="6096000"/>
          <a:ext cx="1435608" cy="960120"/>
          <a:chOff x="5719302" y="6127955"/>
          <a:chExt cx="1435608" cy="960120"/>
        </a:xfrm>
      </xdr:grpSpPr>
      <xdr:sp macro="" textlink="">
        <xdr:nvSpPr>
          <xdr:cNvPr id="63" name="Rectangle 62">
            <a:extLst>
              <a:ext uri="{FF2B5EF4-FFF2-40B4-BE49-F238E27FC236}">
                <a16:creationId xmlns:a16="http://schemas.microsoft.com/office/drawing/2014/main" id="{609132D7-8FA8-40D5-A275-8D2948B0EB76}"/>
              </a:ext>
            </a:extLst>
          </xdr:cNvPr>
          <xdr:cNvSpPr/>
        </xdr:nvSpPr>
        <xdr:spPr>
          <a:xfrm>
            <a:off x="5719302" y="6127955"/>
            <a:ext cx="1435608" cy="96012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pic>
        <xdr:nvPicPr>
          <xdr:cNvPr id="64" name="Picture 63">
            <a:extLst>
              <a:ext uri="{FF2B5EF4-FFF2-40B4-BE49-F238E27FC236}">
                <a16:creationId xmlns:a16="http://schemas.microsoft.com/office/drawing/2014/main" id="{95412087-4EC4-4753-93AE-C9983EDA209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776453" y="6128385"/>
            <a:ext cx="1246784" cy="954633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66964</xdr:colOff>
      <xdr:row>24</xdr:row>
      <xdr:rowOff>95250</xdr:rowOff>
    </xdr:from>
    <xdr:to>
      <xdr:col>1</xdr:col>
      <xdr:colOff>1502572</xdr:colOff>
      <xdr:row>24</xdr:row>
      <xdr:rowOff>1056933</xdr:rowOff>
    </xdr:to>
    <xdr:grpSp>
      <xdr:nvGrpSpPr>
        <xdr:cNvPr id="67" name="Group 66">
          <a:extLst>
            <a:ext uri="{FF2B5EF4-FFF2-40B4-BE49-F238E27FC236}">
              <a16:creationId xmlns:a16="http://schemas.microsoft.com/office/drawing/2014/main" id="{65DFEB1F-3F78-48D1-9909-1B296523539C}"/>
            </a:ext>
          </a:extLst>
        </xdr:cNvPr>
        <xdr:cNvGrpSpPr/>
      </xdr:nvGrpSpPr>
      <xdr:grpSpPr>
        <a:xfrm>
          <a:off x="7001164" y="22688550"/>
          <a:ext cx="1435608" cy="961683"/>
          <a:chOff x="5719182" y="13880945"/>
          <a:chExt cx="1435608" cy="961683"/>
        </a:xfrm>
      </xdr:grpSpPr>
      <xdr:sp macro="" textlink="">
        <xdr:nvSpPr>
          <xdr:cNvPr id="68" name="Rectangle 67">
            <a:extLst>
              <a:ext uri="{FF2B5EF4-FFF2-40B4-BE49-F238E27FC236}">
                <a16:creationId xmlns:a16="http://schemas.microsoft.com/office/drawing/2014/main" id="{46F2E074-4BCD-416C-AE9B-35E6CC0C7D82}"/>
              </a:ext>
            </a:extLst>
          </xdr:cNvPr>
          <xdr:cNvSpPr/>
        </xdr:nvSpPr>
        <xdr:spPr>
          <a:xfrm>
            <a:off x="5719182" y="13880945"/>
            <a:ext cx="1435608" cy="96012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pic>
        <xdr:nvPicPr>
          <xdr:cNvPr id="69" name="Picture 68">
            <a:extLst>
              <a:ext uri="{FF2B5EF4-FFF2-40B4-BE49-F238E27FC236}">
                <a16:creationId xmlns:a16="http://schemas.microsoft.com/office/drawing/2014/main" id="{5B72A00B-4863-41AB-B664-8AD88D3DC06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10800000" flipV="1">
            <a:off x="5915778" y="13887995"/>
            <a:ext cx="946404" cy="954633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171450</xdr:colOff>
      <xdr:row>40</xdr:row>
      <xdr:rowOff>114300</xdr:rowOff>
    </xdr:from>
    <xdr:to>
      <xdr:col>0</xdr:col>
      <xdr:colOff>1542879</xdr:colOff>
      <xdr:row>40</xdr:row>
      <xdr:rowOff>868585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73B9B0C9-1261-4953-868B-2F494AA34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39585900"/>
          <a:ext cx="1371429" cy="7619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</xdr:colOff>
      <xdr:row>14</xdr:row>
      <xdr:rowOff>70758</xdr:rowOff>
    </xdr:from>
    <xdr:to>
      <xdr:col>1</xdr:col>
      <xdr:colOff>1516924</xdr:colOff>
      <xdr:row>14</xdr:row>
      <xdr:rowOff>1045356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4B1DB9E8-0771-4941-BD0F-1A4B71A29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1171" y="11692347"/>
          <a:ext cx="1473109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17</xdr:row>
      <xdr:rowOff>68580</xdr:rowOff>
    </xdr:from>
    <xdr:to>
      <xdr:col>1</xdr:col>
      <xdr:colOff>1540002</xdr:colOff>
      <xdr:row>17</xdr:row>
      <xdr:rowOff>1050798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C16795F1-884F-49D1-81D3-CE095BF75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2740" y="28742640"/>
          <a:ext cx="1467612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22</xdr:row>
      <xdr:rowOff>68580</xdr:rowOff>
    </xdr:from>
    <xdr:to>
      <xdr:col>1</xdr:col>
      <xdr:colOff>1540002</xdr:colOff>
      <xdr:row>22</xdr:row>
      <xdr:rowOff>1050798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AE160D07-1952-41B8-9A47-F2964F9AEA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2740" y="35417760"/>
          <a:ext cx="1467612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68036</xdr:colOff>
      <xdr:row>25</xdr:row>
      <xdr:rowOff>72390</xdr:rowOff>
    </xdr:from>
    <xdr:to>
      <xdr:col>1</xdr:col>
      <xdr:colOff>1539269</xdr:colOff>
      <xdr:row>25</xdr:row>
      <xdr:rowOff>1046988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54F1D09D-12E2-4164-A2E3-9375FCF53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3487" y="23955647"/>
          <a:ext cx="1467423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65314</xdr:colOff>
      <xdr:row>23</xdr:row>
      <xdr:rowOff>99060</xdr:rowOff>
    </xdr:from>
    <xdr:to>
      <xdr:col>1</xdr:col>
      <xdr:colOff>1541308</xdr:colOff>
      <xdr:row>23</xdr:row>
      <xdr:rowOff>1010932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62E736B7-0FAE-466E-BA87-E652066A7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1854" y="36560760"/>
          <a:ext cx="1472184" cy="908062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8</xdr:row>
      <xdr:rowOff>76200</xdr:rowOff>
    </xdr:from>
    <xdr:to>
      <xdr:col>1</xdr:col>
      <xdr:colOff>1520190</xdr:colOff>
      <xdr:row>8</xdr:row>
      <xdr:rowOff>1047750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8809CD7C-3DF3-4581-BD4D-C99316E80A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0" y="4991100"/>
          <a:ext cx="1463040" cy="975360"/>
        </a:xfrm>
        <a:prstGeom prst="rect">
          <a:avLst/>
        </a:prstGeom>
      </xdr:spPr>
    </xdr:pic>
    <xdr:clientData/>
  </xdr:twoCellAnchor>
  <xdr:twoCellAnchor editAs="oneCell">
    <xdr:from>
      <xdr:col>1</xdr:col>
      <xdr:colOff>72394</xdr:colOff>
      <xdr:row>21</xdr:row>
      <xdr:rowOff>63686</xdr:rowOff>
    </xdr:from>
    <xdr:to>
      <xdr:col>1</xdr:col>
      <xdr:colOff>1539244</xdr:colOff>
      <xdr:row>21</xdr:row>
      <xdr:rowOff>1044789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495A0B3D-66DD-443D-AA7A-1F362CE44E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7845" y="19488155"/>
          <a:ext cx="1463040" cy="984913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18</xdr:row>
      <xdr:rowOff>76200</xdr:rowOff>
    </xdr:from>
    <xdr:to>
      <xdr:col>1</xdr:col>
      <xdr:colOff>1520190</xdr:colOff>
      <xdr:row>18</xdr:row>
      <xdr:rowOff>1047750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82FAEBE1-8344-49A1-A1ED-41B8703BE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0" y="16040100"/>
          <a:ext cx="1463040" cy="975360"/>
        </a:xfrm>
        <a:prstGeom prst="rect">
          <a:avLst/>
        </a:prstGeom>
      </xdr:spPr>
    </xdr:pic>
    <xdr:clientData/>
  </xdr:twoCellAnchor>
  <xdr:twoCellAnchor editAs="oneCell">
    <xdr:from>
      <xdr:col>1</xdr:col>
      <xdr:colOff>37014</xdr:colOff>
      <xdr:row>20</xdr:row>
      <xdr:rowOff>41368</xdr:rowOff>
    </xdr:from>
    <xdr:to>
      <xdr:col>1</xdr:col>
      <xdr:colOff>1580064</xdr:colOff>
      <xdr:row>20</xdr:row>
      <xdr:rowOff>1083676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4143C911-654A-45BA-AE0E-00FB06C84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2465" y="18351139"/>
          <a:ext cx="1539240" cy="1038498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24</xdr:row>
      <xdr:rowOff>77834</xdr:rowOff>
    </xdr:from>
    <xdr:to>
      <xdr:col>1</xdr:col>
      <xdr:colOff>1539240</xdr:colOff>
      <xdr:row>24</xdr:row>
      <xdr:rowOff>1053829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A9BA89FD-F541-4FDA-B835-1BB34F0F18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1651" y="22846394"/>
          <a:ext cx="1466850" cy="977900"/>
        </a:xfrm>
        <a:prstGeom prst="rect">
          <a:avLst/>
        </a:prstGeom>
      </xdr:spPr>
    </xdr:pic>
    <xdr:clientData/>
  </xdr:twoCellAnchor>
  <xdr:twoCellAnchor editAs="oneCell">
    <xdr:from>
      <xdr:col>1</xdr:col>
      <xdr:colOff>102872</xdr:colOff>
      <xdr:row>15</xdr:row>
      <xdr:rowOff>57150</xdr:rowOff>
    </xdr:from>
    <xdr:to>
      <xdr:col>1</xdr:col>
      <xdr:colOff>1434467</xdr:colOff>
      <xdr:row>15</xdr:row>
      <xdr:rowOff>1055371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BC416BFD-2378-461D-91F5-51D29ADAFD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8323" y="12793436"/>
          <a:ext cx="1333500" cy="1000126"/>
        </a:xfrm>
        <a:prstGeom prst="rect">
          <a:avLst/>
        </a:prstGeom>
      </xdr:spPr>
    </xdr:pic>
    <xdr:clientData/>
  </xdr:twoCellAnchor>
  <xdr:twoCellAnchor editAs="oneCell">
    <xdr:from>
      <xdr:col>1</xdr:col>
      <xdr:colOff>55419</xdr:colOff>
      <xdr:row>7</xdr:row>
      <xdr:rowOff>69273</xdr:rowOff>
    </xdr:from>
    <xdr:to>
      <xdr:col>1</xdr:col>
      <xdr:colOff>1545129</xdr:colOff>
      <xdr:row>7</xdr:row>
      <xdr:rowOff>1057968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DD84A1DF-F66B-4544-B248-3BDA4FDAF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4037" y="3893128"/>
          <a:ext cx="1485900" cy="990600"/>
        </a:xfrm>
        <a:prstGeom prst="rect">
          <a:avLst/>
        </a:prstGeom>
      </xdr:spPr>
    </xdr:pic>
    <xdr:clientData/>
  </xdr:twoCellAnchor>
  <xdr:twoCellAnchor editAs="oneCell">
    <xdr:from>
      <xdr:col>1</xdr:col>
      <xdr:colOff>64772</xdr:colOff>
      <xdr:row>10</xdr:row>
      <xdr:rowOff>63138</xdr:rowOff>
    </xdr:from>
    <xdr:to>
      <xdr:col>1</xdr:col>
      <xdr:colOff>1548767</xdr:colOff>
      <xdr:row>10</xdr:row>
      <xdr:rowOff>1049928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45E40EEE-E4A1-4AEB-ABF8-B8128B661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0223" y="7225938"/>
          <a:ext cx="1485900" cy="990600"/>
        </a:xfrm>
        <a:prstGeom prst="rect">
          <a:avLst/>
        </a:prstGeom>
      </xdr:spPr>
    </xdr:pic>
    <xdr:clientData/>
  </xdr:twoCellAnchor>
  <xdr:twoCellAnchor editAs="oneCell">
    <xdr:from>
      <xdr:col>1</xdr:col>
      <xdr:colOff>81102</xdr:colOff>
      <xdr:row>11</xdr:row>
      <xdr:rowOff>90896</xdr:rowOff>
    </xdr:from>
    <xdr:to>
      <xdr:col>1</xdr:col>
      <xdr:colOff>1506042</xdr:colOff>
      <xdr:row>11</xdr:row>
      <xdr:rowOff>1047206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54329CBA-DFC8-4F5E-9BF5-BC60058B76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6553" y="8368393"/>
          <a:ext cx="1428750" cy="952500"/>
        </a:xfrm>
        <a:prstGeom prst="rect">
          <a:avLst/>
        </a:prstGeom>
      </xdr:spPr>
    </xdr:pic>
    <xdr:clientData/>
  </xdr:twoCellAnchor>
  <xdr:twoCellAnchor editAs="oneCell">
    <xdr:from>
      <xdr:col>1</xdr:col>
      <xdr:colOff>47355</xdr:colOff>
      <xdr:row>19</xdr:row>
      <xdr:rowOff>133349</xdr:rowOff>
    </xdr:from>
    <xdr:to>
      <xdr:col>1</xdr:col>
      <xdr:colOff>1545253</xdr:colOff>
      <xdr:row>19</xdr:row>
      <xdr:rowOff>983373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30AC7A0B-1000-434A-ABCA-44570313B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2806" y="17328423"/>
          <a:ext cx="1494088" cy="851929"/>
        </a:xfrm>
        <a:prstGeom prst="rect">
          <a:avLst/>
        </a:prstGeom>
      </xdr:spPr>
    </xdr:pic>
    <xdr:clientData/>
  </xdr:twoCellAnchor>
  <xdr:twoCellAnchor editAs="oneCell">
    <xdr:from>
      <xdr:col>1</xdr:col>
      <xdr:colOff>54430</xdr:colOff>
      <xdr:row>12</xdr:row>
      <xdr:rowOff>57150</xdr:rowOff>
    </xdr:from>
    <xdr:to>
      <xdr:col>1</xdr:col>
      <xdr:colOff>1559380</xdr:colOff>
      <xdr:row>12</xdr:row>
      <xdr:rowOff>1059619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4382A436-A40F-4268-A614-14409E4E9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9881" y="9449344"/>
          <a:ext cx="1504950" cy="1004374"/>
        </a:xfrm>
        <a:prstGeom prst="rect">
          <a:avLst/>
        </a:prstGeom>
      </xdr:spPr>
    </xdr:pic>
    <xdr:clientData/>
  </xdr:twoCellAnchor>
  <xdr:twoCellAnchor editAs="oneCell">
    <xdr:from>
      <xdr:col>1</xdr:col>
      <xdr:colOff>80554</xdr:colOff>
      <xdr:row>13</xdr:row>
      <xdr:rowOff>76200</xdr:rowOff>
    </xdr:from>
    <xdr:to>
      <xdr:col>1</xdr:col>
      <xdr:colOff>1516924</xdr:colOff>
      <xdr:row>13</xdr:row>
      <xdr:rowOff>1036955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5CDFAFC9-FCFE-4A4C-A2D4-4FE84DDF8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6005" y="10583091"/>
          <a:ext cx="1438275" cy="958850"/>
        </a:xfrm>
        <a:prstGeom prst="rect">
          <a:avLst/>
        </a:prstGeom>
      </xdr:spPr>
    </xdr:pic>
    <xdr:clientData/>
  </xdr:twoCellAnchor>
  <xdr:twoCellAnchor>
    <xdr:from>
      <xdr:col>1</xdr:col>
      <xdr:colOff>75114</xdr:colOff>
      <xdr:row>9</xdr:row>
      <xdr:rowOff>90896</xdr:rowOff>
    </xdr:from>
    <xdr:to>
      <xdr:col>1</xdr:col>
      <xdr:colOff>1510722</xdr:colOff>
      <xdr:row>9</xdr:row>
      <xdr:rowOff>1051016</xdr:rowOff>
    </xdr:to>
    <xdr:grpSp>
      <xdr:nvGrpSpPr>
        <xdr:cNvPr id="51" name="Group 50">
          <a:extLst>
            <a:ext uri="{FF2B5EF4-FFF2-40B4-BE49-F238E27FC236}">
              <a16:creationId xmlns:a16="http://schemas.microsoft.com/office/drawing/2014/main" id="{42782C09-A1C2-426B-B864-1A720A93714A}"/>
            </a:ext>
          </a:extLst>
        </xdr:cNvPr>
        <xdr:cNvGrpSpPr/>
      </xdr:nvGrpSpPr>
      <xdr:grpSpPr>
        <a:xfrm>
          <a:off x="6685464" y="6110696"/>
          <a:ext cx="1435608" cy="960120"/>
          <a:chOff x="5719302" y="6127955"/>
          <a:chExt cx="1435608" cy="960120"/>
        </a:xfrm>
      </xdr:grpSpPr>
      <xdr:sp macro="" textlink="">
        <xdr:nvSpPr>
          <xdr:cNvPr id="52" name="Rectangle 51">
            <a:extLst>
              <a:ext uri="{FF2B5EF4-FFF2-40B4-BE49-F238E27FC236}">
                <a16:creationId xmlns:a16="http://schemas.microsoft.com/office/drawing/2014/main" id="{10B265D4-5A00-4650-B44D-0BC5C850149C}"/>
              </a:ext>
            </a:extLst>
          </xdr:cNvPr>
          <xdr:cNvSpPr/>
        </xdr:nvSpPr>
        <xdr:spPr>
          <a:xfrm>
            <a:off x="5719302" y="6127955"/>
            <a:ext cx="1435608" cy="96012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pic>
        <xdr:nvPicPr>
          <xdr:cNvPr id="53" name="Picture 52">
            <a:extLst>
              <a:ext uri="{FF2B5EF4-FFF2-40B4-BE49-F238E27FC236}">
                <a16:creationId xmlns:a16="http://schemas.microsoft.com/office/drawing/2014/main" id="{D80C4466-E0F2-4AA3-A122-DE0DFC44F40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776453" y="6128385"/>
            <a:ext cx="1246784" cy="954633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75114</xdr:colOff>
      <xdr:row>16</xdr:row>
      <xdr:rowOff>70212</xdr:rowOff>
    </xdr:from>
    <xdr:to>
      <xdr:col>1</xdr:col>
      <xdr:colOff>1510722</xdr:colOff>
      <xdr:row>16</xdr:row>
      <xdr:rowOff>1031895</xdr:rowOff>
    </xdr:to>
    <xdr:grpSp>
      <xdr:nvGrpSpPr>
        <xdr:cNvPr id="54" name="Group 53">
          <a:extLst>
            <a:ext uri="{FF2B5EF4-FFF2-40B4-BE49-F238E27FC236}">
              <a16:creationId xmlns:a16="http://schemas.microsoft.com/office/drawing/2014/main" id="{FE8227C7-A5EB-48C7-92B2-1054BE4932FE}"/>
            </a:ext>
          </a:extLst>
        </xdr:cNvPr>
        <xdr:cNvGrpSpPr/>
      </xdr:nvGrpSpPr>
      <xdr:grpSpPr>
        <a:xfrm>
          <a:off x="6685464" y="13824312"/>
          <a:ext cx="1435608" cy="961683"/>
          <a:chOff x="5719182" y="13880945"/>
          <a:chExt cx="1435608" cy="961683"/>
        </a:xfrm>
      </xdr:grpSpPr>
      <xdr:sp macro="" textlink="">
        <xdr:nvSpPr>
          <xdr:cNvPr id="55" name="Rectangle 54">
            <a:extLst>
              <a:ext uri="{FF2B5EF4-FFF2-40B4-BE49-F238E27FC236}">
                <a16:creationId xmlns:a16="http://schemas.microsoft.com/office/drawing/2014/main" id="{19F96493-61D9-4568-99AA-FC32E519A851}"/>
              </a:ext>
            </a:extLst>
          </xdr:cNvPr>
          <xdr:cNvSpPr/>
        </xdr:nvSpPr>
        <xdr:spPr>
          <a:xfrm>
            <a:off x="5719182" y="13880945"/>
            <a:ext cx="1435608" cy="96012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pic>
        <xdr:nvPicPr>
          <xdr:cNvPr id="56" name="Picture 55">
            <a:extLst>
              <a:ext uri="{FF2B5EF4-FFF2-40B4-BE49-F238E27FC236}">
                <a16:creationId xmlns:a16="http://schemas.microsoft.com/office/drawing/2014/main" id="{2176E408-5071-4D9E-9D63-7E22AA74733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10800000" flipV="1">
            <a:off x="5915778" y="13887995"/>
            <a:ext cx="946404" cy="954633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171450</xdr:colOff>
      <xdr:row>27</xdr:row>
      <xdr:rowOff>95250</xdr:rowOff>
    </xdr:from>
    <xdr:to>
      <xdr:col>0</xdr:col>
      <xdr:colOff>1542879</xdr:colOff>
      <xdr:row>27</xdr:row>
      <xdr:rowOff>857155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776F9DC4-2AB4-4204-8012-F02838B32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5203150"/>
          <a:ext cx="1371429" cy="7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fns-prod.azureedge.net/sites/default/files/cacfp/CACFP_childmealpattern.pdf" TargetMode="External"/><Relationship Id="rId2" Type="http://schemas.openxmlformats.org/officeDocument/2006/relationships/hyperlink" Target="https://foodbuyingguide.fns.usda.gov/" TargetMode="External"/><Relationship Id="rId1" Type="http://schemas.openxmlformats.org/officeDocument/2006/relationships/hyperlink" Target="http://www.ncagr.gov/markets/availabilitychart.pdf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ncagr.gov/markets/availabilitychart.pdf" TargetMode="External"/><Relationship Id="rId2" Type="http://schemas.openxmlformats.org/officeDocument/2006/relationships/hyperlink" Target="https://foodbuyingguide.fns.usda.gov/" TargetMode="External"/><Relationship Id="rId1" Type="http://schemas.openxmlformats.org/officeDocument/2006/relationships/hyperlink" Target="https://fns-prod.azureedge.net/sites/default/files/cacfp/CACFP_childmealpattern.pdf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ncagr.gov/markets/availabilitychart.pdf" TargetMode="External"/><Relationship Id="rId2" Type="http://schemas.openxmlformats.org/officeDocument/2006/relationships/hyperlink" Target="https://foodbuyingguide.fns.usda.gov/" TargetMode="External"/><Relationship Id="rId1" Type="http://schemas.openxmlformats.org/officeDocument/2006/relationships/hyperlink" Target="https://fns-prod.azureedge.net/sites/default/files/cacfp/CACFP_childmealpattern.pdf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D0A0A-2B60-4FCF-B4EC-6A73D865FA57}">
  <dimension ref="A1:M32"/>
  <sheetViews>
    <sheetView tabSelected="1" zoomScale="40" zoomScaleNormal="40" workbookViewId="0">
      <pane ySplit="7" topLeftCell="A8" activePane="bottomLeft" state="frozen"/>
      <selection pane="bottomLeft" activeCell="C10" sqref="C10"/>
    </sheetView>
  </sheetViews>
  <sheetFormatPr defaultRowHeight="23.4" x14ac:dyDescent="0.45"/>
  <cols>
    <col min="1" max="1" width="82" style="5" customWidth="1"/>
    <col min="2" max="2" width="24" style="5" customWidth="1"/>
    <col min="3" max="3" width="61" style="5" customWidth="1"/>
    <col min="4" max="6" width="20.77734375" style="5" customWidth="1"/>
    <col min="7" max="7" width="20.77734375" style="7" customWidth="1"/>
    <col min="8" max="9" width="20.77734375" style="8" customWidth="1"/>
    <col min="10" max="10" width="20.88671875" style="3" customWidth="1"/>
    <col min="11" max="11" width="34.33203125" style="2" customWidth="1"/>
    <col min="12" max="12" width="8.5546875" customWidth="1"/>
  </cols>
  <sheetData>
    <row r="1" spans="1:13" ht="46.2" x14ac:dyDescent="0.85">
      <c r="A1" s="260" t="s">
        <v>15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</row>
    <row r="2" spans="1:13" ht="31.2" x14ac:dyDescent="0.6">
      <c r="A2" s="261" t="s">
        <v>75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</row>
    <row r="3" spans="1:13" ht="45" customHeight="1" x14ac:dyDescent="0.85">
      <c r="A3" s="260" t="s">
        <v>1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</row>
    <row r="4" spans="1:13" ht="33.6" x14ac:dyDescent="0.65">
      <c r="A4" s="263" t="s">
        <v>73</v>
      </c>
      <c r="B4" s="263"/>
      <c r="C4" s="263"/>
      <c r="D4" s="263"/>
      <c r="E4" s="263"/>
      <c r="F4" s="263"/>
      <c r="G4" s="263"/>
      <c r="H4" s="263"/>
      <c r="I4" s="263"/>
      <c r="J4" s="263"/>
      <c r="K4" s="263"/>
    </row>
    <row r="5" spans="1:13" ht="24" thickBot="1" x14ac:dyDescent="0.5"/>
    <row r="6" spans="1:13" s="10" customFormat="1" ht="46.05" customHeight="1" x14ac:dyDescent="0.6">
      <c r="A6" s="193" t="s">
        <v>80</v>
      </c>
      <c r="B6" s="265" t="s">
        <v>4</v>
      </c>
      <c r="C6" s="266"/>
      <c r="D6" s="271" t="s">
        <v>16</v>
      </c>
      <c r="E6" s="272"/>
      <c r="F6" s="266"/>
      <c r="G6" s="269" t="s">
        <v>0</v>
      </c>
      <c r="H6" s="269"/>
      <c r="I6" s="269"/>
      <c r="J6" s="269"/>
      <c r="K6" s="270"/>
    </row>
    <row r="7" spans="1:13" s="5" customFormat="1" ht="75" customHeight="1" x14ac:dyDescent="0.45">
      <c r="A7" s="181"/>
      <c r="B7" s="181"/>
      <c r="C7" s="182"/>
      <c r="D7" s="183" t="s">
        <v>109</v>
      </c>
      <c r="E7" s="184" t="s">
        <v>110</v>
      </c>
      <c r="F7" s="185" t="s">
        <v>111</v>
      </c>
      <c r="G7" s="186" t="s">
        <v>114</v>
      </c>
      <c r="H7" s="187" t="s">
        <v>115</v>
      </c>
      <c r="I7" s="187" t="s">
        <v>116</v>
      </c>
      <c r="J7" s="183" t="s">
        <v>112</v>
      </c>
      <c r="K7" s="194" t="s">
        <v>113</v>
      </c>
    </row>
    <row r="8" spans="1:13" s="16" customFormat="1" ht="87.75" customHeight="1" x14ac:dyDescent="0.3">
      <c r="A8" s="195" t="s">
        <v>33</v>
      </c>
      <c r="B8" s="174"/>
      <c r="C8" s="175" t="s">
        <v>88</v>
      </c>
      <c r="D8" s="176" t="s">
        <v>139</v>
      </c>
      <c r="E8" s="177" t="s">
        <v>143</v>
      </c>
      <c r="F8" s="178" t="s">
        <v>144</v>
      </c>
      <c r="G8" s="179" t="s">
        <v>95</v>
      </c>
      <c r="H8" s="180" t="s">
        <v>103</v>
      </c>
      <c r="I8" s="180" t="s">
        <v>117</v>
      </c>
      <c r="J8" s="206"/>
      <c r="K8" s="196" t="str">
        <f>CEILING(J8/(14.56), 0.25) &amp; IF(CEILING(J8/(14.56), 0.25) &gt;1, " pounds", " pound")</f>
        <v>0 pound</v>
      </c>
    </row>
    <row r="9" spans="1:13" s="16" customFormat="1" ht="87.75" customHeight="1" x14ac:dyDescent="0.3">
      <c r="A9" s="197" t="s">
        <v>25</v>
      </c>
      <c r="B9" s="58"/>
      <c r="C9" s="56" t="s">
        <v>89</v>
      </c>
      <c r="D9" s="25" t="s">
        <v>139</v>
      </c>
      <c r="E9" s="26" t="s">
        <v>143</v>
      </c>
      <c r="F9" s="27" t="s">
        <v>144</v>
      </c>
      <c r="G9" s="28" t="s">
        <v>95</v>
      </c>
      <c r="H9" s="29" t="s">
        <v>108</v>
      </c>
      <c r="I9" s="29" t="s">
        <v>122</v>
      </c>
      <c r="J9" s="207"/>
      <c r="K9" s="198" t="str">
        <f>CEILING(J9/(10.8), 0.25) &amp; IF(CEILING(J9/(10.8), 0.25) &gt;1, " pounds",  " pound")</f>
        <v>0 pound</v>
      </c>
    </row>
    <row r="10" spans="1:13" s="15" customFormat="1" ht="87.75" customHeight="1" x14ac:dyDescent="0.3">
      <c r="A10" s="59" t="s">
        <v>14</v>
      </c>
      <c r="B10" s="59"/>
      <c r="C10" s="57" t="s">
        <v>142</v>
      </c>
      <c r="D10" s="30" t="s">
        <v>140</v>
      </c>
      <c r="E10" s="31" t="s">
        <v>143</v>
      </c>
      <c r="F10" s="32" t="s">
        <v>144</v>
      </c>
      <c r="G10" s="33" t="s">
        <v>96</v>
      </c>
      <c r="H10" s="34" t="s">
        <v>117</v>
      </c>
      <c r="I10" s="34" t="s">
        <v>127</v>
      </c>
      <c r="J10" s="208"/>
      <c r="K10" s="199" t="str">
        <f>CEILING(J10/(7.2), 0.25) &amp;  IF(CEILING(J10/(7.2), 0.25) &gt;1, " pounds", " pound")</f>
        <v>0 pound</v>
      </c>
      <c r="L10" s="16"/>
      <c r="M10" s="16"/>
    </row>
    <row r="11" spans="1:13" s="15" customFormat="1" ht="87.75" customHeight="1" x14ac:dyDescent="0.3">
      <c r="A11" s="58" t="s">
        <v>58</v>
      </c>
      <c r="B11" s="58"/>
      <c r="C11" s="56" t="s">
        <v>18</v>
      </c>
      <c r="D11" s="25" t="s">
        <v>139</v>
      </c>
      <c r="E11" s="26" t="s">
        <v>143</v>
      </c>
      <c r="F11" s="27" t="s">
        <v>144</v>
      </c>
      <c r="G11" s="28" t="s">
        <v>102</v>
      </c>
      <c r="H11" s="29" t="s">
        <v>118</v>
      </c>
      <c r="I11" s="29" t="s">
        <v>128</v>
      </c>
      <c r="J11" s="207"/>
      <c r="K11" s="198" t="str">
        <f>CEILING(J11/(5.73), 0.25) &amp; IF(CEILING(J11/(5.73), 0.25) &gt;1, " pounds", " pound")</f>
        <v>0 pound</v>
      </c>
      <c r="L11" s="16"/>
      <c r="M11" s="16"/>
    </row>
    <row r="12" spans="1:13" s="15" customFormat="1" ht="87.75" customHeight="1" x14ac:dyDescent="0.3">
      <c r="A12" s="59" t="s">
        <v>26</v>
      </c>
      <c r="B12" s="59"/>
      <c r="C12" s="57" t="s">
        <v>82</v>
      </c>
      <c r="D12" s="30" t="s">
        <v>141</v>
      </c>
      <c r="E12" s="31" t="s">
        <v>143</v>
      </c>
      <c r="F12" s="32" t="s">
        <v>144</v>
      </c>
      <c r="G12" s="33" t="s">
        <v>96</v>
      </c>
      <c r="H12" s="69" t="s">
        <v>121</v>
      </c>
      <c r="I12" s="34" t="s">
        <v>147</v>
      </c>
      <c r="J12" s="208"/>
      <c r="K12" s="199" t="str">
        <f>CEILING(J12/((6*(3/8))/(1/4)), 0.25) &amp;  IF(CEILING(J12/((6*(3/8))/(1/4)), 0.25) &gt;1, " pounds", " pound")</f>
        <v>0 pound</v>
      </c>
      <c r="L12" s="16"/>
      <c r="M12" s="16"/>
    </row>
    <row r="13" spans="1:13" s="15" customFormat="1" ht="87.75" customHeight="1" x14ac:dyDescent="0.3">
      <c r="A13" s="58" t="s">
        <v>36</v>
      </c>
      <c r="B13" s="58"/>
      <c r="C13" s="56" t="s">
        <v>81</v>
      </c>
      <c r="D13" s="25" t="s">
        <v>139</v>
      </c>
      <c r="E13" s="26" t="s">
        <v>143</v>
      </c>
      <c r="F13" s="27" t="s">
        <v>144</v>
      </c>
      <c r="G13" s="28" t="s">
        <v>104</v>
      </c>
      <c r="H13" s="84" t="s">
        <v>145</v>
      </c>
      <c r="I13" s="29" t="s">
        <v>148</v>
      </c>
      <c r="J13" s="207"/>
      <c r="K13" s="198" t="str">
        <f>CEILING(J13/(4.9), 0.25) &amp;  IF(CEILING(J13/(4.9), 0.25) &gt;1, " pounds", " pound")</f>
        <v>0 pound</v>
      </c>
      <c r="L13" s="16"/>
      <c r="M13" s="16"/>
    </row>
    <row r="14" spans="1:13" s="15" customFormat="1" ht="87.75" customHeight="1" x14ac:dyDescent="0.3">
      <c r="A14" s="59" t="s">
        <v>27</v>
      </c>
      <c r="B14" s="59"/>
      <c r="C14" s="57" t="s">
        <v>100</v>
      </c>
      <c r="D14" s="30" t="s">
        <v>139</v>
      </c>
      <c r="E14" s="31" t="s">
        <v>143</v>
      </c>
      <c r="F14" s="32" t="s">
        <v>144</v>
      </c>
      <c r="G14" s="33" t="s">
        <v>96</v>
      </c>
      <c r="H14" s="69" t="s">
        <v>121</v>
      </c>
      <c r="I14" s="34" t="s">
        <v>147</v>
      </c>
      <c r="J14" s="208"/>
      <c r="K14" s="199" t="str">
        <f>CEILING(J14/(8.99), 0.25) &amp;  IF(CEILING(J14/(8.99), 0.25) &gt;1, " pounds", " pound")</f>
        <v>0 pound</v>
      </c>
      <c r="L14" s="16"/>
      <c r="M14" s="16"/>
    </row>
    <row r="15" spans="1:13" s="15" customFormat="1" ht="87.75" customHeight="1" x14ac:dyDescent="0.3">
      <c r="A15" s="197" t="s">
        <v>46</v>
      </c>
      <c r="B15" s="58"/>
      <c r="C15" s="56" t="s">
        <v>81</v>
      </c>
      <c r="D15" s="25" t="s">
        <v>139</v>
      </c>
      <c r="E15" s="26" t="s">
        <v>143</v>
      </c>
      <c r="F15" s="27" t="s">
        <v>144</v>
      </c>
      <c r="G15" s="28" t="s">
        <v>95</v>
      </c>
      <c r="H15" s="84" t="s">
        <v>108</v>
      </c>
      <c r="I15" s="29" t="s">
        <v>122</v>
      </c>
      <c r="J15" s="207"/>
      <c r="K15" s="198" t="str">
        <f>CEILING(J15/(10.7), 0.25) &amp;  IF(CEILING(J15/(10.7), 0.25) &gt;1, " pounds", " pound")</f>
        <v>0 pound</v>
      </c>
      <c r="L15" s="16"/>
      <c r="M15" s="16"/>
    </row>
    <row r="16" spans="1:13" s="16" customFormat="1" ht="87.75" customHeight="1" x14ac:dyDescent="0.3">
      <c r="A16" s="59" t="s">
        <v>22</v>
      </c>
      <c r="B16" s="59"/>
      <c r="C16" s="57" t="s">
        <v>94</v>
      </c>
      <c r="D16" s="30" t="s">
        <v>139</v>
      </c>
      <c r="E16" s="31" t="s">
        <v>143</v>
      </c>
      <c r="F16" s="32" t="s">
        <v>144</v>
      </c>
      <c r="G16" s="33" t="s">
        <v>107</v>
      </c>
      <c r="H16" s="34" t="s">
        <v>120</v>
      </c>
      <c r="I16" s="34" t="s">
        <v>129</v>
      </c>
      <c r="J16" s="208"/>
      <c r="K16" s="199" t="str">
        <f>CEILING(J16/(3.5), 0.25) &amp;  IF(CEILING(J16/(3.5), 0.25) &gt; 1, " pounds", " pound")</f>
        <v>0 pound</v>
      </c>
    </row>
    <row r="17" spans="1:13" s="16" customFormat="1" ht="87.75" customHeight="1" x14ac:dyDescent="0.3">
      <c r="A17" s="58" t="s">
        <v>47</v>
      </c>
      <c r="B17" s="58"/>
      <c r="C17" s="56" t="s">
        <v>23</v>
      </c>
      <c r="D17" s="25" t="s">
        <v>139</v>
      </c>
      <c r="E17" s="26" t="s">
        <v>143</v>
      </c>
      <c r="F17" s="27" t="s">
        <v>144</v>
      </c>
      <c r="G17" s="28" t="s">
        <v>95</v>
      </c>
      <c r="H17" s="29" t="s">
        <v>108</v>
      </c>
      <c r="I17" s="29" t="s">
        <v>122</v>
      </c>
      <c r="J17" s="207"/>
      <c r="K17" s="198" t="str">
        <f>CEILING(J17/(10.7), 0.25) &amp;  IF(CEILING(J17/(10.7), 0.25) &gt;1, " pounds", " pound")</f>
        <v>0 pound</v>
      </c>
    </row>
    <row r="18" spans="1:13" s="16" customFormat="1" ht="87.75" customHeight="1" x14ac:dyDescent="0.3">
      <c r="A18" s="59" t="s">
        <v>38</v>
      </c>
      <c r="B18" s="59"/>
      <c r="C18" s="57" t="s">
        <v>24</v>
      </c>
      <c r="D18" s="30" t="s">
        <v>139</v>
      </c>
      <c r="E18" s="31" t="s">
        <v>143</v>
      </c>
      <c r="F18" s="32" t="s">
        <v>144</v>
      </c>
      <c r="G18" s="33" t="s">
        <v>96</v>
      </c>
      <c r="H18" s="34" t="s">
        <v>119</v>
      </c>
      <c r="I18" s="34" t="s">
        <v>130</v>
      </c>
      <c r="J18" s="208"/>
      <c r="K18" s="199" t="str">
        <f>CEILING(J18/(7.9), 0.25) &amp; IF(CEILING(J18/(7.9), 0.25) &gt;1, " pounds", " pound")</f>
        <v>0 pound</v>
      </c>
    </row>
    <row r="19" spans="1:13" s="16" customFormat="1" ht="87.75" customHeight="1" x14ac:dyDescent="0.3">
      <c r="A19" s="58" t="s">
        <v>28</v>
      </c>
      <c r="B19" s="58"/>
      <c r="C19" s="56" t="s">
        <v>81</v>
      </c>
      <c r="D19" s="25" t="s">
        <v>139</v>
      </c>
      <c r="E19" s="26" t="s">
        <v>143</v>
      </c>
      <c r="F19" s="27" t="s">
        <v>144</v>
      </c>
      <c r="G19" s="28" t="s">
        <v>102</v>
      </c>
      <c r="H19" s="29" t="s">
        <v>146</v>
      </c>
      <c r="I19" s="84" t="s">
        <v>149</v>
      </c>
      <c r="J19" s="207"/>
      <c r="K19" s="198" t="str">
        <f>CEILING(J19/(6.4), 0.25) &amp;  IF(CEILING(J19/(6.4), 0.25) &gt;1, " pounds", " pound")</f>
        <v>0 pound</v>
      </c>
    </row>
    <row r="20" spans="1:13" s="16" customFormat="1" ht="87.75" customHeight="1" x14ac:dyDescent="0.3">
      <c r="A20" s="59" t="s">
        <v>48</v>
      </c>
      <c r="B20" s="59"/>
      <c r="C20" s="57" t="s">
        <v>18</v>
      </c>
      <c r="D20" s="30" t="s">
        <v>139</v>
      </c>
      <c r="E20" s="31" t="s">
        <v>143</v>
      </c>
      <c r="F20" s="32" t="s">
        <v>144</v>
      </c>
      <c r="G20" s="33" t="s">
        <v>95</v>
      </c>
      <c r="H20" s="34" t="s">
        <v>108</v>
      </c>
      <c r="I20" s="34" t="s">
        <v>122</v>
      </c>
      <c r="J20" s="208"/>
      <c r="K20" s="199" t="str">
        <f>CEILING(J20/(10.7), 0.25) &amp;  IF(CEILING(J20/(10.7), 0.25) &gt;1, " pounds", " pound")</f>
        <v>0 pound</v>
      </c>
    </row>
    <row r="21" spans="1:13" s="16" customFormat="1" ht="87.75" customHeight="1" x14ac:dyDescent="0.3">
      <c r="A21" s="58" t="s">
        <v>49</v>
      </c>
      <c r="B21" s="58"/>
      <c r="C21" s="56" t="s">
        <v>23</v>
      </c>
      <c r="D21" s="25" t="s">
        <v>139</v>
      </c>
      <c r="E21" s="26" t="s">
        <v>143</v>
      </c>
      <c r="F21" s="27" t="s">
        <v>144</v>
      </c>
      <c r="G21" s="28" t="s">
        <v>95</v>
      </c>
      <c r="H21" s="29" t="s">
        <v>108</v>
      </c>
      <c r="I21" s="29" t="s">
        <v>131</v>
      </c>
      <c r="J21" s="207"/>
      <c r="K21" s="198" t="str">
        <f>CEILING(J21/(10.5), 0.25) &amp;  IF(CEILING(J21/(10.5), 0.25) &gt;1, " pounds", " pound")</f>
        <v>0 pound</v>
      </c>
    </row>
    <row r="22" spans="1:13" s="16" customFormat="1" ht="87.75" customHeight="1" x14ac:dyDescent="0.3">
      <c r="A22" s="218" t="s">
        <v>31</v>
      </c>
      <c r="B22" s="218"/>
      <c r="C22" s="252" t="s">
        <v>87</v>
      </c>
      <c r="D22" s="30" t="s">
        <v>139</v>
      </c>
      <c r="E22" s="31" t="s">
        <v>143</v>
      </c>
      <c r="F22" s="32" t="s">
        <v>144</v>
      </c>
      <c r="G22" s="242" t="s">
        <v>96</v>
      </c>
      <c r="H22" s="243" t="s">
        <v>119</v>
      </c>
      <c r="I22" s="243" t="s">
        <v>130</v>
      </c>
      <c r="J22" s="241"/>
      <c r="K22" s="244" t="str">
        <f>CEILING(J22/7.78, 0.25) &amp;  IF(CEILING(J22/7.78, 0.25) &gt; 1, " pounds", " pound")</f>
        <v>0 pound</v>
      </c>
    </row>
    <row r="23" spans="1:13" s="15" customFormat="1" ht="87.75" customHeight="1" thickBot="1" x14ac:dyDescent="0.35">
      <c r="A23" s="219" t="s">
        <v>50</v>
      </c>
      <c r="B23" s="220"/>
      <c r="C23" s="221" t="s">
        <v>7</v>
      </c>
      <c r="D23" s="222" t="s">
        <v>139</v>
      </c>
      <c r="E23" s="223" t="s">
        <v>143</v>
      </c>
      <c r="F23" s="224" t="s">
        <v>144</v>
      </c>
      <c r="G23" s="225" t="s">
        <v>102</v>
      </c>
      <c r="H23" s="226" t="s">
        <v>123</v>
      </c>
      <c r="I23" s="226" t="s">
        <v>97</v>
      </c>
      <c r="J23" s="227"/>
      <c r="K23" s="228" t="str">
        <f>CEILING(J23/(6.1), 0.25) &amp;  IF(CEILING(J23/(6.1), 0.25)&gt;1, " pounds", " pound")</f>
        <v>0 pound</v>
      </c>
      <c r="L23" s="16"/>
      <c r="M23" s="16"/>
    </row>
    <row r="25" spans="1:13" ht="68.400000000000006" customHeight="1" x14ac:dyDescent="0.3">
      <c r="A25" s="273" t="s">
        <v>184</v>
      </c>
      <c r="B25" s="273"/>
      <c r="C25" s="273"/>
      <c r="D25" s="273"/>
      <c r="E25" s="273"/>
      <c r="F25" s="273"/>
      <c r="G25" s="273"/>
      <c r="H25" s="273"/>
      <c r="I25" s="273"/>
      <c r="J25" s="273"/>
      <c r="K25" s="273"/>
    </row>
    <row r="26" spans="1:13" ht="40.950000000000003" customHeight="1" x14ac:dyDescent="0.6">
      <c r="A26" s="256" t="s">
        <v>78</v>
      </c>
      <c r="B26" s="267" t="s">
        <v>183</v>
      </c>
      <c r="C26" s="267"/>
      <c r="D26" s="267"/>
      <c r="E26" s="267"/>
      <c r="F26" s="267"/>
      <c r="G26" s="267"/>
      <c r="H26" s="267"/>
      <c r="I26" s="267"/>
      <c r="J26" s="267"/>
      <c r="K26" s="267"/>
      <c r="L26" s="64"/>
    </row>
    <row r="27" spans="1:13" ht="40.950000000000003" customHeight="1" x14ac:dyDescent="0.6">
      <c r="A27" s="264" t="s">
        <v>188</v>
      </c>
      <c r="B27" s="264"/>
      <c r="C27" s="264"/>
      <c r="D27" s="264"/>
      <c r="E27" s="264"/>
      <c r="F27" s="264"/>
      <c r="G27" s="264"/>
      <c r="H27" s="264"/>
      <c r="I27" s="264"/>
      <c r="J27" s="264"/>
      <c r="K27" s="264"/>
    </row>
    <row r="28" spans="1:13" ht="37.200000000000003" customHeight="1" x14ac:dyDescent="0.6">
      <c r="A28" s="264" t="s">
        <v>179</v>
      </c>
      <c r="B28" s="264"/>
      <c r="C28" s="264"/>
      <c r="D28" s="264"/>
      <c r="E28" s="264"/>
      <c r="F28" s="264"/>
      <c r="G28" s="264"/>
      <c r="H28" s="264"/>
      <c r="I28" s="264"/>
      <c r="J28" s="264"/>
      <c r="K28" s="264"/>
    </row>
    <row r="29" spans="1:13" ht="30.6" customHeight="1" x14ac:dyDescent="0.6">
      <c r="A29" s="264" t="s">
        <v>180</v>
      </c>
      <c r="B29" s="264"/>
      <c r="C29" s="264"/>
      <c r="D29" s="264"/>
      <c r="E29" s="264"/>
      <c r="F29" s="264"/>
      <c r="G29" s="264"/>
      <c r="H29" s="264"/>
      <c r="I29" s="264"/>
      <c r="J29" s="264"/>
      <c r="K29" s="264"/>
    </row>
    <row r="30" spans="1:13" ht="40.950000000000003" customHeight="1" x14ac:dyDescent="0.6">
      <c r="A30" s="264" t="s">
        <v>93</v>
      </c>
      <c r="B30" s="264"/>
      <c r="C30" s="264"/>
      <c r="D30" s="264"/>
      <c r="E30" s="264"/>
      <c r="F30" s="264"/>
      <c r="G30" s="264"/>
      <c r="H30" s="264"/>
      <c r="I30" s="264"/>
      <c r="J30" s="264"/>
      <c r="K30" s="264"/>
    </row>
    <row r="31" spans="1:13" ht="40.950000000000003" customHeight="1" x14ac:dyDescent="0.6">
      <c r="A31" s="267" t="s">
        <v>77</v>
      </c>
      <c r="B31" s="267"/>
      <c r="C31" s="267"/>
      <c r="D31" s="257"/>
      <c r="E31" s="257"/>
      <c r="F31" s="257"/>
      <c r="G31" s="257"/>
      <c r="H31" s="257"/>
      <c r="I31" s="257"/>
      <c r="J31" s="257"/>
      <c r="K31" s="257"/>
    </row>
    <row r="32" spans="1:13" ht="40.950000000000003" customHeight="1" x14ac:dyDescent="0.6">
      <c r="A32" s="268" t="s">
        <v>187</v>
      </c>
      <c r="B32" s="268"/>
      <c r="C32" s="268"/>
      <c r="D32" s="268"/>
      <c r="E32" s="268"/>
      <c r="F32" s="268"/>
      <c r="G32" s="268"/>
      <c r="H32" s="268"/>
      <c r="I32" s="268"/>
      <c r="J32" s="268"/>
      <c r="K32" s="268"/>
    </row>
  </sheetData>
  <sheetProtection algorithmName="SHA-512" hashValue="EAdqggvA8PExO1+qeVGo2DzJOarcHdRhSxm8zwWlcpfkJMqng05Zbsboi1oWXPuoX3m4B3xTwglgGCjkY3rMdA==" saltValue="RE7MO9vkTBDtn2UlZ7tZ4g==" spinCount="100000" sheet="1" objects="1" scenarios="1"/>
  <mergeCells count="15">
    <mergeCell ref="A32:K32"/>
    <mergeCell ref="A30:K30"/>
    <mergeCell ref="G6:K6"/>
    <mergeCell ref="D6:F6"/>
    <mergeCell ref="A31:C31"/>
    <mergeCell ref="A28:K28"/>
    <mergeCell ref="A29:K29"/>
    <mergeCell ref="A25:K25"/>
    <mergeCell ref="A1:K1"/>
    <mergeCell ref="A2:K2"/>
    <mergeCell ref="A3:K3"/>
    <mergeCell ref="A4:K4"/>
    <mergeCell ref="A27:K27"/>
    <mergeCell ref="B6:C6"/>
    <mergeCell ref="B26:K26"/>
  </mergeCells>
  <phoneticPr fontId="16" type="noConversion"/>
  <hyperlinks>
    <hyperlink ref="B26:K26" r:id="rId1" display="For seasonal produce, see What’s in Season? North Carolina Fruit and Vegetable Availability." xr:uid="{652EF075-62B8-4291-9A2F-86CF2BFFC1CE}"/>
    <hyperlink ref="A31:C31" r:id="rId2" display="Source: Food Buying Guide for Child Nutrition Programs " xr:uid="{D78A8F96-6187-40BD-8BF2-C188CF2DEA64}"/>
    <hyperlink ref="A32" r:id="rId3" xr:uid="{0DBCA4E9-640A-43B0-9A25-9ADB64FF9074}"/>
  </hyperlinks>
  <pageMargins left="0.7" right="0.7" top="0.75" bottom="0.75" header="0.3" footer="0.3"/>
  <pageSetup orientation="portrait" r:id="rId4"/>
  <ignoredErrors>
    <ignoredError sqref="K16" formula="1"/>
  </ignoredErrors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4BC49-B72D-4169-AEAD-A465CA3F4B14}">
  <dimension ref="A1:T48"/>
  <sheetViews>
    <sheetView zoomScale="40" zoomScaleNormal="40" workbookViewId="0">
      <pane ySplit="7" topLeftCell="A8" activePane="bottomLeft" state="frozen"/>
      <selection pane="bottomLeft" sqref="A1:K1"/>
    </sheetView>
  </sheetViews>
  <sheetFormatPr defaultRowHeight="23.4" x14ac:dyDescent="0.45"/>
  <cols>
    <col min="1" max="1" width="101.109375" style="5" customWidth="1"/>
    <col min="2" max="2" width="24.88671875" style="1" customWidth="1"/>
    <col min="3" max="3" width="61.21875" style="5" customWidth="1"/>
    <col min="4" max="4" width="20.77734375" style="9" customWidth="1"/>
    <col min="5" max="6" width="20.77734375" style="6" customWidth="1"/>
    <col min="7" max="7" width="20.77734375" style="4" customWidth="1"/>
    <col min="8" max="9" width="20.77734375" style="2" customWidth="1"/>
    <col min="10" max="10" width="22.33203125" style="3" customWidth="1"/>
    <col min="11" max="11" width="31.6640625" style="2" customWidth="1"/>
    <col min="12" max="12" width="10.77734375" customWidth="1"/>
    <col min="13" max="13" width="10" customWidth="1"/>
  </cols>
  <sheetData>
    <row r="1" spans="1:13" ht="46.5" customHeight="1" x14ac:dyDescent="0.85">
      <c r="A1" s="260" t="s">
        <v>15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11"/>
    </row>
    <row r="2" spans="1:13" ht="31.2" customHeight="1" x14ac:dyDescent="0.6">
      <c r="A2" s="261" t="s">
        <v>75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12"/>
    </row>
    <row r="3" spans="1:13" ht="45" customHeight="1" x14ac:dyDescent="0.85">
      <c r="A3" s="260" t="s">
        <v>2</v>
      </c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12"/>
    </row>
    <row r="4" spans="1:13" ht="33.75" customHeight="1" x14ac:dyDescent="0.65">
      <c r="A4" s="263" t="s">
        <v>74</v>
      </c>
      <c r="B4" s="263"/>
      <c r="C4" s="263"/>
      <c r="D4" s="263"/>
      <c r="E4" s="263"/>
      <c r="F4" s="263"/>
      <c r="G4" s="263"/>
      <c r="H4" s="263"/>
      <c r="I4" s="263"/>
      <c r="J4" s="263"/>
      <c r="K4" s="263"/>
      <c r="L4" s="13"/>
    </row>
    <row r="5" spans="1:13" ht="24" thickBot="1" x14ac:dyDescent="0.5"/>
    <row r="6" spans="1:13" ht="46.05" customHeight="1" thickBot="1" x14ac:dyDescent="0.35">
      <c r="A6" s="50" t="s">
        <v>80</v>
      </c>
      <c r="B6" s="265" t="s">
        <v>4</v>
      </c>
      <c r="C6" s="284"/>
      <c r="D6" s="279" t="s">
        <v>16</v>
      </c>
      <c r="E6" s="280"/>
      <c r="F6" s="281"/>
      <c r="G6" s="277" t="s">
        <v>0</v>
      </c>
      <c r="H6" s="277"/>
      <c r="I6" s="277"/>
      <c r="J6" s="277"/>
      <c r="K6" s="278"/>
    </row>
    <row r="7" spans="1:13" s="1" customFormat="1" ht="75" customHeight="1" x14ac:dyDescent="0.5">
      <c r="A7" s="167"/>
      <c r="B7" s="168"/>
      <c r="C7" s="169"/>
      <c r="D7" s="170" t="s">
        <v>109</v>
      </c>
      <c r="E7" s="171" t="s">
        <v>110</v>
      </c>
      <c r="F7" s="172" t="s">
        <v>111</v>
      </c>
      <c r="G7" s="173" t="s">
        <v>109</v>
      </c>
      <c r="H7" s="171" t="s">
        <v>110</v>
      </c>
      <c r="I7" s="172" t="s">
        <v>111</v>
      </c>
      <c r="J7" s="157" t="s">
        <v>112</v>
      </c>
      <c r="K7" s="188" t="s">
        <v>113</v>
      </c>
      <c r="L7" s="249"/>
      <c r="M7" s="249"/>
    </row>
    <row r="8" spans="1:13" s="15" customFormat="1" ht="87.75" customHeight="1" x14ac:dyDescent="0.3">
      <c r="A8" s="158" t="s">
        <v>33</v>
      </c>
      <c r="B8" s="159"/>
      <c r="C8" s="160" t="s">
        <v>90</v>
      </c>
      <c r="D8" s="161" t="s">
        <v>150</v>
      </c>
      <c r="E8" s="162" t="s">
        <v>151</v>
      </c>
      <c r="F8" s="163" t="s">
        <v>143</v>
      </c>
      <c r="G8" s="164" t="s">
        <v>101</v>
      </c>
      <c r="H8" s="162" t="s">
        <v>102</v>
      </c>
      <c r="I8" s="165" t="s">
        <v>103</v>
      </c>
      <c r="J8" s="201"/>
      <c r="K8" s="166" t="str">
        <f>CEILING(J8/(2*14.56), 0.25) &amp;  IF(CEILING(J8/(2*14.56), 0.25) &gt;1, " pounds", " pound")</f>
        <v>0 pound</v>
      </c>
      <c r="L8" s="16"/>
      <c r="M8" s="16"/>
    </row>
    <row r="9" spans="1:13" s="15" customFormat="1" ht="87.75" customHeight="1" x14ac:dyDescent="0.3">
      <c r="A9" s="120" t="s">
        <v>64</v>
      </c>
      <c r="B9" s="121"/>
      <c r="C9" s="54" t="s">
        <v>98</v>
      </c>
      <c r="D9" s="20" t="s">
        <v>150</v>
      </c>
      <c r="E9" s="21" t="s">
        <v>152</v>
      </c>
      <c r="F9" s="22" t="s">
        <v>143</v>
      </c>
      <c r="G9" s="122" t="s">
        <v>95</v>
      </c>
      <c r="H9" s="123" t="s">
        <v>108</v>
      </c>
      <c r="I9" s="124" t="s">
        <v>122</v>
      </c>
      <c r="J9" s="203"/>
      <c r="K9" s="24" t="str">
        <f>CEILING(J9/(2*5.52), 0.25) &amp;  IF(CEILING(J9/(2*5.52), 0.25) &gt;1, " pounds", " pound")</f>
        <v>0 pound</v>
      </c>
      <c r="L9" s="16"/>
      <c r="M9" s="16"/>
    </row>
    <row r="10" spans="1:13" s="15" customFormat="1" ht="87.75" customHeight="1" x14ac:dyDescent="0.3">
      <c r="A10" s="67" t="s">
        <v>14</v>
      </c>
      <c r="B10" s="53"/>
      <c r="C10" s="55" t="s">
        <v>99</v>
      </c>
      <c r="D10" s="17" t="s">
        <v>150</v>
      </c>
      <c r="E10" s="18" t="s">
        <v>151</v>
      </c>
      <c r="F10" s="19" t="s">
        <v>153</v>
      </c>
      <c r="G10" s="104" t="s">
        <v>95</v>
      </c>
      <c r="H10" s="105" t="s">
        <v>103</v>
      </c>
      <c r="I10" s="125" t="s">
        <v>117</v>
      </c>
      <c r="J10" s="202"/>
      <c r="K10" s="35" t="str">
        <f>CEILING(J10/(2*7.2),0.25)  &amp;  IF(CEILING(J10/(2*7.2),0.25)  &gt;1, " pounds", " pound")</f>
        <v>0 pound</v>
      </c>
      <c r="L10" s="250"/>
      <c r="M10" s="16"/>
    </row>
    <row r="11" spans="1:13" s="15" customFormat="1" ht="87.75" customHeight="1" x14ac:dyDescent="0.3">
      <c r="A11" s="68" t="s">
        <v>65</v>
      </c>
      <c r="B11" s="52"/>
      <c r="C11" s="54" t="s">
        <v>19</v>
      </c>
      <c r="D11" s="20" t="s">
        <v>150</v>
      </c>
      <c r="E11" s="21" t="s">
        <v>152</v>
      </c>
      <c r="F11" s="22" t="s">
        <v>143</v>
      </c>
      <c r="G11" s="103" t="s">
        <v>95</v>
      </c>
      <c r="H11" s="107" t="s">
        <v>103</v>
      </c>
      <c r="I11" s="108" t="s">
        <v>119</v>
      </c>
      <c r="J11" s="203"/>
      <c r="K11" s="24" t="str">
        <f>CEILING(J11/(2*7.7),0.25) &amp;  IF(CEILING(J11/(2*7.7),0.25) &gt;1, " pounds", " pound")</f>
        <v>0 pound</v>
      </c>
      <c r="L11" s="250"/>
      <c r="M11" s="16"/>
    </row>
    <row r="12" spans="1:13" s="15" customFormat="1" ht="87.75" customHeight="1" x14ac:dyDescent="0.3">
      <c r="A12" s="67" t="s">
        <v>66</v>
      </c>
      <c r="B12" s="53"/>
      <c r="C12" s="55" t="s">
        <v>10</v>
      </c>
      <c r="D12" s="17" t="s">
        <v>150</v>
      </c>
      <c r="E12" s="18" t="s">
        <v>151</v>
      </c>
      <c r="F12" s="19" t="s">
        <v>143</v>
      </c>
      <c r="G12" s="104" t="s">
        <v>101</v>
      </c>
      <c r="H12" s="105" t="s">
        <v>104</v>
      </c>
      <c r="I12" s="106" t="s">
        <v>105</v>
      </c>
      <c r="J12" s="202"/>
      <c r="K12" s="35" t="str">
        <f>CEILING(J12/(2*11.5),0.25) &amp;  IF(CEILING(J12/(2*11.5),0.25) &gt;1, " pounds", " pound")</f>
        <v>0 pound</v>
      </c>
      <c r="L12" s="16"/>
      <c r="M12" s="16"/>
    </row>
    <row r="13" spans="1:13" s="15" customFormat="1" ht="87.75" customHeight="1" x14ac:dyDescent="0.3">
      <c r="A13" s="68" t="s">
        <v>67</v>
      </c>
      <c r="B13" s="52"/>
      <c r="C13" s="54" t="s">
        <v>91</v>
      </c>
      <c r="D13" s="20" t="s">
        <v>150</v>
      </c>
      <c r="E13" s="21" t="s">
        <v>152</v>
      </c>
      <c r="F13" s="22" t="s">
        <v>143</v>
      </c>
      <c r="G13" s="103" t="s">
        <v>95</v>
      </c>
      <c r="H13" s="107" t="s">
        <v>103</v>
      </c>
      <c r="I13" s="108" t="s">
        <v>117</v>
      </c>
      <c r="J13" s="203"/>
      <c r="K13" s="24" t="str">
        <f>CEILING(J13/(2*7.5),0.25) &amp;  IF(CEILING(J13/(2*7.5),0.25) &gt;1, " pounds", " pound")</f>
        <v>0 pound</v>
      </c>
      <c r="L13" s="16"/>
      <c r="M13" s="16"/>
    </row>
    <row r="14" spans="1:13" s="15" customFormat="1" ht="87.75" customHeight="1" x14ac:dyDescent="0.3">
      <c r="A14" s="67" t="s">
        <v>68</v>
      </c>
      <c r="B14" s="53"/>
      <c r="C14" s="55" t="s">
        <v>83</v>
      </c>
      <c r="D14" s="17" t="s">
        <v>150</v>
      </c>
      <c r="E14" s="18" t="s">
        <v>152</v>
      </c>
      <c r="F14" s="19" t="s">
        <v>143</v>
      </c>
      <c r="G14" s="104" t="s">
        <v>101</v>
      </c>
      <c r="H14" s="105" t="s">
        <v>102</v>
      </c>
      <c r="I14" s="106" t="s">
        <v>156</v>
      </c>
      <c r="J14" s="202"/>
      <c r="K14" s="35" t="str">
        <f>CEILING(J14/(2*13.8),0.25) &amp;  IF(CEILING(J14/(2*13.8),0.25) &gt;1, " pounds", " pound")</f>
        <v>0 pound</v>
      </c>
      <c r="L14" s="16"/>
      <c r="M14" s="251"/>
    </row>
    <row r="15" spans="1:13" s="15" customFormat="1" ht="87.75" customHeight="1" x14ac:dyDescent="0.3">
      <c r="A15" s="68" t="s">
        <v>69</v>
      </c>
      <c r="B15" s="52"/>
      <c r="C15" s="54" t="s">
        <v>18</v>
      </c>
      <c r="D15" s="20" t="s">
        <v>150</v>
      </c>
      <c r="E15" s="21" t="s">
        <v>152</v>
      </c>
      <c r="F15" s="22" t="s">
        <v>143</v>
      </c>
      <c r="G15" s="103" t="s">
        <v>95</v>
      </c>
      <c r="H15" s="107" t="s">
        <v>105</v>
      </c>
      <c r="I15" s="108" t="s">
        <v>118</v>
      </c>
      <c r="J15" s="203"/>
      <c r="K15" s="24" t="str">
        <f>CEILING(J15/(2*5.73), 0.25) &amp;  IF(CEILING(J15/(2*5.73), 0.25) &gt;1, " pounds", " pound")</f>
        <v>0 pound</v>
      </c>
      <c r="L15" s="16"/>
      <c r="M15" s="16"/>
    </row>
    <row r="16" spans="1:13" s="15" customFormat="1" ht="87.75" customHeight="1" x14ac:dyDescent="0.3">
      <c r="A16" s="67" t="s">
        <v>70</v>
      </c>
      <c r="B16" s="53"/>
      <c r="C16" s="55" t="s">
        <v>8</v>
      </c>
      <c r="D16" s="17" t="s">
        <v>150</v>
      </c>
      <c r="E16" s="18" t="s">
        <v>152</v>
      </c>
      <c r="F16" s="19" t="s">
        <v>143</v>
      </c>
      <c r="G16" s="104" t="s">
        <v>95</v>
      </c>
      <c r="H16" s="105" t="s">
        <v>103</v>
      </c>
      <c r="I16" s="106" t="s">
        <v>119</v>
      </c>
      <c r="J16" s="202"/>
      <c r="K16" s="35" t="str">
        <f>CEILING(J16/(2*8.16), 0.25) &amp;  IF(CEILING(J16/(2*8.16), 0.25) &gt;1, " pounds", " pound")</f>
        <v>0 pound</v>
      </c>
      <c r="L16" s="16"/>
      <c r="M16" s="16"/>
    </row>
    <row r="17" spans="1:20" s="15" customFormat="1" ht="87.75" customHeight="1" x14ac:dyDescent="0.3">
      <c r="A17" s="126" t="s">
        <v>71</v>
      </c>
      <c r="B17" s="127"/>
      <c r="C17" s="128" t="s">
        <v>62</v>
      </c>
      <c r="D17" s="20" t="s">
        <v>150</v>
      </c>
      <c r="E17" s="21" t="s">
        <v>152</v>
      </c>
      <c r="F17" s="22" t="s">
        <v>143</v>
      </c>
      <c r="G17" s="129" t="s">
        <v>95</v>
      </c>
      <c r="H17" s="130" t="s">
        <v>107</v>
      </c>
      <c r="I17" s="131" t="s">
        <v>121</v>
      </c>
      <c r="J17" s="258"/>
      <c r="K17" s="24" t="str">
        <f>CEILING(J17/(2*8.8), 0.25) &amp;  IF(CEILING(J17/(2*8.8), 0.25) &gt;1, " pounds", " pound")</f>
        <v>0 pound</v>
      </c>
      <c r="L17" s="119"/>
      <c r="M17" s="16"/>
    </row>
    <row r="18" spans="1:20" s="15" customFormat="1" ht="87.75" customHeight="1" x14ac:dyDescent="0.3">
      <c r="A18" s="67" t="s">
        <v>29</v>
      </c>
      <c r="B18" s="53"/>
      <c r="C18" s="55" t="s">
        <v>82</v>
      </c>
      <c r="D18" s="17" t="s">
        <v>150</v>
      </c>
      <c r="E18" s="18" t="s">
        <v>152</v>
      </c>
      <c r="F18" s="19" t="s">
        <v>143</v>
      </c>
      <c r="G18" s="104" t="s">
        <v>95</v>
      </c>
      <c r="H18" s="105" t="s">
        <v>107</v>
      </c>
      <c r="I18" s="106" t="s">
        <v>121</v>
      </c>
      <c r="J18" s="202"/>
      <c r="K18" s="35" t="str">
        <f>CEILING(J18/((6*(3/8))/(1/8)), 0.25) &amp;  IF(CEILING(J18/((6*(3/8))/(1/8)), 0.25) &gt;1, " pounds", " pound")</f>
        <v>0 pound</v>
      </c>
      <c r="L18" s="16"/>
      <c r="M18" s="16"/>
    </row>
    <row r="19" spans="1:20" s="15" customFormat="1" ht="87.75" customHeight="1" x14ac:dyDescent="0.3">
      <c r="A19" s="68" t="s">
        <v>35</v>
      </c>
      <c r="B19" s="52"/>
      <c r="C19" s="54" t="s">
        <v>20</v>
      </c>
      <c r="D19" s="20" t="s">
        <v>150</v>
      </c>
      <c r="E19" s="21" t="s">
        <v>152</v>
      </c>
      <c r="F19" s="22" t="s">
        <v>143</v>
      </c>
      <c r="G19" s="103" t="s">
        <v>95</v>
      </c>
      <c r="H19" s="107" t="s">
        <v>105</v>
      </c>
      <c r="I19" s="108" t="s">
        <v>123</v>
      </c>
      <c r="J19" s="203"/>
      <c r="K19" s="24" t="str">
        <f>CEILING(J19/(2*6.2), 0.25) &amp;  IF(CEILING(J19/(2*6.2), 0.25) &gt;1, " pounds", " pound")</f>
        <v>0 pound</v>
      </c>
      <c r="L19" s="16"/>
      <c r="M19" s="16"/>
    </row>
    <row r="20" spans="1:20" s="15" customFormat="1" ht="87.75" customHeight="1" x14ac:dyDescent="0.3">
      <c r="A20" s="67" t="s">
        <v>51</v>
      </c>
      <c r="B20" s="53"/>
      <c r="C20" s="55" t="s">
        <v>92</v>
      </c>
      <c r="D20" s="17" t="s">
        <v>150</v>
      </c>
      <c r="E20" s="18" t="s">
        <v>152</v>
      </c>
      <c r="F20" s="19" t="s">
        <v>143</v>
      </c>
      <c r="G20" s="104" t="s">
        <v>101</v>
      </c>
      <c r="H20" s="105" t="s">
        <v>104</v>
      </c>
      <c r="I20" s="106" t="s">
        <v>105</v>
      </c>
      <c r="J20" s="202"/>
      <c r="K20" s="35" t="str">
        <f>CEILING(J20/(2*11.2), 0.25) &amp;  IF(CEILING(J20/(2*11.2), 0.25) &gt;1, " pounds", " pound")</f>
        <v>0 pound</v>
      </c>
      <c r="L20" s="16"/>
      <c r="M20" s="16"/>
    </row>
    <row r="21" spans="1:20" s="15" customFormat="1" ht="87.75" customHeight="1" x14ac:dyDescent="0.3">
      <c r="A21" s="68" t="s">
        <v>36</v>
      </c>
      <c r="B21" s="52"/>
      <c r="C21" s="54" t="s">
        <v>81</v>
      </c>
      <c r="D21" s="20" t="s">
        <v>150</v>
      </c>
      <c r="E21" s="21" t="s">
        <v>152</v>
      </c>
      <c r="F21" s="22" t="s">
        <v>143</v>
      </c>
      <c r="G21" s="103" t="s">
        <v>96</v>
      </c>
      <c r="H21" s="107" t="s">
        <v>154</v>
      </c>
      <c r="I21" s="108" t="s">
        <v>145</v>
      </c>
      <c r="J21" s="203"/>
      <c r="K21" s="24" t="str">
        <f>CEILING(J21/(2*4.9), 0.25) &amp;  IF(CEILING(J21/(2*4.9), 0.25) &gt;1, " pounds", " pound")</f>
        <v>0 pound</v>
      </c>
      <c r="L21" s="16"/>
      <c r="M21" s="16"/>
    </row>
    <row r="22" spans="1:20" s="15" customFormat="1" ht="87.75" customHeight="1" x14ac:dyDescent="0.3">
      <c r="A22" s="67" t="s">
        <v>27</v>
      </c>
      <c r="B22" s="53"/>
      <c r="C22" s="55" t="s">
        <v>100</v>
      </c>
      <c r="D22" s="17" t="s">
        <v>150</v>
      </c>
      <c r="E22" s="18" t="s">
        <v>151</v>
      </c>
      <c r="F22" s="19" t="s">
        <v>143</v>
      </c>
      <c r="G22" s="104" t="s">
        <v>95</v>
      </c>
      <c r="H22" s="105" t="s">
        <v>107</v>
      </c>
      <c r="I22" s="106" t="s">
        <v>121</v>
      </c>
      <c r="J22" s="202"/>
      <c r="K22" s="35" t="str">
        <f>CEILING(J22/(2*8.99), 0.25) &amp; IF(CEILING(J22/(2*8.99), 0.25) &gt;1, " pounds", " pound")</f>
        <v>0 pound</v>
      </c>
      <c r="L22" s="16"/>
      <c r="M22" s="16"/>
    </row>
    <row r="23" spans="1:20" s="15" customFormat="1" ht="87.75" customHeight="1" x14ac:dyDescent="0.3">
      <c r="A23" s="66" t="s">
        <v>59</v>
      </c>
      <c r="B23" s="52"/>
      <c r="C23" s="54" t="s">
        <v>21</v>
      </c>
      <c r="D23" s="20" t="s">
        <v>150</v>
      </c>
      <c r="E23" s="21" t="s">
        <v>152</v>
      </c>
      <c r="F23" s="22" t="s">
        <v>143</v>
      </c>
      <c r="G23" s="103" t="s">
        <v>95</v>
      </c>
      <c r="H23" s="107" t="s">
        <v>103</v>
      </c>
      <c r="I23" s="108" t="s">
        <v>119</v>
      </c>
      <c r="J23" s="203"/>
      <c r="K23" s="24" t="str">
        <f>CEILING(J23/(2*7.9), 0.25) &amp;  IF(CEILING(J23/(2*7.9), 0.25) &gt;1, " pounds", " pound")</f>
        <v>0 pound</v>
      </c>
      <c r="L23" s="16"/>
      <c r="M23" s="16"/>
    </row>
    <row r="24" spans="1:20" s="15" customFormat="1" ht="87.75" customHeight="1" x14ac:dyDescent="0.3">
      <c r="A24" s="67" t="s">
        <v>22</v>
      </c>
      <c r="B24" s="72"/>
      <c r="C24" s="55" t="s">
        <v>94</v>
      </c>
      <c r="D24" s="17" t="s">
        <v>150</v>
      </c>
      <c r="E24" s="18" t="s">
        <v>152</v>
      </c>
      <c r="F24" s="19" t="s">
        <v>143</v>
      </c>
      <c r="G24" s="104" t="s">
        <v>96</v>
      </c>
      <c r="H24" s="105" t="s">
        <v>106</v>
      </c>
      <c r="I24" s="106" t="s">
        <v>120</v>
      </c>
      <c r="J24" s="202"/>
      <c r="K24" s="35" t="str">
        <f>CEILING(J24/(2*3.5), 0.25) &amp; IF(CEILING(J24/(2*3.5), 0.25) &gt;1, " pounds", " pound")</f>
        <v>0 pound</v>
      </c>
      <c r="L24" s="16"/>
      <c r="M24" s="16"/>
      <c r="T24" s="15" t="s">
        <v>9</v>
      </c>
    </row>
    <row r="25" spans="1:20" s="16" customFormat="1" ht="87.75" customHeight="1" x14ac:dyDescent="0.3">
      <c r="A25" s="68" t="s">
        <v>37</v>
      </c>
      <c r="B25" s="52"/>
      <c r="C25" s="54" t="s">
        <v>23</v>
      </c>
      <c r="D25" s="20" t="s">
        <v>150</v>
      </c>
      <c r="E25" s="21" t="s">
        <v>152</v>
      </c>
      <c r="F25" s="22" t="s">
        <v>143</v>
      </c>
      <c r="G25" s="103" t="s">
        <v>101</v>
      </c>
      <c r="H25" s="107" t="s">
        <v>104</v>
      </c>
      <c r="I25" s="108" t="s">
        <v>108</v>
      </c>
      <c r="J25" s="203"/>
      <c r="K25" s="24" t="str">
        <f>CEILING(J25/(2*10.7), 0.25) &amp;  IF(CEILING(J25/(2*10.7), 0.25) &gt;1, " pounds", " pound")</f>
        <v>0 pound</v>
      </c>
    </row>
    <row r="26" spans="1:20" s="15" customFormat="1" ht="87.75" customHeight="1" x14ac:dyDescent="0.3">
      <c r="A26" s="67" t="s">
        <v>38</v>
      </c>
      <c r="B26" s="53"/>
      <c r="C26" s="55" t="s">
        <v>24</v>
      </c>
      <c r="D26" s="17" t="s">
        <v>150</v>
      </c>
      <c r="E26" s="18" t="s">
        <v>152</v>
      </c>
      <c r="F26" s="19" t="s">
        <v>143</v>
      </c>
      <c r="G26" s="104" t="s">
        <v>95</v>
      </c>
      <c r="H26" s="105" t="s">
        <v>103</v>
      </c>
      <c r="I26" s="106" t="s">
        <v>119</v>
      </c>
      <c r="J26" s="202"/>
      <c r="K26" s="35" t="str">
        <f>CEILING(J26/(2*7.9), 0.25) &amp;  IF(CEILING(J26/(2*7.9), 0.25) &gt;1, " pounds", " pound")</f>
        <v>0 pound</v>
      </c>
      <c r="L26" s="16"/>
      <c r="M26" s="16"/>
    </row>
    <row r="27" spans="1:20" s="15" customFormat="1" ht="87.75" customHeight="1" x14ac:dyDescent="0.3">
      <c r="A27" s="68" t="s">
        <v>39</v>
      </c>
      <c r="B27" s="52"/>
      <c r="C27" s="54" t="s">
        <v>84</v>
      </c>
      <c r="D27" s="20" t="s">
        <v>150</v>
      </c>
      <c r="E27" s="21" t="s">
        <v>152</v>
      </c>
      <c r="F27" s="22" t="s">
        <v>143</v>
      </c>
      <c r="G27" s="103" t="s">
        <v>95</v>
      </c>
      <c r="H27" s="107" t="s">
        <v>155</v>
      </c>
      <c r="I27" s="108" t="s">
        <v>154</v>
      </c>
      <c r="J27" s="203"/>
      <c r="K27" s="24" t="str">
        <f>CEILING(J27/(2*9.8), 0.25) &amp;  IF(CEILING(J27/(2*9.8), 0.25) &gt;1, " pounds", " pound")</f>
        <v>0 pound</v>
      </c>
      <c r="L27" s="16"/>
      <c r="M27" s="16"/>
    </row>
    <row r="28" spans="1:20" s="15" customFormat="1" ht="87.75" customHeight="1" x14ac:dyDescent="0.3">
      <c r="A28" s="67" t="s">
        <v>28</v>
      </c>
      <c r="B28" s="53"/>
      <c r="C28" s="55" t="s">
        <v>81</v>
      </c>
      <c r="D28" s="17" t="s">
        <v>150</v>
      </c>
      <c r="E28" s="18" t="s">
        <v>151</v>
      </c>
      <c r="F28" s="19" t="s">
        <v>143</v>
      </c>
      <c r="G28" s="104" t="s">
        <v>95</v>
      </c>
      <c r="H28" s="105" t="s">
        <v>156</v>
      </c>
      <c r="I28" s="106" t="s">
        <v>157</v>
      </c>
      <c r="J28" s="202"/>
      <c r="K28" s="35" t="str">
        <f>CEILING(J28/(2*6.4), 0.25) &amp;  IF(CEILING(J28/(2*6.4), 0.25) &gt;1, " pounds", " pound")</f>
        <v>0 pound</v>
      </c>
      <c r="L28" s="16"/>
      <c r="M28" s="16"/>
    </row>
    <row r="29" spans="1:20" s="15" customFormat="1" ht="87.75" customHeight="1" x14ac:dyDescent="0.3">
      <c r="A29" s="66" t="s">
        <v>40</v>
      </c>
      <c r="B29" s="52"/>
      <c r="C29" s="54" t="s">
        <v>81</v>
      </c>
      <c r="D29" s="20" t="s">
        <v>150</v>
      </c>
      <c r="E29" s="21" t="s">
        <v>152</v>
      </c>
      <c r="F29" s="22" t="s">
        <v>143</v>
      </c>
      <c r="G29" s="103" t="s">
        <v>101</v>
      </c>
      <c r="H29" s="107" t="s">
        <v>104</v>
      </c>
      <c r="I29" s="108" t="s">
        <v>108</v>
      </c>
      <c r="J29" s="203"/>
      <c r="K29" s="24" t="str">
        <f>CEILING(J29/(2*10.7), 0.25) &amp; IF(CEILING(J29/(2*10.7), 0.25) &gt;1, " pounds",  " pound")</f>
        <v>0 pound</v>
      </c>
      <c r="L29" s="16"/>
      <c r="M29" s="16"/>
    </row>
    <row r="30" spans="1:20" s="15" customFormat="1" ht="87.75" customHeight="1" x14ac:dyDescent="0.3">
      <c r="A30" s="67" t="s">
        <v>60</v>
      </c>
      <c r="B30" s="53"/>
      <c r="C30" s="55" t="s">
        <v>5</v>
      </c>
      <c r="D30" s="17" t="s">
        <v>150</v>
      </c>
      <c r="E30" s="18" t="s">
        <v>152</v>
      </c>
      <c r="F30" s="19" t="s">
        <v>143</v>
      </c>
      <c r="G30" s="104" t="s">
        <v>95</v>
      </c>
      <c r="H30" s="105" t="s">
        <v>107</v>
      </c>
      <c r="I30" s="106" t="s">
        <v>121</v>
      </c>
      <c r="J30" s="202"/>
      <c r="K30" s="35" t="str">
        <f>CEILING(J30/(2*8.9), 0.25) &amp;  IF(CEILING(J30/(2*8.9), 0.25) &gt;1, " pounds", " pound")</f>
        <v>0 pound</v>
      </c>
      <c r="L30" s="16"/>
      <c r="M30" s="16"/>
    </row>
    <row r="31" spans="1:20" s="15" customFormat="1" ht="87.75" customHeight="1" x14ac:dyDescent="0.3">
      <c r="A31" s="66" t="s">
        <v>57</v>
      </c>
      <c r="B31" s="52"/>
      <c r="C31" s="54" t="s">
        <v>85</v>
      </c>
      <c r="D31" s="20" t="s">
        <v>150</v>
      </c>
      <c r="E31" s="21" t="s">
        <v>152</v>
      </c>
      <c r="F31" s="22" t="s">
        <v>143</v>
      </c>
      <c r="G31" s="103" t="s">
        <v>101</v>
      </c>
      <c r="H31" s="107" t="s">
        <v>104</v>
      </c>
      <c r="I31" s="108" t="s">
        <v>105</v>
      </c>
      <c r="J31" s="203"/>
      <c r="K31" s="24" t="str">
        <f>CEILING(J31/(2*11.4), 0.25) &amp;  IF(CEILING(J31/(2*11.4), 0.25) &gt;1, " pounds", " pound")</f>
        <v>0 pound</v>
      </c>
      <c r="L31" s="16"/>
      <c r="M31" s="16"/>
    </row>
    <row r="32" spans="1:20" s="15" customFormat="1" ht="87.75" customHeight="1" x14ac:dyDescent="0.3">
      <c r="A32" s="67" t="s">
        <v>41</v>
      </c>
      <c r="B32" s="53"/>
      <c r="C32" s="55" t="s">
        <v>6</v>
      </c>
      <c r="D32" s="17" t="s">
        <v>150</v>
      </c>
      <c r="E32" s="18" t="s">
        <v>152</v>
      </c>
      <c r="F32" s="19" t="s">
        <v>143</v>
      </c>
      <c r="G32" s="104" t="s">
        <v>95</v>
      </c>
      <c r="H32" s="105" t="s">
        <v>103</v>
      </c>
      <c r="I32" s="106" t="s">
        <v>117</v>
      </c>
      <c r="J32" s="202"/>
      <c r="K32" s="35" t="str">
        <f>CEILING(J32/(2*7.6), 0.25) &amp; IF(CEILING(J32/(2*7.6), 0.25) &gt;1, " pounds", " pound")</f>
        <v>0 pound</v>
      </c>
      <c r="L32" s="16"/>
      <c r="M32" s="16"/>
    </row>
    <row r="33" spans="1:13" s="15" customFormat="1" ht="87.75" customHeight="1" x14ac:dyDescent="0.3">
      <c r="A33" s="66" t="s">
        <v>42</v>
      </c>
      <c r="B33" s="52"/>
      <c r="C33" s="54" t="s">
        <v>23</v>
      </c>
      <c r="D33" s="20" t="s">
        <v>150</v>
      </c>
      <c r="E33" s="21" t="s">
        <v>152</v>
      </c>
      <c r="F33" s="22" t="s">
        <v>143</v>
      </c>
      <c r="G33" s="103" t="s">
        <v>101</v>
      </c>
      <c r="H33" s="107" t="s">
        <v>104</v>
      </c>
      <c r="I33" s="108" t="s">
        <v>108</v>
      </c>
      <c r="J33" s="203"/>
      <c r="K33" s="24" t="str">
        <f>CEILING(J33/(2*10.5), 0.25) &amp;  IF(CEILING(J33/(2*10.5), 0.25) &gt;1, " pounds", " pound")</f>
        <v>0 pound</v>
      </c>
      <c r="L33" s="16"/>
      <c r="M33" s="16"/>
    </row>
    <row r="34" spans="1:13" s="15" customFormat="1" ht="87.75" customHeight="1" x14ac:dyDescent="0.3">
      <c r="A34" s="70" t="s">
        <v>43</v>
      </c>
      <c r="B34" s="53"/>
      <c r="C34" s="55" t="s">
        <v>11</v>
      </c>
      <c r="D34" s="17" t="s">
        <v>150</v>
      </c>
      <c r="E34" s="18" t="s">
        <v>152</v>
      </c>
      <c r="F34" s="19" t="s">
        <v>143</v>
      </c>
      <c r="G34" s="104" t="s">
        <v>95</v>
      </c>
      <c r="H34" s="105" t="s">
        <v>108</v>
      </c>
      <c r="I34" s="106" t="s">
        <v>122</v>
      </c>
      <c r="J34" s="202"/>
      <c r="K34" s="35" t="str">
        <f>CEILING(J34/(2*5.5), 0.25) &amp;  IF(CEILING(J34/(2*5.5), 0.25) &gt;1, " pounds", " pound")</f>
        <v>0 pound</v>
      </c>
      <c r="L34" s="16"/>
      <c r="M34" s="16"/>
    </row>
    <row r="35" spans="1:13" s="15" customFormat="1" ht="87.75" customHeight="1" x14ac:dyDescent="0.3">
      <c r="A35" s="118" t="s">
        <v>43</v>
      </c>
      <c r="B35" s="78"/>
      <c r="C35" s="79" t="s">
        <v>17</v>
      </c>
      <c r="D35" s="80" t="s">
        <v>150</v>
      </c>
      <c r="E35" s="81" t="s">
        <v>152</v>
      </c>
      <c r="F35" s="82" t="s">
        <v>153</v>
      </c>
      <c r="G35" s="112" t="s">
        <v>95</v>
      </c>
      <c r="H35" s="113" t="s">
        <v>156</v>
      </c>
      <c r="I35" s="114" t="s">
        <v>157</v>
      </c>
      <c r="J35" s="204"/>
      <c r="K35" s="83" t="str">
        <f>CEILING(J35/(2*6.6), 0.25) &amp;  IF(CEILING(J35/(2*6.6), 0.25) &gt;1, " pounds", " pound")</f>
        <v>0 pound</v>
      </c>
      <c r="L35" s="16"/>
      <c r="M35" s="16"/>
    </row>
    <row r="36" spans="1:13" s="15" customFormat="1" ht="87.75" customHeight="1" x14ac:dyDescent="0.3">
      <c r="A36" s="95" t="s">
        <v>61</v>
      </c>
      <c r="B36" s="96"/>
      <c r="C36" s="97" t="s">
        <v>18</v>
      </c>
      <c r="D36" s="98" t="s">
        <v>150</v>
      </c>
      <c r="E36" s="99" t="s">
        <v>152</v>
      </c>
      <c r="F36" s="100" t="s">
        <v>143</v>
      </c>
      <c r="G36" s="109" t="s">
        <v>95</v>
      </c>
      <c r="H36" s="110" t="s">
        <v>103</v>
      </c>
      <c r="I36" s="111" t="s">
        <v>158</v>
      </c>
      <c r="J36" s="205"/>
      <c r="K36" s="101" t="str">
        <f>CEILING(J36/(2*7.6), 0.25) &amp;  IF(CEILING(J36/(2*7.6), 0.25) &gt;1, " pounds", " pound")</f>
        <v>0 pound</v>
      </c>
      <c r="L36" s="16"/>
      <c r="M36" s="16"/>
    </row>
    <row r="37" spans="1:13" s="15" customFormat="1" ht="87.75" customHeight="1" x14ac:dyDescent="0.3">
      <c r="A37" s="77" t="s">
        <v>44</v>
      </c>
      <c r="B37" s="78"/>
      <c r="C37" s="79" t="s">
        <v>12</v>
      </c>
      <c r="D37" s="80" t="s">
        <v>150</v>
      </c>
      <c r="E37" s="81" t="s">
        <v>152</v>
      </c>
      <c r="F37" s="82" t="s">
        <v>143</v>
      </c>
      <c r="G37" s="112" t="s">
        <v>95</v>
      </c>
      <c r="H37" s="113" t="s">
        <v>105</v>
      </c>
      <c r="I37" s="114" t="s">
        <v>123</v>
      </c>
      <c r="J37" s="204"/>
      <c r="K37" s="83" t="str">
        <f>CEILING(J37/(2*6.1), 0.25) &amp; IF(CEILING(J37/(2*6.1), 0.25) &gt;1, " pounds", " pound")</f>
        <v>0 pound</v>
      </c>
      <c r="L37" s="16"/>
      <c r="M37" s="16"/>
    </row>
    <row r="38" spans="1:13" s="15" customFormat="1" ht="87.75" customHeight="1" x14ac:dyDescent="0.3">
      <c r="A38" s="132" t="s">
        <v>63</v>
      </c>
      <c r="B38" s="133"/>
      <c r="C38" s="134" t="s">
        <v>30</v>
      </c>
      <c r="D38" s="17" t="s">
        <v>150</v>
      </c>
      <c r="E38" s="18" t="s">
        <v>152</v>
      </c>
      <c r="F38" s="19" t="s">
        <v>143</v>
      </c>
      <c r="G38" s="135" t="s">
        <v>95</v>
      </c>
      <c r="H38" s="136" t="s">
        <v>107</v>
      </c>
      <c r="I38" s="137" t="s">
        <v>121</v>
      </c>
      <c r="J38" s="259"/>
      <c r="K38" s="35" t="str">
        <f>CEILING(J38/(2*8.42), 0.25) &amp;  IF(CEILING(J38/(2*8.42), 0.25) &gt;1, " pounds", " pound")</f>
        <v>0 pound</v>
      </c>
      <c r="L38" s="16"/>
      <c r="M38" s="16"/>
    </row>
    <row r="39" spans="1:13" s="15" customFormat="1" ht="87.75" customHeight="1" thickBot="1" x14ac:dyDescent="0.35">
      <c r="A39" s="229" t="s">
        <v>45</v>
      </c>
      <c r="B39" s="230"/>
      <c r="C39" s="231" t="s">
        <v>30</v>
      </c>
      <c r="D39" s="232" t="s">
        <v>150</v>
      </c>
      <c r="E39" s="233" t="s">
        <v>152</v>
      </c>
      <c r="F39" s="234" t="s">
        <v>143</v>
      </c>
      <c r="G39" s="235" t="s">
        <v>101</v>
      </c>
      <c r="H39" s="236" t="s">
        <v>104</v>
      </c>
      <c r="I39" s="237" t="s">
        <v>108</v>
      </c>
      <c r="J39" s="238"/>
      <c r="K39" s="239" t="str">
        <f>CEILING(J39/(2*10.2), 0.25) &amp;  IF(CEILING(J39/(2*10.2), 0.25) &gt;1, " pounds", " pound")</f>
        <v>0 pound</v>
      </c>
    </row>
    <row r="41" spans="1:13" ht="68.400000000000006" customHeight="1" x14ac:dyDescent="0.3">
      <c r="A41" s="274" t="s">
        <v>185</v>
      </c>
      <c r="B41" s="274"/>
      <c r="C41" s="274"/>
      <c r="D41" s="274"/>
      <c r="E41" s="274"/>
      <c r="F41" s="274"/>
      <c r="G41" s="274"/>
      <c r="H41" s="274"/>
      <c r="I41" s="274"/>
      <c r="J41" s="274"/>
      <c r="K41" s="274"/>
    </row>
    <row r="42" spans="1:13" ht="40.950000000000003" customHeight="1" x14ac:dyDescent="0.6">
      <c r="A42" s="240" t="s">
        <v>79</v>
      </c>
      <c r="B42" s="276" t="s">
        <v>183</v>
      </c>
      <c r="C42" s="276"/>
      <c r="D42" s="276"/>
      <c r="E42" s="276"/>
      <c r="F42" s="276"/>
      <c r="G42" s="276"/>
      <c r="H42" s="276"/>
      <c r="I42" s="276"/>
      <c r="J42" s="276"/>
      <c r="K42" s="276"/>
      <c r="L42" s="64"/>
    </row>
    <row r="43" spans="1:13" s="10" customFormat="1" ht="40.950000000000003" customHeight="1" x14ac:dyDescent="0.6">
      <c r="A43" s="282" t="s">
        <v>188</v>
      </c>
      <c r="B43" s="282"/>
      <c r="C43" s="282"/>
      <c r="D43" s="282"/>
      <c r="E43" s="282"/>
      <c r="F43" s="282"/>
      <c r="G43" s="282"/>
      <c r="H43" s="282"/>
      <c r="I43" s="282"/>
      <c r="J43" s="282"/>
      <c r="K43" s="282"/>
    </row>
    <row r="44" spans="1:13" s="10" customFormat="1" ht="40.950000000000003" customHeight="1" x14ac:dyDescent="0.6">
      <c r="A44" s="282" t="s">
        <v>181</v>
      </c>
      <c r="B44" s="282"/>
      <c r="C44" s="282"/>
      <c r="D44" s="282"/>
      <c r="E44" s="282"/>
      <c r="F44" s="282"/>
      <c r="G44" s="282"/>
      <c r="H44" s="282"/>
      <c r="I44" s="282"/>
      <c r="J44" s="282"/>
      <c r="K44" s="282"/>
    </row>
    <row r="45" spans="1:13" s="10" customFormat="1" ht="30.6" customHeight="1" x14ac:dyDescent="0.6">
      <c r="A45" s="282" t="s">
        <v>180</v>
      </c>
      <c r="B45" s="282"/>
      <c r="C45" s="282"/>
      <c r="D45" s="282"/>
      <c r="E45" s="282"/>
      <c r="F45" s="282"/>
      <c r="G45" s="282"/>
      <c r="H45" s="282"/>
      <c r="I45" s="282"/>
      <c r="J45" s="282"/>
      <c r="K45" s="282"/>
    </row>
    <row r="46" spans="1:13" s="10" customFormat="1" ht="40.950000000000003" customHeight="1" x14ac:dyDescent="0.6">
      <c r="A46" s="283" t="s">
        <v>93</v>
      </c>
      <c r="B46" s="283"/>
      <c r="C46" s="283"/>
      <c r="D46" s="283"/>
      <c r="E46" s="283"/>
      <c r="F46" s="283"/>
      <c r="G46" s="283"/>
      <c r="H46" s="283"/>
      <c r="I46" s="283"/>
      <c r="J46" s="283"/>
      <c r="K46" s="283"/>
      <c r="L46" s="64"/>
    </row>
    <row r="47" spans="1:13" s="10" customFormat="1" ht="40.950000000000003" customHeight="1" x14ac:dyDescent="0.6">
      <c r="A47" s="276" t="s">
        <v>77</v>
      </c>
      <c r="B47" s="276"/>
      <c r="C47" s="276"/>
      <c r="D47" s="276"/>
      <c r="E47" s="276"/>
      <c r="F47" s="276"/>
      <c r="G47" s="276"/>
      <c r="H47" s="276"/>
      <c r="I47" s="276"/>
      <c r="J47" s="276"/>
      <c r="K47" s="276"/>
      <c r="L47" s="64"/>
    </row>
    <row r="48" spans="1:13" ht="40.950000000000003" customHeight="1" x14ac:dyDescent="0.6">
      <c r="A48" s="275" t="s">
        <v>76</v>
      </c>
      <c r="B48" s="276"/>
      <c r="C48" s="276"/>
      <c r="D48" s="276"/>
      <c r="E48" s="276"/>
      <c r="F48" s="276"/>
      <c r="G48" s="276"/>
      <c r="H48" s="276"/>
      <c r="I48" s="276"/>
      <c r="J48" s="276"/>
      <c r="K48" s="276"/>
      <c r="L48" s="51"/>
    </row>
  </sheetData>
  <sheetProtection algorithmName="SHA-512" hashValue="ffbuL/qpBAbpmqsAa/WzEV3EjX87f9HbP3JSFDnnj2ZiqEXIsQ0fjekSzy+p0tC6g+e6IBNTtX3XBbQgJFuaBg==" saltValue="jWl10Y2ZMrXFKzh13Y09GQ==" spinCount="100000" sheet="1" objects="1" scenarios="1"/>
  <mergeCells count="15">
    <mergeCell ref="A41:K41"/>
    <mergeCell ref="A48:K48"/>
    <mergeCell ref="A1:K1"/>
    <mergeCell ref="A2:K2"/>
    <mergeCell ref="A3:K3"/>
    <mergeCell ref="A4:K4"/>
    <mergeCell ref="G6:K6"/>
    <mergeCell ref="D6:F6"/>
    <mergeCell ref="A43:K43"/>
    <mergeCell ref="A46:K46"/>
    <mergeCell ref="A47:K47"/>
    <mergeCell ref="B6:C6"/>
    <mergeCell ref="B42:K42"/>
    <mergeCell ref="A44:K44"/>
    <mergeCell ref="A45:K45"/>
  </mergeCells>
  <phoneticPr fontId="16" type="noConversion"/>
  <hyperlinks>
    <hyperlink ref="A48:K48" r:id="rId1" display="USDA Child Meal Pattern " xr:uid="{43B7141E-401A-48BA-B92D-5CB741DBBB19}"/>
    <hyperlink ref="A47:K47" r:id="rId2" display="Source: Food Buying Guide for Child Nutrition Programs " xr:uid="{93DA3F46-2FD8-4563-8CDA-7ACCB796BAEB}"/>
    <hyperlink ref="B42:K42" r:id="rId3" display="For seasonal produce, see What’s in Season? North Carolina Fruit and Vegetable Availability." xr:uid="{076576A1-3AC0-4763-9880-CBF8A36E4287}"/>
  </hyperlinks>
  <pageMargins left="0.7" right="0.7" top="0.75" bottom="0.75" header="0.3" footer="0.3"/>
  <pageSetup orientation="portrait" r:id="rId4"/>
  <headerFooter>
    <oddHeader xml:space="preserve">&amp;C&amp;G
</oddHeader>
  </headerFooter>
  <drawing r:id="rId5"/>
  <legacyDrawingHF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F84B4-FD7F-4EF2-978A-3CE35353539C}">
  <dimension ref="A1:M35"/>
  <sheetViews>
    <sheetView zoomScale="40" zoomScaleNormal="40" workbookViewId="0">
      <pane ySplit="7" topLeftCell="A8" activePane="bottomLeft" state="frozen"/>
      <selection pane="bottomLeft" sqref="A1:K1"/>
    </sheetView>
  </sheetViews>
  <sheetFormatPr defaultRowHeight="23.4" x14ac:dyDescent="0.45"/>
  <cols>
    <col min="1" max="1" width="96.33203125" style="5" customWidth="1"/>
    <col min="2" max="2" width="23.5546875" style="5" customWidth="1"/>
    <col min="3" max="3" width="61.21875" style="5" customWidth="1"/>
    <col min="4" max="6" width="20.77734375" style="5" customWidth="1"/>
    <col min="7" max="7" width="20.77734375" style="23" customWidth="1"/>
    <col min="8" max="9" width="20.77734375" style="14" customWidth="1"/>
    <col min="10" max="10" width="24.6640625" style="3" customWidth="1"/>
    <col min="11" max="11" width="31.6640625" style="2" customWidth="1"/>
    <col min="12" max="12" width="10.21875" customWidth="1"/>
  </cols>
  <sheetData>
    <row r="1" spans="1:13" ht="46.2" x14ac:dyDescent="0.85">
      <c r="A1" s="260" t="s">
        <v>15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</row>
    <row r="2" spans="1:13" ht="31.2" customHeight="1" x14ac:dyDescent="0.6">
      <c r="A2" s="261" t="s">
        <v>75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</row>
    <row r="3" spans="1:13" ht="45" customHeight="1" x14ac:dyDescent="0.85">
      <c r="A3" s="260" t="s">
        <v>3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</row>
    <row r="4" spans="1:13" ht="33.6" x14ac:dyDescent="0.65">
      <c r="A4" s="263" t="s">
        <v>72</v>
      </c>
      <c r="B4" s="263"/>
      <c r="C4" s="263"/>
      <c r="D4" s="263"/>
      <c r="E4" s="263"/>
      <c r="F4" s="263"/>
      <c r="G4" s="263"/>
      <c r="H4" s="263"/>
      <c r="I4" s="263"/>
      <c r="J4" s="263"/>
      <c r="K4" s="263"/>
    </row>
    <row r="5" spans="1:13" ht="24" thickBot="1" x14ac:dyDescent="0.5"/>
    <row r="6" spans="1:13" ht="46.05" customHeight="1" thickBot="1" x14ac:dyDescent="0.35">
      <c r="A6" s="50" t="s">
        <v>80</v>
      </c>
      <c r="B6" s="290" t="s">
        <v>4</v>
      </c>
      <c r="C6" s="291"/>
      <c r="D6" s="287" t="s">
        <v>16</v>
      </c>
      <c r="E6" s="288"/>
      <c r="F6" s="289"/>
      <c r="G6" s="285" t="s">
        <v>0</v>
      </c>
      <c r="H6" s="285"/>
      <c r="I6" s="285"/>
      <c r="J6" s="285"/>
      <c r="K6" s="286"/>
    </row>
    <row r="7" spans="1:13" s="5" customFormat="1" ht="75" customHeight="1" x14ac:dyDescent="0.45">
      <c r="A7" s="150"/>
      <c r="B7" s="151"/>
      <c r="C7" s="152"/>
      <c r="D7" s="153" t="s">
        <v>109</v>
      </c>
      <c r="E7" s="154" t="s">
        <v>110</v>
      </c>
      <c r="F7" s="155" t="s">
        <v>111</v>
      </c>
      <c r="G7" s="156" t="s">
        <v>124</v>
      </c>
      <c r="H7" s="154" t="s">
        <v>115</v>
      </c>
      <c r="I7" s="154" t="s">
        <v>116</v>
      </c>
      <c r="J7" s="157" t="s">
        <v>125</v>
      </c>
      <c r="K7" s="189" t="s">
        <v>126</v>
      </c>
    </row>
    <row r="8" spans="1:13" s="15" customFormat="1" ht="87.75" customHeight="1" x14ac:dyDescent="0.3">
      <c r="A8" s="143" t="s">
        <v>33</v>
      </c>
      <c r="B8" s="144"/>
      <c r="C8" s="145" t="s">
        <v>88</v>
      </c>
      <c r="D8" s="146" t="s">
        <v>160</v>
      </c>
      <c r="E8" s="147" t="s">
        <v>144</v>
      </c>
      <c r="F8" s="148" t="s">
        <v>164</v>
      </c>
      <c r="G8" s="149" t="s">
        <v>96</v>
      </c>
      <c r="H8" s="147" t="s">
        <v>117</v>
      </c>
      <c r="I8" s="148" t="s">
        <v>127</v>
      </c>
      <c r="J8" s="190"/>
      <c r="K8" s="191" t="str">
        <f>CEILING(J8/(14.56/2), 0.25) &amp; IF(CEILING(J8/(14.56/2), 0.25) &gt;1, " pounds", " pound")</f>
        <v>0 pound</v>
      </c>
      <c r="L8" s="16"/>
      <c r="M8" s="16"/>
    </row>
    <row r="9" spans="1:13" s="15" customFormat="1" ht="87.75" customHeight="1" x14ac:dyDescent="0.3">
      <c r="A9" s="138" t="s">
        <v>64</v>
      </c>
      <c r="B9" s="139"/>
      <c r="C9" s="44" t="s">
        <v>159</v>
      </c>
      <c r="D9" s="45" t="s">
        <v>161</v>
      </c>
      <c r="E9" s="46" t="s">
        <v>144</v>
      </c>
      <c r="F9" s="47" t="s">
        <v>164</v>
      </c>
      <c r="G9" s="140" t="s">
        <v>156</v>
      </c>
      <c r="H9" s="141" t="s">
        <v>167</v>
      </c>
      <c r="I9" s="142" t="s">
        <v>169</v>
      </c>
      <c r="J9" s="200"/>
      <c r="K9" s="192" t="str">
        <f>CEILING(J9/(5.52/2), 0.25) &amp;  IF(CEILING(J9/(5.52/2), 0.25) &gt; 1, " pounds", " pound")</f>
        <v>0 pound</v>
      </c>
      <c r="L9" s="16"/>
      <c r="M9" s="16"/>
    </row>
    <row r="10" spans="1:13" s="15" customFormat="1" ht="87.75" customHeight="1" x14ac:dyDescent="0.3">
      <c r="A10" s="36" t="s">
        <v>13</v>
      </c>
      <c r="B10" s="60"/>
      <c r="C10" s="37" t="s">
        <v>142</v>
      </c>
      <c r="D10" s="38" t="s">
        <v>162</v>
      </c>
      <c r="E10" s="39" t="s">
        <v>144</v>
      </c>
      <c r="F10" s="40" t="s">
        <v>164</v>
      </c>
      <c r="G10" s="41" t="s">
        <v>107</v>
      </c>
      <c r="H10" s="39" t="s">
        <v>127</v>
      </c>
      <c r="I10" s="40" t="s">
        <v>132</v>
      </c>
      <c r="J10" s="115"/>
      <c r="K10" s="42" t="str">
        <f>CEILING(J10/(7.2/2), 0.25) &amp; IF(CEILING(J10/(7.2/2), 0.25) &gt;1, " pounds", " pound")</f>
        <v>0 pound</v>
      </c>
      <c r="L10" s="16"/>
      <c r="M10" s="16"/>
    </row>
    <row r="11" spans="1:13" s="15" customFormat="1" ht="87.75" customHeight="1" x14ac:dyDescent="0.3">
      <c r="A11" s="43" t="s">
        <v>34</v>
      </c>
      <c r="B11" s="61"/>
      <c r="C11" s="44" t="s">
        <v>81</v>
      </c>
      <c r="D11" s="45" t="s">
        <v>161</v>
      </c>
      <c r="E11" s="46" t="s">
        <v>144</v>
      </c>
      <c r="F11" s="47" t="s">
        <v>164</v>
      </c>
      <c r="G11" s="48" t="s">
        <v>103</v>
      </c>
      <c r="H11" s="46" t="s">
        <v>128</v>
      </c>
      <c r="I11" s="46" t="s">
        <v>133</v>
      </c>
      <c r="J11" s="116"/>
      <c r="K11" s="49" t="str">
        <f>CEILING(J11/(5.73/2), 0.25) &amp; IF(CEILING(J11/(5.73/2), 0.25) &gt;1, " pounds",  " pound")</f>
        <v>0 pound</v>
      </c>
      <c r="L11" s="16"/>
      <c r="M11" s="16"/>
    </row>
    <row r="12" spans="1:13" s="15" customFormat="1" ht="87.75" customHeight="1" x14ac:dyDescent="0.3">
      <c r="A12" s="71" t="s">
        <v>26</v>
      </c>
      <c r="B12" s="63"/>
      <c r="C12" s="37" t="s">
        <v>82</v>
      </c>
      <c r="D12" s="38" t="s">
        <v>161</v>
      </c>
      <c r="E12" s="39" t="s">
        <v>144</v>
      </c>
      <c r="F12" s="40" t="s">
        <v>164</v>
      </c>
      <c r="G12" s="41" t="s">
        <v>104</v>
      </c>
      <c r="H12" s="39" t="s">
        <v>147</v>
      </c>
      <c r="I12" s="39" t="s">
        <v>170</v>
      </c>
      <c r="J12" s="115"/>
      <c r="K12" s="42" t="str">
        <f>CEILING(J12/((6*(3/8)/(1/2))), 0.25) &amp; IF(CEILING(J12/((6*(3/8)/(1/2))), 0.25) &gt;1, " pounds", " pound")</f>
        <v>0 pound</v>
      </c>
      <c r="L12" s="16"/>
      <c r="M12" s="16"/>
    </row>
    <row r="13" spans="1:13" s="15" customFormat="1" ht="87.75" customHeight="1" x14ac:dyDescent="0.3">
      <c r="A13" s="85" t="s">
        <v>51</v>
      </c>
      <c r="B13" s="62"/>
      <c r="C13" s="44" t="s">
        <v>92</v>
      </c>
      <c r="D13" s="45" t="s">
        <v>161</v>
      </c>
      <c r="E13" s="46" t="s">
        <v>144</v>
      </c>
      <c r="F13" s="47" t="s">
        <v>164</v>
      </c>
      <c r="G13" s="48" t="s">
        <v>102</v>
      </c>
      <c r="H13" s="46" t="s">
        <v>118</v>
      </c>
      <c r="I13" s="46" t="s">
        <v>171</v>
      </c>
      <c r="J13" s="116"/>
      <c r="K13" s="49" t="str">
        <f>CEILING(J13/(11.2/2), 0.25) &amp;  IF(CEILING(J13/(11.2/2), 0.25) &gt;1, " pounds", " pound")</f>
        <v>0 pound</v>
      </c>
      <c r="L13" s="16"/>
      <c r="M13" s="16"/>
    </row>
    <row r="14" spans="1:13" s="15" customFormat="1" ht="87.75" customHeight="1" x14ac:dyDescent="0.3">
      <c r="A14" s="71" t="s">
        <v>36</v>
      </c>
      <c r="B14" s="63"/>
      <c r="C14" s="37" t="s">
        <v>81</v>
      </c>
      <c r="D14" s="38" t="s">
        <v>161</v>
      </c>
      <c r="E14" s="39" t="s">
        <v>144</v>
      </c>
      <c r="F14" s="40" t="s">
        <v>164</v>
      </c>
      <c r="G14" s="41" t="s">
        <v>105</v>
      </c>
      <c r="H14" s="39" t="s">
        <v>148</v>
      </c>
      <c r="I14" s="39" t="s">
        <v>175</v>
      </c>
      <c r="J14" s="115"/>
      <c r="K14" s="42" t="str">
        <f>CEILING(J14/(4.9/2), 0.25) &amp; IF(CEILING(J14/(4.9/2), 0.25) &gt;1, " pounds",  " pound")</f>
        <v>0 pound</v>
      </c>
      <c r="L14" s="16"/>
      <c r="M14" s="16"/>
    </row>
    <row r="15" spans="1:13" s="15" customFormat="1" ht="87.75" customHeight="1" x14ac:dyDescent="0.3">
      <c r="A15" s="85" t="s">
        <v>52</v>
      </c>
      <c r="B15" s="62"/>
      <c r="C15" s="44" t="s">
        <v>81</v>
      </c>
      <c r="D15" s="45" t="s">
        <v>161</v>
      </c>
      <c r="E15" s="46" t="s">
        <v>144</v>
      </c>
      <c r="F15" s="47" t="s">
        <v>164</v>
      </c>
      <c r="G15" s="48" t="s">
        <v>102</v>
      </c>
      <c r="H15" s="46" t="s">
        <v>122</v>
      </c>
      <c r="I15" s="46" t="s">
        <v>135</v>
      </c>
      <c r="J15" s="116"/>
      <c r="K15" s="49" t="str">
        <f>CEILING(J15/(10.7/2), 0.25) &amp;  IF(CEILING(J15/(10.7/2), 0.25) &gt;1, " pounds", " pound")</f>
        <v>0 pound</v>
      </c>
      <c r="L15" s="16"/>
      <c r="M15" s="16"/>
    </row>
    <row r="16" spans="1:13" s="15" customFormat="1" ht="87.75" customHeight="1" x14ac:dyDescent="0.3">
      <c r="A16" s="36" t="s">
        <v>22</v>
      </c>
      <c r="B16" s="60"/>
      <c r="C16" s="37" t="s">
        <v>94</v>
      </c>
      <c r="D16" s="38" t="s">
        <v>161</v>
      </c>
      <c r="E16" s="39" t="s">
        <v>144</v>
      </c>
      <c r="F16" s="40" t="s">
        <v>164</v>
      </c>
      <c r="G16" s="41" t="s">
        <v>121</v>
      </c>
      <c r="H16" s="39" t="s">
        <v>129</v>
      </c>
      <c r="I16" s="39" t="s">
        <v>134</v>
      </c>
      <c r="J16" s="115"/>
      <c r="K16" s="42" t="str">
        <f>CEILING(J16/(3.5/2), 0.25) &amp; IF(CEILING(J16/(3.5/2), 0.25) &gt;1, " pounds", " pound")</f>
        <v>0 pound</v>
      </c>
      <c r="L16" s="16"/>
      <c r="M16" s="16"/>
    </row>
    <row r="17" spans="1:13" s="16" customFormat="1" ht="87.75" customHeight="1" x14ac:dyDescent="0.3">
      <c r="A17" s="43" t="s">
        <v>47</v>
      </c>
      <c r="B17" s="61"/>
      <c r="C17" s="44" t="s">
        <v>23</v>
      </c>
      <c r="D17" s="45" t="s">
        <v>161</v>
      </c>
      <c r="E17" s="46" t="s">
        <v>144</v>
      </c>
      <c r="F17" s="47" t="s">
        <v>164</v>
      </c>
      <c r="G17" s="48" t="s">
        <v>102</v>
      </c>
      <c r="H17" s="46" t="s">
        <v>122</v>
      </c>
      <c r="I17" s="46" t="s">
        <v>135</v>
      </c>
      <c r="J17" s="116"/>
      <c r="K17" s="49" t="str">
        <f>CEILING(J17/(10.7/2), 0.25) &amp;  IF(CEILING(J17/(10.7/2), 0.25) &gt; 1, " pounds", " pound")</f>
        <v>0 pound</v>
      </c>
    </row>
    <row r="18" spans="1:13" s="15" customFormat="1" ht="87.75" customHeight="1" x14ac:dyDescent="0.3">
      <c r="A18" s="36" t="s">
        <v>38</v>
      </c>
      <c r="B18" s="60"/>
      <c r="C18" s="37" t="s">
        <v>24</v>
      </c>
      <c r="D18" s="38" t="s">
        <v>161</v>
      </c>
      <c r="E18" s="39" t="s">
        <v>144</v>
      </c>
      <c r="F18" s="40" t="s">
        <v>165</v>
      </c>
      <c r="G18" s="41" t="s">
        <v>107</v>
      </c>
      <c r="H18" s="39" t="s">
        <v>130</v>
      </c>
      <c r="I18" s="39" t="s">
        <v>136</v>
      </c>
      <c r="J18" s="115"/>
      <c r="K18" s="42" t="str">
        <f>CEILING(J18/(7.9/2), 0.25) &amp; IF(CEILING(J18/(7.9/2), 0.25) &gt;1, " pounds", " pound")</f>
        <v>0 pound</v>
      </c>
      <c r="L18" s="16"/>
      <c r="M18" s="16"/>
    </row>
    <row r="19" spans="1:13" s="15" customFormat="1" ht="87.75" customHeight="1" x14ac:dyDescent="0.3">
      <c r="A19" s="43" t="s">
        <v>53</v>
      </c>
      <c r="B19" s="62"/>
      <c r="C19" s="253" t="s">
        <v>84</v>
      </c>
      <c r="D19" s="45" t="s">
        <v>161</v>
      </c>
      <c r="E19" s="46" t="s">
        <v>144</v>
      </c>
      <c r="F19" s="47" t="s">
        <v>164</v>
      </c>
      <c r="G19" s="48" t="s">
        <v>166</v>
      </c>
      <c r="H19" s="46" t="s">
        <v>176</v>
      </c>
      <c r="I19" s="46" t="s">
        <v>148</v>
      </c>
      <c r="J19" s="116"/>
      <c r="K19" s="49" t="str">
        <f>CEILING(J19/(9.8/2), 0.25) &amp; IF(CEILING(J19/(9.8/2), 0.25) &gt;1, " pounds", " pound")</f>
        <v>0 pound</v>
      </c>
      <c r="L19" s="16"/>
      <c r="M19" s="16"/>
    </row>
    <row r="20" spans="1:13" s="15" customFormat="1" ht="87.75" customHeight="1" x14ac:dyDescent="0.3">
      <c r="A20" s="36" t="s">
        <v>28</v>
      </c>
      <c r="B20" s="63"/>
      <c r="C20" s="254" t="s">
        <v>81</v>
      </c>
      <c r="D20" s="38" t="s">
        <v>161</v>
      </c>
      <c r="E20" s="39" t="s">
        <v>144</v>
      </c>
      <c r="F20" s="40" t="s">
        <v>164</v>
      </c>
      <c r="G20" s="41" t="s">
        <v>103</v>
      </c>
      <c r="H20" s="39" t="s">
        <v>149</v>
      </c>
      <c r="I20" s="39" t="s">
        <v>172</v>
      </c>
      <c r="J20" s="115"/>
      <c r="K20" s="42" t="str">
        <f>CEILING(J20/(6.4/2), 0.25) &amp;  IF(CEILING(J20/(6.4/2), 0.25) &gt;1, " pounds", " pound")</f>
        <v>0 pound</v>
      </c>
      <c r="L20" s="16"/>
      <c r="M20" s="16"/>
    </row>
    <row r="21" spans="1:13" s="15" customFormat="1" ht="87.75" customHeight="1" x14ac:dyDescent="0.3">
      <c r="A21" s="86" t="s">
        <v>54</v>
      </c>
      <c r="B21" s="62"/>
      <c r="C21" s="253" t="s">
        <v>81</v>
      </c>
      <c r="D21" s="45" t="s">
        <v>161</v>
      </c>
      <c r="E21" s="46" t="s">
        <v>144</v>
      </c>
      <c r="F21" s="47" t="s">
        <v>164</v>
      </c>
      <c r="G21" s="48" t="s">
        <v>102</v>
      </c>
      <c r="H21" s="46" t="s">
        <v>122</v>
      </c>
      <c r="I21" s="46" t="s">
        <v>173</v>
      </c>
      <c r="J21" s="116"/>
      <c r="K21" s="49" t="str">
        <f>CEILING(J21/(10.7/2), 0.25) &amp; IF(CEILING(J21/(10.7/2), 0.25) &gt;1, " pounds", " pound")</f>
        <v>0 pound</v>
      </c>
      <c r="L21" s="16"/>
      <c r="M21" s="16"/>
    </row>
    <row r="22" spans="1:13" s="15" customFormat="1" ht="87.75" customHeight="1" x14ac:dyDescent="0.3">
      <c r="A22" s="65" t="s">
        <v>56</v>
      </c>
      <c r="B22" s="60"/>
      <c r="C22" s="37" t="s">
        <v>86</v>
      </c>
      <c r="D22" s="38" t="s">
        <v>161</v>
      </c>
      <c r="E22" s="39" t="s">
        <v>144</v>
      </c>
      <c r="F22" s="40" t="s">
        <v>164</v>
      </c>
      <c r="G22" s="41" t="s">
        <v>102</v>
      </c>
      <c r="H22" s="39" t="s">
        <v>118</v>
      </c>
      <c r="I22" s="39" t="s">
        <v>177</v>
      </c>
      <c r="J22" s="115"/>
      <c r="K22" s="42" t="str">
        <f>CEILING(J22/(11.4/2), 0.25) &amp;  IF(CEILING(J22/(11.4/2), 0.25) &gt;1, " pounds", " pound")</f>
        <v>0 pound</v>
      </c>
      <c r="L22" s="16"/>
      <c r="M22" s="16"/>
    </row>
    <row r="23" spans="1:13" s="15" customFormat="1" ht="87.75" customHeight="1" x14ac:dyDescent="0.3">
      <c r="A23" s="86" t="s">
        <v>42</v>
      </c>
      <c r="B23" s="61"/>
      <c r="C23" s="44" t="s">
        <v>23</v>
      </c>
      <c r="D23" s="45" t="s">
        <v>161</v>
      </c>
      <c r="E23" s="46" t="s">
        <v>144</v>
      </c>
      <c r="F23" s="47" t="s">
        <v>164</v>
      </c>
      <c r="G23" s="48" t="s">
        <v>102</v>
      </c>
      <c r="H23" s="46" t="s">
        <v>131</v>
      </c>
      <c r="I23" s="46" t="s">
        <v>137</v>
      </c>
      <c r="J23" s="116"/>
      <c r="K23" s="49" t="str">
        <f>CEILING(J23/(10.5/2), 0.25) &amp; IF(CEILING(J23/(10.5/2), 0.25) &gt;1, " pounds", " pound")</f>
        <v>0 pound</v>
      </c>
      <c r="L23" s="16"/>
      <c r="M23" s="16"/>
    </row>
    <row r="24" spans="1:13" s="15" customFormat="1" ht="87.75" customHeight="1" x14ac:dyDescent="0.3">
      <c r="A24" s="87" t="s">
        <v>55</v>
      </c>
      <c r="B24" s="88"/>
      <c r="C24" s="89" t="s">
        <v>17</v>
      </c>
      <c r="D24" s="90" t="s">
        <v>163</v>
      </c>
      <c r="E24" s="91" t="s">
        <v>144</v>
      </c>
      <c r="F24" s="92" t="s">
        <v>164</v>
      </c>
      <c r="G24" s="93" t="s">
        <v>103</v>
      </c>
      <c r="H24" s="91" t="s">
        <v>168</v>
      </c>
      <c r="I24" s="91" t="s">
        <v>178</v>
      </c>
      <c r="J24" s="117"/>
      <c r="K24" s="94" t="str">
        <f>CEILING(J24/(6.6/2), 0.25) &amp; IF(CEILING(J24/(6.6/2), 0.25) &gt;1, " pounds", " pound")</f>
        <v>0 pound</v>
      </c>
      <c r="L24" s="16"/>
      <c r="M24" s="16"/>
    </row>
    <row r="25" spans="1:13" s="15" customFormat="1" ht="87.75" customHeight="1" x14ac:dyDescent="0.3">
      <c r="A25" s="102" t="s">
        <v>32</v>
      </c>
      <c r="B25" s="73"/>
      <c r="C25" s="255" t="s">
        <v>87</v>
      </c>
      <c r="D25" s="74" t="s">
        <v>161</v>
      </c>
      <c r="E25" s="75" t="s">
        <v>144</v>
      </c>
      <c r="F25" s="76" t="s">
        <v>164</v>
      </c>
      <c r="G25" s="246" t="s">
        <v>107</v>
      </c>
      <c r="H25" s="75" t="s">
        <v>130</v>
      </c>
      <c r="I25" s="75" t="s">
        <v>174</v>
      </c>
      <c r="J25" s="245"/>
      <c r="K25" s="247" t="str">
        <f>CEILING(J25/(7.78/2), 0.25) &amp; IF(CEILING(J25/(7.78/2), 0.25) &gt;1, " pounds", " pound")</f>
        <v>0 pound</v>
      </c>
      <c r="L25" s="16"/>
      <c r="M25" s="16"/>
    </row>
    <row r="26" spans="1:13" s="15" customFormat="1" ht="87.75" customHeight="1" thickBot="1" x14ac:dyDescent="0.35">
      <c r="A26" s="209" t="s">
        <v>44</v>
      </c>
      <c r="B26" s="210"/>
      <c r="C26" s="211" t="s">
        <v>12</v>
      </c>
      <c r="D26" s="212" t="s">
        <v>163</v>
      </c>
      <c r="E26" s="213" t="s">
        <v>144</v>
      </c>
      <c r="F26" s="214" t="s">
        <v>164</v>
      </c>
      <c r="G26" s="215" t="s">
        <v>103</v>
      </c>
      <c r="H26" s="213" t="s">
        <v>97</v>
      </c>
      <c r="I26" s="213" t="s">
        <v>138</v>
      </c>
      <c r="J26" s="216"/>
      <c r="K26" s="217" t="str">
        <f>CEILING(J26/(6.1/2), 0.25) &amp; IF(CEILING(J26/(6.1/2), 0.25)&gt;1, " pounds", " pound")</f>
        <v>0 pound</v>
      </c>
      <c r="L26" s="16"/>
      <c r="M26" s="16"/>
    </row>
    <row r="28" spans="1:13" ht="68.400000000000006" customHeight="1" x14ac:dyDescent="0.3">
      <c r="A28" s="274" t="s">
        <v>186</v>
      </c>
      <c r="B28" s="274"/>
      <c r="C28" s="274"/>
      <c r="D28" s="274"/>
      <c r="E28" s="274"/>
      <c r="F28" s="274"/>
      <c r="G28" s="274"/>
      <c r="H28" s="274"/>
      <c r="I28" s="274"/>
      <c r="J28" s="274"/>
      <c r="K28" s="274"/>
    </row>
    <row r="29" spans="1:13" ht="40.950000000000003" customHeight="1" x14ac:dyDescent="0.6">
      <c r="A29" s="248" t="s">
        <v>79</v>
      </c>
      <c r="B29" s="292" t="s">
        <v>183</v>
      </c>
      <c r="C29" s="292"/>
      <c r="D29" s="292"/>
      <c r="E29" s="292"/>
      <c r="F29" s="292"/>
      <c r="G29" s="292"/>
      <c r="H29" s="292"/>
      <c r="I29" s="292"/>
      <c r="J29" s="292"/>
      <c r="K29" s="292"/>
      <c r="L29" s="64"/>
    </row>
    <row r="30" spans="1:13" ht="40.950000000000003" customHeight="1" x14ac:dyDescent="0.6">
      <c r="A30" s="282" t="s">
        <v>188</v>
      </c>
      <c r="B30" s="282"/>
      <c r="C30" s="282"/>
      <c r="D30" s="282"/>
      <c r="E30" s="282"/>
      <c r="F30" s="282"/>
      <c r="G30" s="282"/>
      <c r="H30" s="282"/>
      <c r="I30" s="282"/>
      <c r="J30" s="282"/>
      <c r="K30" s="282"/>
    </row>
    <row r="31" spans="1:13" ht="40.950000000000003" customHeight="1" x14ac:dyDescent="0.6">
      <c r="A31" s="282" t="s">
        <v>182</v>
      </c>
      <c r="B31" s="282"/>
      <c r="C31" s="282"/>
      <c r="D31" s="282"/>
      <c r="E31" s="282"/>
      <c r="F31" s="282"/>
      <c r="G31" s="282"/>
      <c r="H31" s="282"/>
      <c r="I31" s="282"/>
      <c r="J31" s="282"/>
      <c r="K31" s="282"/>
    </row>
    <row r="32" spans="1:13" ht="30.6" customHeight="1" x14ac:dyDescent="0.6">
      <c r="A32" s="282" t="s">
        <v>180</v>
      </c>
      <c r="B32" s="282"/>
      <c r="C32" s="282"/>
      <c r="D32" s="282"/>
      <c r="E32" s="282"/>
      <c r="F32" s="282"/>
      <c r="G32" s="282"/>
      <c r="H32" s="282"/>
      <c r="I32" s="282"/>
      <c r="J32" s="282"/>
      <c r="K32" s="282"/>
    </row>
    <row r="33" spans="1:11" ht="40.950000000000003" customHeight="1" x14ac:dyDescent="0.6">
      <c r="A33" s="282" t="s">
        <v>93</v>
      </c>
      <c r="B33" s="282"/>
      <c r="C33" s="282"/>
      <c r="D33" s="282"/>
      <c r="E33" s="282"/>
      <c r="F33" s="282"/>
      <c r="G33" s="282"/>
      <c r="H33" s="282"/>
      <c r="I33" s="282"/>
      <c r="J33" s="282"/>
      <c r="K33" s="282"/>
    </row>
    <row r="34" spans="1:11" ht="40.950000000000003" customHeight="1" x14ac:dyDescent="0.6">
      <c r="A34" s="276" t="s">
        <v>77</v>
      </c>
      <c r="B34" s="276"/>
      <c r="C34" s="276"/>
      <c r="D34" s="276"/>
      <c r="E34" s="276"/>
      <c r="F34" s="276"/>
      <c r="G34" s="276"/>
      <c r="H34" s="276"/>
      <c r="I34" s="276"/>
      <c r="J34" s="276"/>
      <c r="K34" s="276"/>
    </row>
    <row r="35" spans="1:11" ht="40.950000000000003" customHeight="1" x14ac:dyDescent="0.6">
      <c r="A35" s="275" t="s">
        <v>76</v>
      </c>
      <c r="B35" s="276"/>
      <c r="C35" s="276"/>
      <c r="D35" s="276"/>
      <c r="E35" s="276"/>
      <c r="F35" s="276"/>
      <c r="G35" s="276"/>
      <c r="H35" s="276"/>
      <c r="I35" s="276"/>
      <c r="J35" s="276"/>
      <c r="K35" s="276"/>
    </row>
  </sheetData>
  <sheetProtection algorithmName="SHA-512" hashValue="vhkS7Kkmfny1i/zgLwBEJ84mHx2fnm3EbjAEz/MmOweqOHDsTq3f8IK2yZHmMeYizC3PCa64yQS32pg9m/oNPg==" saltValue="8QYVIL1aqc80LY2rLSZYSg==" spinCount="100000" sheet="1" objects="1" scenarios="1"/>
  <mergeCells count="15">
    <mergeCell ref="A35:K35"/>
    <mergeCell ref="A30:K30"/>
    <mergeCell ref="A33:K33"/>
    <mergeCell ref="A34:K34"/>
    <mergeCell ref="B29:K29"/>
    <mergeCell ref="A31:K31"/>
    <mergeCell ref="A32:K32"/>
    <mergeCell ref="A28:K28"/>
    <mergeCell ref="A1:K1"/>
    <mergeCell ref="A2:K2"/>
    <mergeCell ref="A3:K3"/>
    <mergeCell ref="A4:K4"/>
    <mergeCell ref="G6:K6"/>
    <mergeCell ref="D6:F6"/>
    <mergeCell ref="B6:C6"/>
  </mergeCells>
  <phoneticPr fontId="16" type="noConversion"/>
  <hyperlinks>
    <hyperlink ref="A35:K35" r:id="rId1" display="USDA Child Meal Pattern " xr:uid="{57B37111-B0B7-464E-9B2A-AFFFEE277DD3}"/>
    <hyperlink ref="A34:K34" r:id="rId2" display="Source: Food Buying Guide for Child Nutrition Programs " xr:uid="{C8213A63-671E-47C1-9CA1-C3F7A89E6CAA}"/>
    <hyperlink ref="B29:K29" r:id="rId3" display="For seasonal produce, see What’s in Season? North Carolina Fruit and Vegetable Availability." xr:uid="{FC8537A7-9DEA-4BFD-AA05-A1B76F0DC4D8}"/>
  </hyperlinks>
  <pageMargins left="0.7" right="0.7" top="0.75" bottom="0.75" header="0.3" footer="0.3"/>
  <pageSetup orientation="portrait" r:id="rId4"/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2C09B41AB7DC4A977AEE3A22FF7710" ma:contentTypeVersion="10" ma:contentTypeDescription="Create a new document." ma:contentTypeScope="" ma:versionID="4c8521bb8f48838ebb5ca8fcfc785260">
  <xsd:schema xmlns:xsd="http://www.w3.org/2001/XMLSchema" xmlns:xs="http://www.w3.org/2001/XMLSchema" xmlns:p="http://schemas.microsoft.com/office/2006/metadata/properties" xmlns:ns2="d90c57f2-4cbc-4c4c-9605-2ca2391b8555" xmlns:ns3="e8f8b462-19c7-40a8-8257-545e82983fc1" targetNamespace="http://schemas.microsoft.com/office/2006/metadata/properties" ma:root="true" ma:fieldsID="cc3b156aef65802edd9d4ee951b978e0" ns2:_="" ns3:_="">
    <xsd:import namespace="d90c57f2-4cbc-4c4c-9605-2ca2391b8555"/>
    <xsd:import namespace="e8f8b462-19c7-40a8-8257-545e82983f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0c57f2-4cbc-4c4c-9605-2ca2391b8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f8b462-19c7-40a8-8257-545e82983fc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633e8da-daf2-4396-8f01-4cd8f25d3cbe}" ma:internalName="TaxCatchAll" ma:showField="CatchAllData" ma:web="e8f8b462-19c7-40a8-8257-545e82983f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0c57f2-4cbc-4c4c-9605-2ca2391b8555">
      <Terms xmlns="http://schemas.microsoft.com/office/infopath/2007/PartnerControls"/>
    </lcf76f155ced4ddcb4097134ff3c332f>
    <TaxCatchAll xmlns="e8f8b462-19c7-40a8-8257-545e82983fc1" xsi:nil="true"/>
  </documentManagement>
</p:properties>
</file>

<file path=customXml/itemProps1.xml><?xml version="1.0" encoding="utf-8"?>
<ds:datastoreItem xmlns:ds="http://schemas.openxmlformats.org/officeDocument/2006/customXml" ds:itemID="{DB980FDE-1D3E-4E8B-B0A4-56CFC7B8A53A}"/>
</file>

<file path=customXml/itemProps2.xml><?xml version="1.0" encoding="utf-8"?>
<ds:datastoreItem xmlns:ds="http://schemas.openxmlformats.org/officeDocument/2006/customXml" ds:itemID="{46D1CD6F-6B11-4B42-9429-8E3058CCBCA4}"/>
</file>

<file path=customXml/itemProps3.xml><?xml version="1.0" encoding="utf-8"?>
<ds:datastoreItem xmlns:ds="http://schemas.openxmlformats.org/officeDocument/2006/customXml" ds:itemID="{1F7E713F-5D8A-4330-9484-80964AAF7E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Breakfast</vt:lpstr>
      <vt:lpstr>Lunch-Supper</vt:lpstr>
      <vt:lpstr>Snack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Mita, Satoko Chika</dc:creator>
  <cp:lastModifiedBy>Munoz, Katherin P</cp:lastModifiedBy>
  <cp:lastPrinted>2020-01-30T17:47:10Z</cp:lastPrinted>
  <dcterms:created xsi:type="dcterms:W3CDTF">2019-12-12T19:02:13Z</dcterms:created>
  <dcterms:modified xsi:type="dcterms:W3CDTF">2022-05-05T15:13:43Z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0x010100F12C09B41AB7DC4A977AEE3A22FF7710</vt:lpwstr>
  </property>
</Properties>
</file>