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SB\Training\CACFP\Website Updates\Website Change to DCFW.gov\Meal Patterns &amp; Nutrition Resources Page\"/>
    </mc:Choice>
  </mc:AlternateContent>
  <xr:revisionPtr revIDLastSave="0" documentId="8_{86D6DE62-0BF7-44B9-98CE-854F4B7709AE}" xr6:coauthVersionLast="47" xr6:coauthVersionMax="47" xr10:uidLastSave="{00000000-0000-0000-0000-000000000000}"/>
  <bookViews>
    <workbookView xWindow="1848" yWindow="1848" windowWidth="17280" windowHeight="8964" xr2:uid="{C2C03D8C-3432-467B-8F11-D2373109FD25}"/>
  </bookViews>
  <sheets>
    <sheet name="Breakfast" sheetId="3" r:id="rId1"/>
    <sheet name="Lunch-Supper" sheetId="1" r:id="rId2"/>
    <sheet name="Snack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6" i="5" l="1"/>
  <c r="K44" i="1"/>
  <c r="K17" i="5" l="1"/>
  <c r="K22" i="1"/>
  <c r="K9" i="5" l="1"/>
  <c r="K9" i="1"/>
  <c r="K21" i="1" l="1"/>
  <c r="K52" i="1" l="1"/>
  <c r="K41" i="5" l="1"/>
  <c r="K40" i="5"/>
  <c r="K39" i="5"/>
  <c r="K38" i="5"/>
  <c r="K37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6" i="5"/>
  <c r="K15" i="5"/>
  <c r="K14" i="5"/>
  <c r="K13" i="5"/>
  <c r="K12" i="5"/>
  <c r="K11" i="5"/>
  <c r="K10" i="5"/>
  <c r="K8" i="5"/>
  <c r="K54" i="1"/>
  <c r="K53" i="1"/>
  <c r="K51" i="1"/>
  <c r="K50" i="1"/>
  <c r="K49" i="1"/>
  <c r="K48" i="1"/>
  <c r="K47" i="1"/>
  <c r="K46" i="1"/>
  <c r="K45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0" i="1"/>
  <c r="K19" i="1"/>
  <c r="K18" i="1"/>
  <c r="K17" i="1"/>
  <c r="K16" i="1"/>
  <c r="K15" i="1"/>
  <c r="K14" i="1"/>
  <c r="K13" i="1"/>
  <c r="K12" i="1"/>
  <c r="K11" i="1"/>
  <c r="K10" i="1"/>
  <c r="K8" i="1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</calcChain>
</file>

<file path=xl/sharedStrings.xml><?xml version="1.0" encoding="utf-8"?>
<sst xmlns="http://schemas.openxmlformats.org/spreadsheetml/2006/main" count="891" uniqueCount="225">
  <si>
    <t>AMOUNT TO PURCHASE</t>
  </si>
  <si>
    <t>BREAKFAST</t>
  </si>
  <si>
    <t>LUNCH</t>
  </si>
  <si>
    <t>SNACK</t>
  </si>
  <si>
    <t>PREPARATION</t>
  </si>
  <si>
    <t xml:space="preserve">RAW </t>
  </si>
  <si>
    <t>RAW</t>
  </si>
  <si>
    <t xml:space="preserve">COOKED  </t>
  </si>
  <si>
    <t>RAW, STRIPS</t>
  </si>
  <si>
    <t>COOKED, PARED, DICED</t>
  </si>
  <si>
    <t xml:space="preserve">COOKED, DRAINED </t>
  </si>
  <si>
    <t>RAW, CHOPPED</t>
  </si>
  <si>
    <t>UNPEELED, CORED, SLICED</t>
  </si>
  <si>
    <t xml:space="preserve">DICED, NO RIND </t>
  </si>
  <si>
    <t xml:space="preserve">CUBED OR DICED </t>
  </si>
  <si>
    <t xml:space="preserve">COOKED, DRAINED, SLICED </t>
  </si>
  <si>
    <t xml:space="preserve">UNPEELED, CORED, SLICED </t>
  </si>
  <si>
    <t>WHOLE</t>
  </si>
  <si>
    <t>CUBED OR DICED</t>
  </si>
  <si>
    <t xml:space="preserve"> </t>
  </si>
  <si>
    <t>COOKED, TRIMMED</t>
  </si>
  <si>
    <t>RAW, PIECES</t>
  </si>
  <si>
    <t>COOKED, MASHED</t>
  </si>
  <si>
    <t xml:space="preserve">DICED, WITHOUT RIND </t>
  </si>
  <si>
    <r>
      <rPr>
        <b/>
        <sz val="24"/>
        <rFont val="Calibri"/>
        <family val="2"/>
        <scheme val="minor"/>
      </rPr>
      <t>BANANAS</t>
    </r>
    <r>
      <rPr>
        <sz val="24"/>
        <rFont val="Calibri"/>
        <family val="2"/>
        <scheme val="minor"/>
      </rPr>
      <t xml:space="preserve"> (7" to 7-7/8")</t>
    </r>
  </si>
  <si>
    <r>
      <rPr>
        <b/>
        <sz val="24"/>
        <rFont val="Calibri"/>
        <family val="2"/>
        <scheme val="minor"/>
      </rPr>
      <t>CARROTS</t>
    </r>
    <r>
      <rPr>
        <sz val="24"/>
        <rFont val="Calibri"/>
        <family val="2"/>
        <scheme val="minor"/>
      </rPr>
      <t xml:space="preserve"> (BABY, READY-TO-USE)</t>
    </r>
  </si>
  <si>
    <r>
      <rPr>
        <b/>
        <sz val="24"/>
        <rFont val="Calibri"/>
        <family val="2"/>
        <scheme val="minor"/>
      </rPr>
      <t>CELERY</t>
    </r>
    <r>
      <rPr>
        <sz val="24"/>
        <rFont val="Calibri"/>
        <family val="2"/>
        <scheme val="minor"/>
      </rPr>
      <t xml:space="preserve"> (TRIMMED)</t>
    </r>
  </si>
  <si>
    <r>
      <rPr>
        <b/>
        <sz val="24"/>
        <rFont val="Calibri"/>
        <family val="2"/>
        <scheme val="minor"/>
      </rPr>
      <t>BANANAS</t>
    </r>
    <r>
      <rPr>
        <sz val="24"/>
        <rFont val="Calibri"/>
        <family val="2"/>
        <scheme val="minor"/>
      </rPr>
      <t xml:space="preserve"> (7" to 7-7/8" LENGTH)</t>
    </r>
  </si>
  <si>
    <t>FRESH PRODUCE PURCHASING &amp; PREP GUIDE</t>
  </si>
  <si>
    <t>AMOUNT TO PREPARE</t>
  </si>
  <si>
    <t>HALVES</t>
  </si>
  <si>
    <t xml:space="preserve">CUBES  </t>
  </si>
  <si>
    <t xml:space="preserve">CUBES </t>
  </si>
  <si>
    <t>WHOLE, COOKED</t>
  </si>
  <si>
    <t>UNPEELED, DICED</t>
  </si>
  <si>
    <t xml:space="preserve">QUARTERED </t>
  </si>
  <si>
    <t>BAKED</t>
  </si>
  <si>
    <t>CUBES</t>
  </si>
  <si>
    <t>QUARTERED</t>
  </si>
  <si>
    <t xml:space="preserve">DICED </t>
  </si>
  <si>
    <t xml:space="preserve">SLICED, COOKED  </t>
  </si>
  <si>
    <t>COOKED, DRAINED, PARED, CUBED</t>
  </si>
  <si>
    <t xml:space="preserve">COOKED, DRAINED, LEAVES </t>
  </si>
  <si>
    <t>COOKED, PIECES</t>
  </si>
  <si>
    <r>
      <rPr>
        <b/>
        <sz val="24"/>
        <rFont val="Calibri"/>
        <family val="2"/>
        <scheme val="minor"/>
      </rPr>
      <t>ORANGES</t>
    </r>
    <r>
      <rPr>
        <sz val="24"/>
        <rFont val="Calibri"/>
        <family val="2"/>
        <scheme val="minor"/>
      </rPr>
      <t xml:space="preserve"> (ALL SIZES)</t>
    </r>
  </si>
  <si>
    <t>SEEDED, UNPEELED, HALVES</t>
  </si>
  <si>
    <t>SLICED</t>
  </si>
  <si>
    <t>PARED, SLICED</t>
  </si>
  <si>
    <t>UNPEELED, WEDGES</t>
  </si>
  <si>
    <t>CUBED</t>
  </si>
  <si>
    <t xml:space="preserve"> CUBED</t>
  </si>
  <si>
    <r>
      <t>APRICOTS</t>
    </r>
    <r>
      <rPr>
        <sz val="24"/>
        <rFont val="Calibri"/>
        <family val="2"/>
        <scheme val="minor"/>
      </rPr>
      <t xml:space="preserve"> (MEDIUM, APPROX. 1-3/8" DIAMETER, WHOLE)</t>
    </r>
  </si>
  <si>
    <r>
      <rPr>
        <b/>
        <sz val="24"/>
        <rFont val="Calibri"/>
        <family val="2"/>
        <scheme val="minor"/>
      </rPr>
      <t>CLEMENTINES</t>
    </r>
    <r>
      <rPr>
        <sz val="24"/>
        <rFont val="Calibri"/>
        <family val="2"/>
        <scheme val="minor"/>
      </rPr>
      <t xml:space="preserve"> </t>
    </r>
  </si>
  <si>
    <r>
      <rPr>
        <b/>
        <sz val="24"/>
        <rFont val="Calibri"/>
        <family val="2"/>
        <scheme val="minor"/>
      </rPr>
      <t>GRAPES</t>
    </r>
    <r>
      <rPr>
        <sz val="24"/>
        <rFont val="Calibri"/>
        <family val="2"/>
        <scheme val="minor"/>
      </rPr>
      <t xml:space="preserve"> (SEEDLESS, WHOLE, WITH STEM)</t>
    </r>
  </si>
  <si>
    <r>
      <rPr>
        <b/>
        <sz val="24"/>
        <rFont val="Calibri"/>
        <family val="2"/>
        <scheme val="minor"/>
      </rPr>
      <t>KIWI</t>
    </r>
    <r>
      <rPr>
        <sz val="24"/>
        <rFont val="Calibri"/>
        <family val="2"/>
        <scheme val="minor"/>
      </rPr>
      <t xml:space="preserve">  </t>
    </r>
  </si>
  <si>
    <r>
      <rPr>
        <b/>
        <sz val="24"/>
        <rFont val="Calibri"/>
        <family val="2"/>
        <scheme val="minor"/>
      </rPr>
      <t>GRAPES</t>
    </r>
    <r>
      <rPr>
        <sz val="24"/>
        <rFont val="Calibri"/>
        <family val="2"/>
        <scheme val="minor"/>
      </rPr>
      <t xml:space="preserve"> (SEEDLESS, WITH STEM)</t>
    </r>
  </si>
  <si>
    <r>
      <rPr>
        <b/>
        <sz val="24"/>
        <rFont val="Calibri"/>
        <family val="2"/>
        <scheme val="minor"/>
      </rPr>
      <t>PINEAPPLE</t>
    </r>
    <r>
      <rPr>
        <sz val="24"/>
        <rFont val="Calibri"/>
        <family val="2"/>
        <scheme val="minor"/>
      </rPr>
      <t xml:space="preserve"> (WHOLE)</t>
    </r>
  </si>
  <si>
    <r>
      <rPr>
        <b/>
        <sz val="24"/>
        <rFont val="Calibri"/>
        <family val="2"/>
        <scheme val="minor"/>
      </rPr>
      <t>CLEMENTINES</t>
    </r>
    <r>
      <rPr>
        <sz val="24"/>
        <rFont val="Calibri"/>
        <family val="2"/>
        <scheme val="minor"/>
      </rPr>
      <t xml:space="preserve">  </t>
    </r>
  </si>
  <si>
    <t>SLICED, COOKED, DRAINED</t>
  </si>
  <si>
    <r>
      <rPr>
        <b/>
        <sz val="24"/>
        <rFont val="Calibri"/>
        <family val="2"/>
        <scheme val="minor"/>
      </rPr>
      <t>TANGERINES</t>
    </r>
    <r>
      <rPr>
        <sz val="24"/>
        <rFont val="Calibri"/>
        <family val="2"/>
        <scheme val="minor"/>
      </rPr>
      <t xml:space="preserve">  </t>
    </r>
  </si>
  <si>
    <t>TANGERINES</t>
  </si>
  <si>
    <r>
      <t>APPLES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</si>
  <si>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rPr>
        <b/>
        <sz val="24"/>
        <rFont val="Calibri"/>
        <family val="2"/>
        <scheme val="minor"/>
      </rPr>
      <t>BEETS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(WITHOUT TOPS)</t>
    </r>
  </si>
  <si>
    <r>
      <t>BLUEBERRIES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</si>
  <si>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rPr>
        <b/>
        <sz val="24"/>
        <rFont val="Calibri"/>
        <family val="2"/>
        <scheme val="minor"/>
      </rPr>
      <t>BROCCOLI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(FLORETS)</t>
    </r>
  </si>
  <si>
    <r>
      <rPr>
        <b/>
        <sz val="24"/>
        <rFont val="Calibri"/>
        <family val="2"/>
        <scheme val="minor"/>
      </rPr>
      <t>BUTTERNUT, SQUASH, WINTER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(WHOLE)</t>
    </r>
  </si>
  <si>
    <r>
      <rPr>
        <b/>
        <sz val="24"/>
        <rFont val="Calibri"/>
        <family val="2"/>
        <scheme val="minor"/>
      </rPr>
      <t>CABBAGE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(GREEN, UNTRIMMED, WHOLE)</t>
    </r>
  </si>
  <si>
    <r>
      <rPr>
        <b/>
        <sz val="24"/>
        <rFont val="Calibri"/>
        <family val="2"/>
        <scheme val="minor"/>
      </rPr>
      <t>CANTALOUPE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(WHOLE, 5" DIAMETER)</t>
    </r>
  </si>
  <si>
    <r>
      <rPr>
        <b/>
        <sz val="24"/>
        <rFont val="Calibri"/>
        <family val="2"/>
        <scheme val="minor"/>
      </rPr>
      <t>CARROTS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(WITHOUT TOPS)</t>
    </r>
  </si>
  <si>
    <r>
      <rPr>
        <b/>
        <sz val="24"/>
        <rFont val="Calibri"/>
        <family val="2"/>
        <scheme val="minor"/>
      </rPr>
      <t>CHERRY TOMATOES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(WITHOUT STEM)</t>
    </r>
  </si>
  <si>
    <r>
      <rPr>
        <b/>
        <sz val="24"/>
        <rFont val="Calibri"/>
        <family val="2"/>
        <scheme val="minor"/>
      </rPr>
      <t>COLLARD GREENS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(UNTRIMMED)</t>
    </r>
  </si>
  <si>
    <r>
      <rPr>
        <b/>
        <sz val="24"/>
        <rFont val="Calibri"/>
        <family val="2"/>
        <scheme val="minor"/>
      </rPr>
      <t>CUCUMBERS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(WHOLE, UNPARED)</t>
    </r>
  </si>
  <si>
    <r>
      <rPr>
        <b/>
        <sz val="24"/>
        <rFont val="Calibri"/>
        <family val="2"/>
        <scheme val="minor"/>
      </rPr>
      <t>HONEYDEW MELON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(WHOLE)</t>
    </r>
  </si>
  <si>
    <r>
      <rPr>
        <b/>
        <sz val="24"/>
        <rFont val="Calibri"/>
        <family val="2"/>
        <scheme val="minor"/>
      </rPr>
      <t>KALE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(TRIMMED, WITHOUT STEM)</t>
    </r>
  </si>
  <si>
    <r>
      <rPr>
        <b/>
        <sz val="24"/>
        <rFont val="Calibri"/>
        <family val="2"/>
        <scheme val="minor"/>
      </rPr>
      <t>LETTUCE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(DARK GREEN LEAFY, UNTRIMMED)</t>
    </r>
  </si>
  <si>
    <r>
      <rPr>
        <b/>
        <sz val="24"/>
        <rFont val="Calibri"/>
        <family val="2"/>
        <scheme val="minor"/>
      </rPr>
      <t>PEACHES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color theme="4" tint="-0.249977111117893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(SIZE 80)</t>
    </r>
  </si>
  <si>
    <r>
      <rPr>
        <b/>
        <sz val="24"/>
        <rFont val="Calibri"/>
        <family val="2"/>
        <scheme val="minor"/>
      </rPr>
      <t>PEARS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(ALL SIZES)</t>
    </r>
  </si>
  <si>
    <r>
      <rPr>
        <b/>
        <sz val="24"/>
        <rFont val="Calibri"/>
        <family val="2"/>
        <scheme val="minor"/>
      </rPr>
      <t>PEPPERS, BELL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(GREEN, YELLOW, ORANGE, OR RED, MEDIUM OR LARGE, WHOLE) </t>
    </r>
  </si>
  <si>
    <r>
      <t>PLUMS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b/>
        <sz val="24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(PURPLE, RED, OR BLACK 2" DIAMETER)</t>
    </r>
  </si>
  <si>
    <r>
      <rPr>
        <b/>
        <sz val="24"/>
        <rFont val="Calibri"/>
        <family val="2"/>
        <scheme val="minor"/>
      </rPr>
      <t>ROMAINE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(UNTRIMMED)</t>
    </r>
  </si>
  <si>
    <r>
      <rPr>
        <b/>
        <sz val="24"/>
        <rFont val="Calibri"/>
        <family val="2"/>
        <scheme val="minor"/>
      </rPr>
      <t>SPINACH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(PARTLY TRIMMED)</t>
    </r>
  </si>
  <si>
    <r>
      <t>STRAWBERRIES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</si>
  <si>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t>SWEET POTATOES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</si>
  <si>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rPr>
        <b/>
        <sz val="24"/>
        <rFont val="Calibri"/>
        <family val="2"/>
        <scheme val="minor"/>
      </rPr>
      <t>WATERMELON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(WHOLE)</t>
    </r>
  </si>
  <si>
    <r>
      <t>ZUCCHINI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</si>
  <si>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t>BLACKBERRIES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</si>
  <si>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t>NECTARINES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b/>
        <sz val="24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(ALL SIZES)</t>
    </r>
  </si>
  <si>
    <r>
      <rPr>
        <b/>
        <sz val="24"/>
        <rFont val="Calibri"/>
        <family val="2"/>
        <scheme val="minor"/>
      </rPr>
      <t>PEACHES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(SIZE 80)</t>
    </r>
  </si>
  <si>
    <r>
      <rPr>
        <b/>
        <sz val="24"/>
        <rFont val="Calibri"/>
        <family val="2"/>
        <scheme val="minor"/>
      </rPr>
      <t>PERSIMMONS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b/>
        <sz val="24"/>
        <rFont val="Calibri"/>
        <family val="2"/>
        <scheme val="minor"/>
      </rPr>
      <t>, JAPANESE, FUYU</t>
    </r>
    <r>
      <rPr>
        <sz val="24"/>
        <rFont val="Calibri"/>
        <family val="2"/>
        <scheme val="minor"/>
      </rPr>
      <t xml:space="preserve"> </t>
    </r>
  </si>
  <si>
    <r>
      <rPr>
        <b/>
        <sz val="24"/>
        <rFont val="Calibri"/>
        <family val="2"/>
        <scheme val="minor"/>
      </rPr>
      <t>PLUMS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vertAlign val="superscript"/>
        <sz val="24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(PURPLE, RED, OR BLACK 2" DIAMETER)</t>
    </r>
  </si>
  <si>
    <r>
      <rPr>
        <b/>
        <sz val="24"/>
        <rFont val="Calibri"/>
        <family val="2"/>
        <scheme val="minor"/>
      </rPr>
      <t>STRAWBERRIES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</t>
    </r>
  </si>
  <si>
    <r>
      <t>WATERMELON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</si>
  <si>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rPr>
        <b/>
        <sz val="24"/>
        <rFont val="Calibri"/>
        <family val="2"/>
        <scheme val="minor"/>
      </rPr>
      <t>BLUEBERRIES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 </t>
    </r>
  </si>
  <si>
    <r>
      <rPr>
        <b/>
        <sz val="24"/>
        <rFont val="Calibri"/>
        <family val="2"/>
        <scheme val="minor"/>
      </rPr>
      <t>GREEN BEANS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(WHOLE, UNTRIMMED)</t>
    </r>
  </si>
  <si>
    <r>
      <rPr>
        <b/>
        <sz val="24"/>
        <rFont val="Calibri"/>
        <family val="2"/>
        <scheme val="minor"/>
      </rPr>
      <t>LETTUCE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vertAlign val="superscript"/>
        <sz val="24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(DARK GREEN LEAFY, UNTRIMMED)</t>
    </r>
  </si>
  <si>
    <r>
      <rPr>
        <b/>
        <sz val="24"/>
        <rFont val="Calibri"/>
        <family val="2"/>
        <scheme val="minor"/>
      </rPr>
      <t>NECTARINES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color theme="4" tint="-0.249977111117893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(ALL SIZES)</t>
    </r>
  </si>
  <si>
    <r>
      <rPr>
        <b/>
        <sz val="24"/>
        <rFont val="Calibri"/>
        <family val="2"/>
        <scheme val="minor"/>
      </rPr>
      <t>PEPPERS, BELL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(GREEN, YELLOW, ORANGE, OR RED, MEDIUM OR LARGE, WHOLE)</t>
    </r>
  </si>
  <si>
    <r>
      <t>PLUMS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(PURPLE, RED, OR BLACK 2" DIAMETER)</t>
    </r>
  </si>
  <si>
    <r>
      <t>RASPBERRIES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</si>
  <si>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rPr>
        <b/>
        <sz val="24"/>
        <rFont val="Calibri"/>
        <family val="2"/>
        <scheme val="minor"/>
      </rPr>
      <t>SWEET POTATOES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 </t>
    </r>
  </si>
  <si>
    <r>
      <rPr>
        <b/>
        <sz val="24"/>
        <rFont val="Calibri"/>
        <family val="2"/>
        <scheme val="minor"/>
      </rPr>
      <t xml:space="preserve">BROCCOLI </t>
    </r>
    <r>
      <rPr>
        <sz val="24"/>
        <rFont val="Calibri"/>
        <family val="2"/>
        <scheme val="minor"/>
      </rPr>
      <t xml:space="preserve">(FLORETS, TRIMMED, READY-TO-USE) </t>
    </r>
  </si>
  <si>
    <r>
      <t>SNOW PEAS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</si>
  <si>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t>SNOW PEAS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b/>
        <sz val="24"/>
        <rFont val="Calibri"/>
        <family val="2"/>
        <scheme val="minor"/>
      </rPr>
      <t xml:space="preserve"> </t>
    </r>
  </si>
  <si>
    <r>
      <rPr>
        <b/>
        <sz val="24"/>
        <rFont val="Calibri"/>
        <family val="2"/>
        <scheme val="minor"/>
      </rPr>
      <t>CANTALOUPE</t>
    </r>
    <r>
      <rPr>
        <b/>
        <vertAlign val="superscript"/>
        <sz val="24"/>
        <color theme="4" tint="-0.249977111117893"/>
        <rFont val="Calibri"/>
        <family val="2"/>
        <scheme val="minor"/>
      </rPr>
      <t xml:space="preserve">NC </t>
    </r>
    <r>
      <rPr>
        <sz val="24"/>
        <rFont val="Calibri"/>
        <family val="2"/>
        <scheme val="minor"/>
      </rPr>
      <t xml:space="preserve"> (WHOLE, 5" DIAMETER)</t>
    </r>
  </si>
  <si>
    <r>
      <rPr>
        <b/>
        <sz val="24"/>
        <rFont val="Calibri"/>
        <family val="2"/>
        <scheme val="minor"/>
      </rPr>
      <t>RASPBERRIES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</si>
  <si>
    <r>
      <t>ONIONS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b/>
        <sz val="24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(WHOLE, ALL SIZES)</t>
    </r>
  </si>
  <si>
    <r>
      <rPr>
        <b/>
        <sz val="24"/>
        <rFont val="Calibri"/>
        <family val="2"/>
        <scheme val="minor"/>
      </rPr>
      <t>POTATOES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color theme="4" tint="-0.249977111117893"/>
        <rFont val="Calibri"/>
        <family val="2"/>
        <scheme val="minor"/>
      </rPr>
      <t xml:space="preserve"> </t>
    </r>
    <r>
      <rPr>
        <sz val="24"/>
        <rFont val="Calibri"/>
        <family val="2"/>
        <scheme val="minor"/>
      </rPr>
      <t>(WHOLE, WHITE OR RUSSET, ALL SIZES)</t>
    </r>
  </si>
  <si>
    <r>
      <rPr>
        <b/>
        <sz val="24"/>
        <rFont val="Calibri"/>
        <family val="2"/>
        <scheme val="minor"/>
      </rPr>
      <t>TOMATOES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(WHOLE, ALL SIZES)</t>
    </r>
  </si>
  <si>
    <t xml:space="preserve">COOKED, DRAINED, FLORETS </t>
  </si>
  <si>
    <r>
      <rPr>
        <b/>
        <sz val="24"/>
        <rFont val="Calibri"/>
        <family val="2"/>
        <scheme val="minor"/>
      </rPr>
      <t>CORN ON THE COB</t>
    </r>
    <r>
      <rPr>
        <b/>
        <vertAlign val="superscript"/>
        <sz val="24"/>
        <color theme="4" tint="-0.249977111117893"/>
        <rFont val="Calibri"/>
        <family val="2"/>
        <scheme val="minor"/>
      </rPr>
      <t>NC</t>
    </r>
    <r>
      <rPr>
        <sz val="24"/>
        <rFont val="Calibri"/>
        <family val="2"/>
        <scheme val="minor"/>
      </rPr>
      <t xml:space="preserve"> (WITH HUSKS, 5" to 6" LENGTH)</t>
    </r>
  </si>
  <si>
    <t>RAW, FLORETS</t>
  </si>
  <si>
    <r>
      <rPr>
        <b/>
        <sz val="24"/>
        <rFont val="Calibri"/>
        <family val="2"/>
      </rPr>
      <t>YELLOW SQUASH</t>
    </r>
    <r>
      <rPr>
        <b/>
        <vertAlign val="superscript"/>
        <sz val="24"/>
        <color theme="4" tint="-0.249977111117893"/>
        <rFont val="Calibri"/>
        <family val="2"/>
      </rPr>
      <t>NC</t>
    </r>
  </si>
  <si>
    <r>
      <rPr>
        <b/>
        <sz val="24"/>
        <rFont val="Calibri"/>
        <family val="2"/>
        <scheme val="minor"/>
      </rPr>
      <t>BROCCOLI</t>
    </r>
    <r>
      <rPr>
        <sz val="24"/>
        <rFont val="Calibri"/>
        <family val="2"/>
        <scheme val="minor"/>
      </rPr>
      <t xml:space="preserve"> (FLORETS, TRIMMED, READY-TO-USE)</t>
    </r>
  </si>
  <si>
    <r>
      <t>AVOCADOS</t>
    </r>
    <r>
      <rPr>
        <sz val="24"/>
        <rFont val="Calibri"/>
        <family val="2"/>
        <scheme val="minor"/>
      </rPr>
      <t xml:space="preserve"> (APPROX. 2.5" WIDTH by 3.5" LENGTH, WHOLE)</t>
    </r>
  </si>
  <si>
    <r>
      <t xml:space="preserve">CAULIFLOWER </t>
    </r>
    <r>
      <rPr>
        <sz val="24"/>
        <rFont val="Calibri"/>
        <family val="2"/>
      </rPr>
      <t>(FLORETS, READY-TO-USE)</t>
    </r>
  </si>
  <si>
    <r>
      <t xml:space="preserve">CAULIFLOWER </t>
    </r>
    <r>
      <rPr>
        <sz val="24"/>
        <rFont val="Calibri"/>
        <family val="2"/>
      </rPr>
      <t>(WHOLE, TRIMMED)</t>
    </r>
  </si>
  <si>
    <t>1 serving of vegetable or fruit = 1/2 cup</t>
  </si>
  <si>
    <t>(1/4 cup serving of vegetable) + (1/4 cup serving of fruit or 2nd vegetable)</t>
  </si>
  <si>
    <t>(1 serving of vegetable or fruit = 1/2 cup)</t>
  </si>
  <si>
    <t>FOR CHILD CARE PROGRAMS SERVING 3 - 5 YEAR OLDS*</t>
  </si>
  <si>
    <t>RAW, STRIPS (4" by ½")</t>
  </si>
  <si>
    <t>RAW, STICKS (½" by 3")</t>
  </si>
  <si>
    <t xml:space="preserve">RAW, STICKS (½" by 3") </t>
  </si>
  <si>
    <t>PEELED, SLICED (¼" SLICES)</t>
  </si>
  <si>
    <t xml:space="preserve">UNPARED, STICKS (3" by ¾") </t>
  </si>
  <si>
    <r>
      <rPr>
        <b/>
        <sz val="24"/>
        <color theme="4" tint="-0.249977111117893"/>
        <rFont val="Calibri"/>
        <family val="2"/>
        <scheme val="minor"/>
      </rPr>
      <t>NC</t>
    </r>
    <r>
      <rPr>
        <b/>
        <sz val="24"/>
        <color theme="1"/>
        <rFont val="Calibri"/>
        <family val="2"/>
        <scheme val="minor"/>
      </rPr>
      <t xml:space="preserve">  </t>
    </r>
    <r>
      <rPr>
        <sz val="24"/>
        <color theme="1"/>
        <rFont val="Calibri"/>
        <family val="2"/>
        <scheme val="minor"/>
      </rPr>
      <t xml:space="preserve">= Grown in North Carolina </t>
    </r>
  </si>
  <si>
    <r>
      <t xml:space="preserve">Source: </t>
    </r>
    <r>
      <rPr>
        <b/>
        <u/>
        <sz val="24"/>
        <color theme="10"/>
        <rFont val="Calibri"/>
        <family val="2"/>
        <scheme val="minor"/>
      </rPr>
      <t xml:space="preserve">Food Buying Guide for Child Nutrition Programs </t>
    </r>
  </si>
  <si>
    <t xml:space="preserve">USDA Child Meal Pattern </t>
  </si>
  <si>
    <r>
      <rPr>
        <b/>
        <sz val="24"/>
        <color theme="4" tint="-0.249977111117893"/>
        <rFont val="Calibri"/>
        <family val="2"/>
        <scheme val="minor"/>
      </rPr>
      <t>NC</t>
    </r>
    <r>
      <rPr>
        <b/>
        <sz val="24"/>
        <color theme="1"/>
        <rFont val="Calibri"/>
        <family val="2"/>
        <scheme val="minor"/>
      </rPr>
      <t xml:space="preserve"> </t>
    </r>
    <r>
      <rPr>
        <sz val="24"/>
        <color theme="1"/>
        <rFont val="Calibri"/>
        <family val="2"/>
        <scheme val="minor"/>
      </rPr>
      <t xml:space="preserve"> = Grown in North Carolina </t>
    </r>
  </si>
  <si>
    <r>
      <rPr>
        <b/>
        <sz val="24"/>
        <color theme="4" tint="-0.249977111117893"/>
        <rFont val="Calibri"/>
        <family val="2"/>
        <scheme val="minor"/>
      </rPr>
      <t xml:space="preserve">NC </t>
    </r>
    <r>
      <rPr>
        <sz val="24"/>
        <color theme="4" tint="-0.249977111117893"/>
        <rFont val="Calibri"/>
        <family val="2"/>
        <scheme val="minor"/>
      </rPr>
      <t xml:space="preserve"> </t>
    </r>
    <r>
      <rPr>
        <sz val="24"/>
        <color theme="1"/>
        <rFont val="Calibri"/>
        <family val="2"/>
        <scheme val="minor"/>
      </rPr>
      <t xml:space="preserve">= Grown in North Carolina </t>
    </r>
  </si>
  <si>
    <t>FOOD ITEM**</t>
  </si>
  <si>
    <r>
      <t>Source:</t>
    </r>
    <r>
      <rPr>
        <b/>
        <u/>
        <sz val="24"/>
        <color theme="10"/>
        <rFont val="Calibri"/>
        <family val="2"/>
        <scheme val="minor"/>
      </rPr>
      <t xml:space="preserve"> Food Buying Guide for Child Nutrition Programs </t>
    </r>
  </si>
  <si>
    <r>
      <rPr>
        <b/>
        <sz val="24"/>
        <color theme="1"/>
        <rFont val="Calibri"/>
        <family val="2"/>
        <scheme val="minor"/>
      </rPr>
      <t>**</t>
    </r>
    <r>
      <rPr>
        <sz val="24"/>
        <color theme="1"/>
        <rFont val="Calibri"/>
        <family val="2"/>
        <scheme val="minor"/>
      </rPr>
      <t xml:space="preserve"> Please use caution when serving items which could be potential choking hazards.</t>
    </r>
  </si>
  <si>
    <t>Amounts are rounded up to the nearest 0.25 pound.</t>
  </si>
  <si>
    <t>One cup of raw (uncooked) leafy greens (kale, lettuce, romaine, spinach) counts as ½ cup of vegetables.</t>
  </si>
  <si>
    <r>
      <rPr>
        <b/>
        <sz val="24"/>
        <color theme="1"/>
        <rFont val="Calibri"/>
        <family val="2"/>
        <scheme val="minor"/>
      </rPr>
      <t xml:space="preserve">** </t>
    </r>
    <r>
      <rPr>
        <sz val="24"/>
        <color theme="1"/>
        <rFont val="Calibri"/>
        <family val="2"/>
        <scheme val="minor"/>
      </rPr>
      <t>Please use caution when serving items which could be potential choking hazards.</t>
    </r>
  </si>
  <si>
    <t>One cup of raw (uncooked) leafy greens (kale, lettuce) counts as ½ cup of vegetables.</t>
  </si>
  <si>
    <t>For 5 
servings</t>
  </si>
  <si>
    <t>For 25 
servings</t>
  </si>
  <si>
    <t>For 50 
servings</t>
  </si>
  <si>
    <t xml:space="preserve">For 5 
servings  </t>
  </si>
  <si>
    <t xml:space="preserve">For 25 
servings  </t>
  </si>
  <si>
    <t xml:space="preserve">For 50 
servings </t>
  </si>
  <si>
    <t>ENTER 
SERVINGS</t>
  </si>
  <si>
    <t>AMOUNT TO 
PURCHASE</t>
  </si>
  <si>
    <t>WHOLE OR SLICED
(1 banana = ½ cup)</t>
  </si>
  <si>
    <t>1 WHOLE, PEELED CLEMENTINE
(ABOUT ⅜ cup)</t>
  </si>
  <si>
    <t>PEELED, SLICED 
(¼" SLICES)</t>
  </si>
  <si>
    <t>SECTIONS, MEMBRANE 
REMOVED, DRAINED</t>
  </si>
  <si>
    <t>1 WHOLE, PEELED TANGERINE 
(ABOUT ½ cup)</t>
  </si>
  <si>
    <t>2 ½
cups</t>
  </si>
  <si>
    <t>12 ½
cups</t>
  </si>
  <si>
    <t>25
cups</t>
  </si>
  <si>
    <t>0.75
pound</t>
  </si>
  <si>
    <t>1
pound</t>
  </si>
  <si>
    <t>1.5
pounds</t>
  </si>
  <si>
    <t>1.75
pounds</t>
  </si>
  <si>
    <t>1.25
pounds</t>
  </si>
  <si>
    <t>2.25
pounds</t>
  </si>
  <si>
    <t>3
pounds</t>
  </si>
  <si>
    <t>3.5
pounds</t>
  </si>
  <si>
    <t>4.75
pounds</t>
  </si>
  <si>
    <t>7
pounds</t>
  </si>
  <si>
    <t>4.25
pounds</t>
  </si>
  <si>
    <t>8.75
pounds</t>
  </si>
  <si>
    <t>5.75
pounds</t>
  </si>
  <si>
    <t>5.5
pounds</t>
  </si>
  <si>
    <t>10.25
pounds</t>
  </si>
  <si>
    <t>14.5
pounds</t>
  </si>
  <si>
    <t>6.5
pounds</t>
  </si>
  <si>
    <t>3.25
pounds</t>
  </si>
  <si>
    <t>8
pounds</t>
  </si>
  <si>
    <t>5
pounds</t>
  </si>
  <si>
    <t>8.25
pounds</t>
  </si>
  <si>
    <t>9.5
pounds</t>
  </si>
  <si>
    <t>14
pounds</t>
  </si>
  <si>
    <t>8.5
pounds</t>
  </si>
  <si>
    <t>17.5
pounds</t>
  </si>
  <si>
    <t>11.25
pounds</t>
  </si>
  <si>
    <t>11
pounds</t>
  </si>
  <si>
    <t>20.5
pounds</t>
  </si>
  <si>
    <t>28.75
pounds</t>
  </si>
  <si>
    <t>12.75
pounds</t>
  </si>
  <si>
    <t>15.75
pounds</t>
  </si>
  <si>
    <t>9.75
pounds</t>
  </si>
  <si>
    <t>10
pounds</t>
  </si>
  <si>
    <t>16.5
pounds</t>
  </si>
  <si>
    <t>PEELED, SLICED
(⅜" by 3 ½" SLICES)</t>
  </si>
  <si>
    <t xml:space="preserve">RAW, STICKS OR STRIPS
(½" by 4") </t>
  </si>
  <si>
    <t>1 ¼
cups</t>
  </si>
  <si>
    <t>6 ¼
cups</t>
  </si>
  <si>
    <t>0.5
pound</t>
  </si>
  <si>
    <t>0.25
pound</t>
  </si>
  <si>
    <t>4.5
pounds</t>
  </si>
  <si>
    <t>2
pounds</t>
  </si>
  <si>
    <t>2.5
pounds</t>
  </si>
  <si>
    <t>7.5
pounds</t>
  </si>
  <si>
    <t>2.75
pounds</t>
  </si>
  <si>
    <t>5.25
pounds</t>
  </si>
  <si>
    <t>7.25
pounds</t>
  </si>
  <si>
    <t>4
pounds</t>
  </si>
  <si>
    <t>9.25
pounds</t>
  </si>
  <si>
    <t>6.75
pounds</t>
  </si>
  <si>
    <t>6.25
pounds</t>
  </si>
  <si>
    <t>15
pounds</t>
  </si>
  <si>
    <t>7.75
pounds</t>
  </si>
  <si>
    <t>6
pounds</t>
  </si>
  <si>
    <t xml:space="preserve">For 5 
servings </t>
  </si>
  <si>
    <t xml:space="preserve">ENTER 
SERVINGS </t>
  </si>
  <si>
    <t xml:space="preserve">AMOUNT TO 
PURCHASE </t>
  </si>
  <si>
    <t xml:space="preserve">RAW,  STICKS OR STRIPS
(½" by 4") </t>
  </si>
  <si>
    <t>UNPARED, STICKS
(3" by ¾")</t>
  </si>
  <si>
    <t xml:space="preserve"> 2 ½
cups</t>
  </si>
  <si>
    <t>5
cups</t>
  </si>
  <si>
    <t>50
cups</t>
  </si>
  <si>
    <t>18.25
pounds</t>
  </si>
  <si>
    <t>30
pounds</t>
  </si>
  <si>
    <t>9
pounds</t>
  </si>
  <si>
    <t>15.25
pounds</t>
  </si>
  <si>
    <r>
      <t xml:space="preserve">For seasonal produce, see </t>
    </r>
    <r>
      <rPr>
        <b/>
        <u/>
        <sz val="24"/>
        <color theme="10"/>
        <rFont val="Calibri"/>
        <family val="2"/>
        <scheme val="minor"/>
      </rPr>
      <t>What’s in Season? North Carolina Fruit and Vegetable Availability.</t>
    </r>
  </si>
  <si>
    <t xml:space="preserve">NC Farm to Preschool Network – Fresh Produce Purchasing &amp; Prep Guide for Programs Serving 3-5 year olds (2/2021)                            </t>
  </si>
  <si>
    <t xml:space="preserve">NC Farm to Preschool Network – Fresh Produce Purchasing &amp; Prep Guide for Programs Serving 3-5 year olds (2/2021)        </t>
  </si>
  <si>
    <t xml:space="preserve">NC Farm to Preschool Network – Fresh Produce Purchasing &amp; Prep Guide for Programs Serving 3-5 year olds (2/2021)     </t>
  </si>
  <si>
    <r>
      <rPr>
        <b/>
        <sz val="24"/>
        <color theme="1"/>
        <rFont val="Calibri"/>
        <family val="2"/>
        <scheme val="minor"/>
      </rPr>
      <t xml:space="preserve">  *</t>
    </r>
    <r>
      <rPr>
        <sz val="24"/>
        <color theme="1"/>
        <rFont val="Calibri"/>
        <family val="2"/>
        <scheme val="minor"/>
      </rPr>
      <t xml:space="preserve"> Amounts are calculated for 3 - 5 year olds and represent minimum serving sizes to meet the USDA Child Meal Patterns.</t>
    </r>
  </si>
  <si>
    <r>
      <rPr>
        <b/>
        <sz val="24"/>
        <color theme="1"/>
        <rFont val="Calibri"/>
        <family val="2"/>
        <scheme val="minor"/>
      </rPr>
      <t xml:space="preserve">  * </t>
    </r>
    <r>
      <rPr>
        <sz val="24"/>
        <color theme="1"/>
        <rFont val="Calibri"/>
        <family val="2"/>
        <scheme val="minor"/>
      </rPr>
      <t>Amounts are calculated for 3 - 5 year olds and represent minimum serving sizes to meet the USDA Child Meal Patterns.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</si>
</sst>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8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24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i/>
      <sz val="22"/>
      <name val="Calibri"/>
      <family val="2"/>
      <scheme val="minor"/>
    </font>
    <font>
      <b/>
      <i/>
      <sz val="18"/>
      <name val="Calibri"/>
      <family val="2"/>
      <scheme val="minor"/>
    </font>
    <font>
      <b/>
      <sz val="24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24"/>
      <name val="Calibri"/>
      <family val="2"/>
      <scheme val="minor"/>
    </font>
    <font>
      <b/>
      <vertAlign val="superscript"/>
      <sz val="24"/>
      <color theme="4" tint="-0.249977111117893"/>
      <name val="Calibri"/>
      <family val="2"/>
      <scheme val="minor"/>
    </font>
    <font>
      <sz val="24"/>
      <color theme="4" tint="-0.249977111117893"/>
      <name val="Calibri"/>
      <family val="2"/>
      <scheme val="minor"/>
    </font>
    <font>
      <b/>
      <sz val="24"/>
      <color theme="4" tint="-0.249977111117893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4"/>
      <color rgb="FFFF0000"/>
      <name val="Calibri"/>
      <family val="2"/>
    </font>
    <font>
      <b/>
      <vertAlign val="superscript"/>
      <sz val="24"/>
      <color theme="4" tint="-0.249977111117893"/>
      <name val="Calibri"/>
      <family val="2"/>
    </font>
    <font>
      <sz val="18"/>
      <color rgb="FFFF0000"/>
      <name val="Calibri"/>
      <family val="2"/>
    </font>
    <font>
      <sz val="24"/>
      <color rgb="FFFF0000"/>
      <name val="Calibri"/>
      <family val="2"/>
    </font>
    <font>
      <b/>
      <sz val="24"/>
      <name val="Calibri"/>
      <family val="2"/>
    </font>
    <font>
      <sz val="24"/>
      <name val="Calibri"/>
      <family val="2"/>
    </font>
    <font>
      <sz val="18"/>
      <name val="Calibri"/>
      <family val="2"/>
    </font>
    <font>
      <u/>
      <sz val="11"/>
      <color theme="10"/>
      <name val="Calibri"/>
      <family val="2"/>
      <scheme val="minor"/>
    </font>
    <font>
      <u/>
      <sz val="24"/>
      <color theme="10"/>
      <name val="Calibri"/>
      <family val="2"/>
      <scheme val="minor"/>
    </font>
    <font>
      <b/>
      <u/>
      <sz val="24"/>
      <color theme="1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39997558519241921"/>
        <bgColor rgb="FF000000"/>
      </patternFill>
    </fill>
  </fills>
  <borders count="6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theme="2"/>
      </right>
      <top style="medium">
        <color indexed="64"/>
      </top>
      <bottom style="thin">
        <color indexed="64"/>
      </bottom>
      <diagonal/>
    </border>
    <border>
      <left style="thin">
        <color theme="2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29" fillId="0" borderId="0" applyNumberFormat="0" applyFill="0" applyBorder="0" applyAlignment="0" applyProtection="0"/>
  </cellStyleXfs>
  <cellXfs count="2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Border="1"/>
    <xf numFmtId="0" fontId="5" fillId="0" borderId="0" xfId="0" applyFont="1"/>
    <xf numFmtId="0" fontId="7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2" fontId="11" fillId="10" borderId="5" xfId="1" applyNumberFormat="1" applyFont="1" applyFill="1" applyBorder="1" applyAlignment="1">
      <alignment horizontal="center" vertical="center" wrapText="1"/>
    </xf>
    <xf numFmtId="0" fontId="11" fillId="10" borderId="4" xfId="1" applyFont="1" applyFill="1" applyBorder="1" applyAlignment="1">
      <alignment horizontal="center" vertical="center" wrapText="1"/>
    </xf>
    <xf numFmtId="0" fontId="11" fillId="10" borderId="6" xfId="1" applyFont="1" applyFill="1" applyBorder="1" applyAlignment="1">
      <alignment horizontal="center" vertical="center" wrapText="1"/>
    </xf>
    <xf numFmtId="2" fontId="11" fillId="9" borderId="5" xfId="1" applyNumberFormat="1" applyFont="1" applyFill="1" applyBorder="1" applyAlignment="1">
      <alignment horizontal="center" vertical="center" wrapText="1"/>
    </xf>
    <xf numFmtId="0" fontId="11" fillId="9" borderId="4" xfId="1" applyFont="1" applyFill="1" applyBorder="1" applyAlignment="1">
      <alignment horizontal="center" vertical="center" wrapText="1"/>
    </xf>
    <xf numFmtId="0" fontId="11" fillId="9" borderId="6" xfId="1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wrapText="1"/>
    </xf>
    <xf numFmtId="0" fontId="11" fillId="15" borderId="6" xfId="3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1" fillId="7" borderId="5" xfId="1" applyFont="1" applyFill="1" applyBorder="1" applyAlignment="1">
      <alignment horizontal="center" vertical="center" wrapText="1"/>
    </xf>
    <xf numFmtId="0" fontId="11" fillId="7" borderId="4" xfId="1" applyFont="1" applyFill="1" applyBorder="1" applyAlignment="1">
      <alignment horizontal="center" vertical="center" wrapText="1"/>
    </xf>
    <xf numFmtId="0" fontId="11" fillId="7" borderId="6" xfId="1" applyFont="1" applyFill="1" applyBorder="1" applyAlignment="1">
      <alignment horizontal="center" vertical="center" wrapText="1"/>
    </xf>
    <xf numFmtId="164" fontId="11" fillId="7" borderId="7" xfId="0" applyNumberFormat="1" applyFont="1" applyFill="1" applyBorder="1" applyAlignment="1">
      <alignment horizontal="center" vertical="center" wrapText="1"/>
    </xf>
    <xf numFmtId="164" fontId="11" fillId="7" borderId="4" xfId="1" applyNumberFormat="1" applyFont="1" applyFill="1" applyBorder="1" applyAlignment="1">
      <alignment horizontal="center" vertical="center" wrapText="1"/>
    </xf>
    <xf numFmtId="0" fontId="11" fillId="6" borderId="5" xfId="1" applyFont="1" applyFill="1" applyBorder="1" applyAlignment="1">
      <alignment horizontal="center" vertical="center" wrapText="1"/>
    </xf>
    <xf numFmtId="0" fontId="11" fillId="6" borderId="4" xfId="1" applyFont="1" applyFill="1" applyBorder="1" applyAlignment="1">
      <alignment horizontal="center" vertical="center" wrapText="1"/>
    </xf>
    <xf numFmtId="0" fontId="11" fillId="6" borderId="6" xfId="1" applyFont="1" applyFill="1" applyBorder="1" applyAlignment="1">
      <alignment horizontal="center" vertical="center" wrapText="1"/>
    </xf>
    <xf numFmtId="164" fontId="11" fillId="6" borderId="7" xfId="0" applyNumberFormat="1" applyFont="1" applyFill="1" applyBorder="1" applyAlignment="1">
      <alignment horizontal="center" vertical="center" wrapText="1"/>
    </xf>
    <xf numFmtId="164" fontId="11" fillId="6" borderId="4" xfId="1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center" vertical="center"/>
    </xf>
    <xf numFmtId="0" fontId="11" fillId="11" borderId="15" xfId="0" applyFont="1" applyFill="1" applyBorder="1" applyAlignment="1">
      <alignment vertical="center" wrapText="1"/>
    </xf>
    <xf numFmtId="0" fontId="11" fillId="11" borderId="8" xfId="0" applyFont="1" applyFill="1" applyBorder="1" applyAlignment="1">
      <alignment vertical="center" wrapText="1"/>
    </xf>
    <xf numFmtId="0" fontId="11" fillId="11" borderId="5" xfId="1" applyFont="1" applyFill="1" applyBorder="1" applyAlignment="1">
      <alignment horizontal="center" vertical="center" wrapText="1"/>
    </xf>
    <xf numFmtId="0" fontId="11" fillId="11" borderId="4" xfId="1" applyFont="1" applyFill="1" applyBorder="1" applyAlignment="1">
      <alignment horizontal="center" vertical="center" wrapText="1"/>
    </xf>
    <xf numFmtId="0" fontId="11" fillId="11" borderId="6" xfId="1" applyFont="1" applyFill="1" applyBorder="1" applyAlignment="1">
      <alignment horizontal="center" vertical="center" wrapText="1"/>
    </xf>
    <xf numFmtId="2" fontId="11" fillId="11" borderId="7" xfId="0" applyNumberFormat="1" applyFont="1" applyFill="1" applyBorder="1" applyAlignment="1">
      <alignment horizontal="center" vertical="center" wrapText="1"/>
    </xf>
    <xf numFmtId="0" fontId="11" fillId="14" borderId="8" xfId="3" applyFont="1" applyFill="1" applyBorder="1" applyAlignment="1">
      <alignment horizontal="center" vertical="center"/>
    </xf>
    <xf numFmtId="0" fontId="11" fillId="12" borderId="15" xfId="0" applyFont="1" applyFill="1" applyBorder="1" applyAlignment="1">
      <alignment vertical="center" wrapText="1"/>
    </xf>
    <xf numFmtId="0" fontId="11" fillId="12" borderId="8" xfId="0" applyFont="1" applyFill="1" applyBorder="1" applyAlignment="1">
      <alignment vertical="center" wrapText="1"/>
    </xf>
    <xf numFmtId="0" fontId="11" fillId="12" borderId="5" xfId="1" applyFont="1" applyFill="1" applyBorder="1" applyAlignment="1">
      <alignment horizontal="center" vertical="center" wrapText="1"/>
    </xf>
    <xf numFmtId="0" fontId="11" fillId="12" borderId="4" xfId="1" applyFont="1" applyFill="1" applyBorder="1" applyAlignment="1">
      <alignment horizontal="center" vertical="center" wrapText="1"/>
    </xf>
    <xf numFmtId="0" fontId="11" fillId="12" borderId="6" xfId="1" applyFont="1" applyFill="1" applyBorder="1" applyAlignment="1">
      <alignment horizontal="center" vertical="center" wrapText="1"/>
    </xf>
    <xf numFmtId="2" fontId="11" fillId="12" borderId="7" xfId="0" applyNumberFormat="1" applyFont="1" applyFill="1" applyBorder="1" applyAlignment="1">
      <alignment horizontal="center" vertical="center" wrapText="1"/>
    </xf>
    <xf numFmtId="0" fontId="11" fillId="11" borderId="8" xfId="3" applyFont="1" applyFill="1" applyBorder="1" applyAlignment="1">
      <alignment horizontal="center" vertical="center"/>
    </xf>
    <xf numFmtId="0" fontId="11" fillId="12" borderId="8" xfId="0" applyFont="1" applyFill="1" applyBorder="1" applyAlignment="1">
      <alignment vertical="center"/>
    </xf>
    <xf numFmtId="0" fontId="11" fillId="11" borderId="8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9" fillId="9" borderId="17" xfId="0" applyFont="1" applyFill="1" applyBorder="1" applyAlignment="1">
      <alignment vertical="center"/>
    </xf>
    <xf numFmtId="0" fontId="9" fillId="10" borderId="17" xfId="0" applyFont="1" applyFill="1" applyBorder="1" applyAlignment="1">
      <alignment vertical="center"/>
    </xf>
    <xf numFmtId="0" fontId="11" fillId="9" borderId="8" xfId="0" applyFont="1" applyFill="1" applyBorder="1" applyAlignment="1">
      <alignment vertical="center" wrapText="1"/>
    </xf>
    <xf numFmtId="0" fontId="11" fillId="10" borderId="8" xfId="0" applyFont="1" applyFill="1" applyBorder="1" applyAlignment="1">
      <alignment vertical="center" wrapText="1"/>
    </xf>
    <xf numFmtId="0" fontId="11" fillId="7" borderId="8" xfId="0" applyFont="1" applyFill="1" applyBorder="1" applyAlignment="1">
      <alignment vertical="center" wrapText="1"/>
    </xf>
    <xf numFmtId="0" fontId="11" fillId="6" borderId="8" xfId="0" applyFont="1" applyFill="1" applyBorder="1" applyAlignment="1">
      <alignment vertical="center" wrapText="1"/>
    </xf>
    <xf numFmtId="0" fontId="11" fillId="7" borderId="17" xfId="0" applyFont="1" applyFill="1" applyBorder="1" applyAlignment="1">
      <alignment vertical="center" wrapText="1"/>
    </xf>
    <xf numFmtId="0" fontId="11" fillId="6" borderId="17" xfId="0" applyFont="1" applyFill="1" applyBorder="1" applyAlignment="1">
      <alignment vertical="center" wrapText="1"/>
    </xf>
    <xf numFmtId="0" fontId="11" fillId="11" borderId="18" xfId="0" applyFont="1" applyFill="1" applyBorder="1" applyAlignment="1">
      <alignment vertical="center" wrapText="1"/>
    </xf>
    <xf numFmtId="0" fontId="11" fillId="12" borderId="18" xfId="0" applyFont="1" applyFill="1" applyBorder="1" applyAlignment="1">
      <alignment vertical="center" wrapText="1"/>
    </xf>
    <xf numFmtId="0" fontId="11" fillId="12" borderId="18" xfId="0" applyFont="1" applyFill="1" applyBorder="1" applyAlignment="1">
      <alignment vertical="center"/>
    </xf>
    <xf numFmtId="0" fontId="11" fillId="11" borderId="18" xfId="0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15" fillId="11" borderId="15" xfId="0" applyFont="1" applyFill="1" applyBorder="1" applyAlignment="1">
      <alignment vertical="center" wrapText="1"/>
    </xf>
    <xf numFmtId="0" fontId="15" fillId="9" borderId="15" xfId="0" applyFont="1" applyFill="1" applyBorder="1" applyAlignment="1">
      <alignment vertical="center" wrapText="1"/>
    </xf>
    <xf numFmtId="0" fontId="11" fillId="10" borderId="15" xfId="0" applyFont="1" applyFill="1" applyBorder="1" applyAlignment="1">
      <alignment vertical="center" wrapText="1"/>
    </xf>
    <xf numFmtId="0" fontId="11" fillId="9" borderId="15" xfId="0" applyFont="1" applyFill="1" applyBorder="1" applyAlignment="1">
      <alignment vertical="center" wrapText="1"/>
    </xf>
    <xf numFmtId="2" fontId="11" fillId="6" borderId="4" xfId="1" applyNumberFormat="1" applyFont="1" applyFill="1" applyBorder="1" applyAlignment="1">
      <alignment horizontal="center" vertical="center" wrapText="1"/>
    </xf>
    <xf numFmtId="0" fontId="15" fillId="10" borderId="15" xfId="0" applyFont="1" applyFill="1" applyBorder="1" applyAlignment="1">
      <alignment vertical="center" wrapText="1"/>
    </xf>
    <xf numFmtId="0" fontId="11" fillId="11" borderId="15" xfId="0" applyFont="1" applyFill="1" applyBorder="1" applyAlignment="1">
      <alignment vertical="center"/>
    </xf>
    <xf numFmtId="0" fontId="9" fillId="10" borderId="17" xfId="0" applyFont="1" applyFill="1" applyBorder="1" applyAlignment="1">
      <alignment vertical="center" wrapText="1"/>
    </xf>
    <xf numFmtId="0" fontId="11" fillId="11" borderId="22" xfId="3" applyFont="1" applyFill="1" applyBorder="1" applyAlignment="1">
      <alignment horizontal="center" vertical="center"/>
    </xf>
    <xf numFmtId="0" fontId="11" fillId="12" borderId="28" xfId="0" applyFont="1" applyFill="1" applyBorder="1" applyAlignment="1">
      <alignment vertical="center" wrapText="1"/>
    </xf>
    <xf numFmtId="0" fontId="11" fillId="12" borderId="22" xfId="0" applyFont="1" applyFill="1" applyBorder="1" applyAlignment="1">
      <alignment vertical="center" wrapText="1"/>
    </xf>
    <xf numFmtId="0" fontId="11" fillId="12" borderId="23" xfId="1" applyFont="1" applyFill="1" applyBorder="1" applyAlignment="1">
      <alignment horizontal="center" vertical="center" wrapText="1"/>
    </xf>
    <xf numFmtId="0" fontId="11" fillId="12" borderId="24" xfId="1" applyFont="1" applyFill="1" applyBorder="1" applyAlignment="1">
      <alignment horizontal="center" vertical="center" wrapText="1"/>
    </xf>
    <xf numFmtId="0" fontId="11" fillId="12" borderId="25" xfId="1" applyFont="1" applyFill="1" applyBorder="1" applyAlignment="1">
      <alignment horizontal="center" vertical="center" wrapText="1"/>
    </xf>
    <xf numFmtId="2" fontId="11" fillId="12" borderId="26" xfId="0" applyNumberFormat="1" applyFont="1" applyFill="1" applyBorder="1" applyAlignment="1">
      <alignment horizontal="center" vertical="center" wrapText="1"/>
    </xf>
    <xf numFmtId="0" fontId="11" fillId="9" borderId="27" xfId="0" applyFont="1" applyFill="1" applyBorder="1" applyAlignment="1">
      <alignment vertical="center" wrapText="1"/>
    </xf>
    <xf numFmtId="0" fontId="9" fillId="9" borderId="21" xfId="0" applyFont="1" applyFill="1" applyBorder="1" applyAlignment="1">
      <alignment vertical="center"/>
    </xf>
    <xf numFmtId="0" fontId="11" fillId="9" borderId="22" xfId="0" applyFont="1" applyFill="1" applyBorder="1" applyAlignment="1">
      <alignment vertical="center" wrapText="1"/>
    </xf>
    <xf numFmtId="2" fontId="11" fillId="9" borderId="23" xfId="1" applyNumberFormat="1" applyFont="1" applyFill="1" applyBorder="1" applyAlignment="1">
      <alignment horizontal="center" vertical="center" wrapText="1"/>
    </xf>
    <xf numFmtId="0" fontId="11" fillId="9" borderId="24" xfId="1" applyFont="1" applyFill="1" applyBorder="1" applyAlignment="1">
      <alignment horizontal="center" vertical="center" wrapText="1"/>
    </xf>
    <xf numFmtId="0" fontId="11" fillId="9" borderId="25" xfId="1" applyFont="1" applyFill="1" applyBorder="1" applyAlignment="1">
      <alignment horizontal="center" vertical="center" wrapText="1"/>
    </xf>
    <xf numFmtId="2" fontId="11" fillId="7" borderId="4" xfId="1" applyNumberFormat="1" applyFont="1" applyFill="1" applyBorder="1" applyAlignment="1">
      <alignment horizontal="center" vertical="center" wrapText="1"/>
    </xf>
    <xf numFmtId="0" fontId="11" fillId="12" borderId="15" xfId="0" applyFont="1" applyFill="1" applyBorder="1" applyAlignment="1">
      <alignment vertical="center"/>
    </xf>
    <xf numFmtId="0" fontId="15" fillId="12" borderId="15" xfId="0" applyFont="1" applyFill="1" applyBorder="1" applyAlignment="1">
      <alignment vertical="center" wrapText="1"/>
    </xf>
    <xf numFmtId="0" fontId="11" fillId="11" borderId="27" xfId="0" applyFont="1" applyFill="1" applyBorder="1" applyAlignment="1">
      <alignment vertical="center" wrapText="1"/>
    </xf>
    <xf numFmtId="0" fontId="11" fillId="11" borderId="28" xfId="0" applyFont="1" applyFill="1" applyBorder="1" applyAlignment="1">
      <alignment vertical="center" wrapText="1"/>
    </xf>
    <xf numFmtId="0" fontId="11" fillId="11" borderId="22" xfId="0" applyFont="1" applyFill="1" applyBorder="1" applyAlignment="1">
      <alignment vertical="center" wrapText="1"/>
    </xf>
    <xf numFmtId="0" fontId="11" fillId="11" borderId="23" xfId="1" applyFont="1" applyFill="1" applyBorder="1" applyAlignment="1">
      <alignment horizontal="center" vertical="center" wrapText="1"/>
    </xf>
    <xf numFmtId="0" fontId="11" fillId="11" borderId="24" xfId="1" applyFont="1" applyFill="1" applyBorder="1" applyAlignment="1">
      <alignment horizontal="center" vertical="center" wrapText="1"/>
    </xf>
    <xf numFmtId="0" fontId="11" fillId="11" borderId="25" xfId="1" applyFont="1" applyFill="1" applyBorder="1" applyAlignment="1">
      <alignment horizontal="center" vertical="center" wrapText="1"/>
    </xf>
    <xf numFmtId="2" fontId="11" fillId="11" borderId="26" xfId="0" applyNumberFormat="1" applyFont="1" applyFill="1" applyBorder="1" applyAlignment="1">
      <alignment horizontal="center" vertical="center" wrapText="1"/>
    </xf>
    <xf numFmtId="0" fontId="11" fillId="14" borderId="22" xfId="3" applyFont="1" applyFill="1" applyBorder="1" applyAlignment="1">
      <alignment horizontal="center" vertical="center"/>
    </xf>
    <xf numFmtId="0" fontId="11" fillId="10" borderId="27" xfId="0" applyFont="1" applyFill="1" applyBorder="1" applyAlignment="1">
      <alignment vertical="center" wrapText="1"/>
    </xf>
    <xf numFmtId="0" fontId="9" fillId="10" borderId="21" xfId="0" applyFont="1" applyFill="1" applyBorder="1" applyAlignment="1">
      <alignment vertical="center"/>
    </xf>
    <xf numFmtId="0" fontId="11" fillId="10" borderId="22" xfId="0" applyFont="1" applyFill="1" applyBorder="1" applyAlignment="1">
      <alignment vertical="center" wrapText="1"/>
    </xf>
    <xf numFmtId="2" fontId="11" fillId="10" borderId="23" xfId="1" applyNumberFormat="1" applyFont="1" applyFill="1" applyBorder="1" applyAlignment="1">
      <alignment horizontal="center" vertical="center" wrapText="1"/>
    </xf>
    <xf numFmtId="0" fontId="11" fillId="10" borderId="24" xfId="1" applyFont="1" applyFill="1" applyBorder="1" applyAlignment="1">
      <alignment horizontal="center" vertical="center" wrapText="1"/>
    </xf>
    <xf numFmtId="0" fontId="11" fillId="10" borderId="25" xfId="1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vertical="center" wrapText="1"/>
    </xf>
    <xf numFmtId="0" fontId="11" fillId="7" borderId="22" xfId="0" applyFont="1" applyFill="1" applyBorder="1" applyAlignment="1">
      <alignment vertical="center" wrapText="1"/>
    </xf>
    <xf numFmtId="0" fontId="11" fillId="7" borderId="23" xfId="1" applyFont="1" applyFill="1" applyBorder="1" applyAlignment="1">
      <alignment horizontal="center" vertical="center" wrapText="1"/>
    </xf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164" fontId="11" fillId="7" borderId="26" xfId="0" applyNumberFormat="1" applyFont="1" applyFill="1" applyBorder="1" applyAlignment="1">
      <alignment horizontal="center" vertical="center" wrapText="1"/>
    </xf>
    <xf numFmtId="164" fontId="11" fillId="7" borderId="24" xfId="1" applyNumberFormat="1" applyFont="1" applyFill="1" applyBorder="1" applyAlignment="1">
      <alignment horizontal="center" vertical="center" wrapText="1"/>
    </xf>
    <xf numFmtId="0" fontId="11" fillId="11" borderId="37" xfId="3" applyFont="1" applyFill="1" applyBorder="1" applyAlignment="1">
      <alignment horizontal="center" vertical="center"/>
    </xf>
    <xf numFmtId="0" fontId="15" fillId="12" borderId="27" xfId="0" applyFont="1" applyFill="1" applyBorder="1" applyAlignment="1">
      <alignment vertical="center" wrapText="1"/>
    </xf>
    <xf numFmtId="0" fontId="11" fillId="12" borderId="36" xfId="0" applyFont="1" applyFill="1" applyBorder="1" applyAlignment="1">
      <alignment vertical="center" wrapText="1"/>
    </xf>
    <xf numFmtId="0" fontId="11" fillId="12" borderId="37" xfId="0" applyFont="1" applyFill="1" applyBorder="1" applyAlignment="1">
      <alignment vertical="center" wrapText="1"/>
    </xf>
    <xf numFmtId="0" fontId="11" fillId="12" borderId="38" xfId="1" applyFont="1" applyFill="1" applyBorder="1" applyAlignment="1">
      <alignment horizontal="center" vertical="center" wrapText="1"/>
    </xf>
    <xf numFmtId="0" fontId="11" fillId="12" borderId="39" xfId="1" applyFont="1" applyFill="1" applyBorder="1" applyAlignment="1">
      <alignment horizontal="center" vertical="center" wrapText="1"/>
    </xf>
    <xf numFmtId="0" fontId="11" fillId="12" borderId="40" xfId="1" applyFont="1" applyFill="1" applyBorder="1" applyAlignment="1">
      <alignment horizontal="center" vertical="center" wrapText="1"/>
    </xf>
    <xf numFmtId="2" fontId="11" fillId="12" borderId="41" xfId="0" applyNumberFormat="1" applyFont="1" applyFill="1" applyBorder="1" applyAlignment="1">
      <alignment horizontal="center" vertical="center" wrapText="1"/>
    </xf>
    <xf numFmtId="0" fontId="15" fillId="12" borderId="35" xfId="0" applyFont="1" applyFill="1" applyBorder="1" applyAlignment="1">
      <alignment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10" borderId="23" xfId="0" applyFont="1" applyFill="1" applyBorder="1" applyAlignment="1">
      <alignment horizontal="center" vertical="center" wrapText="1"/>
    </xf>
    <xf numFmtId="0" fontId="11" fillId="10" borderId="24" xfId="0" applyFont="1" applyFill="1" applyBorder="1" applyAlignment="1">
      <alignment horizontal="center" vertical="center" wrapText="1"/>
    </xf>
    <xf numFmtId="0" fontId="11" fillId="9" borderId="23" xfId="0" applyFont="1" applyFill="1" applyBorder="1" applyAlignment="1">
      <alignment horizontal="center" vertical="center" wrapText="1"/>
    </xf>
    <xf numFmtId="0" fontId="11" fillId="9" borderId="24" xfId="0" applyFont="1" applyFill="1" applyBorder="1" applyAlignment="1">
      <alignment horizontal="center" vertical="center" wrapText="1"/>
    </xf>
    <xf numFmtId="0" fontId="11" fillId="14" borderId="5" xfId="1" applyFont="1" applyFill="1" applyBorder="1" applyAlignment="1" applyProtection="1">
      <alignment horizontal="center" vertical="center"/>
      <protection locked="0"/>
    </xf>
    <xf numFmtId="0" fontId="11" fillId="11" borderId="5" xfId="1" applyFont="1" applyFill="1" applyBorder="1" applyAlignment="1" applyProtection="1">
      <alignment horizontal="center" vertical="center"/>
      <protection locked="0"/>
    </xf>
    <xf numFmtId="0" fontId="11" fillId="14" borderId="23" xfId="1" applyFont="1" applyFill="1" applyBorder="1" applyAlignment="1" applyProtection="1">
      <alignment horizontal="center" vertical="center"/>
      <protection locked="0"/>
    </xf>
    <xf numFmtId="0" fontId="11" fillId="11" borderId="23" xfId="1" applyFont="1" applyFill="1" applyBorder="1" applyAlignment="1" applyProtection="1">
      <alignment horizontal="center" vertical="center"/>
      <protection locked="0"/>
    </xf>
    <xf numFmtId="0" fontId="11" fillId="11" borderId="38" xfId="1" applyFont="1" applyFill="1" applyBorder="1" applyAlignment="1" applyProtection="1">
      <alignment horizontal="center" vertical="center"/>
      <protection locked="0"/>
    </xf>
    <xf numFmtId="0" fontId="15" fillId="9" borderId="27" xfId="0" applyFont="1" applyFill="1" applyBorder="1" applyAlignment="1">
      <alignment vertical="center" wrapText="1"/>
    </xf>
    <xf numFmtId="0" fontId="11" fillId="6" borderId="8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vertical="center"/>
    </xf>
    <xf numFmtId="0" fontId="27" fillId="18" borderId="8" xfId="0" applyFont="1" applyFill="1" applyBorder="1" applyAlignment="1">
      <alignment vertical="center" wrapText="1"/>
    </xf>
    <xf numFmtId="0" fontId="27" fillId="18" borderId="5" xfId="1" applyFont="1" applyFill="1" applyBorder="1" applyAlignment="1">
      <alignment horizontal="center" vertical="center" wrapText="1"/>
    </xf>
    <xf numFmtId="0" fontId="27" fillId="18" borderId="4" xfId="1" applyFont="1" applyFill="1" applyBorder="1" applyAlignment="1">
      <alignment horizontal="center" vertical="center" wrapText="1"/>
    </xf>
    <xf numFmtId="0" fontId="26" fillId="18" borderId="15" xfId="0" applyFont="1" applyFill="1" applyBorder="1" applyAlignment="1">
      <alignment vertical="center" wrapText="1"/>
    </xf>
    <xf numFmtId="0" fontId="11" fillId="11" borderId="9" xfId="1" applyFont="1" applyFill="1" applyBorder="1" applyAlignment="1">
      <alignment horizontal="center" vertical="center" wrapText="1"/>
    </xf>
    <xf numFmtId="0" fontId="11" fillId="12" borderId="9" xfId="1" applyFont="1" applyFill="1" applyBorder="1" applyAlignment="1">
      <alignment horizontal="center" vertical="center" wrapText="1"/>
    </xf>
    <xf numFmtId="0" fontId="27" fillId="18" borderId="9" xfId="1" applyFont="1" applyFill="1" applyBorder="1" applyAlignment="1">
      <alignment horizontal="center" vertical="center" wrapText="1"/>
    </xf>
    <xf numFmtId="0" fontId="27" fillId="17" borderId="5" xfId="0" applyFont="1" applyFill="1" applyBorder="1" applyAlignment="1" applyProtection="1">
      <alignment horizontal="center" vertical="center" wrapText="1"/>
      <protection locked="0"/>
    </xf>
    <xf numFmtId="0" fontId="27" fillId="19" borderId="5" xfId="0" applyFont="1" applyFill="1" applyBorder="1" applyAlignment="1" applyProtection="1">
      <alignment horizontal="center" vertical="center" wrapText="1"/>
      <protection locked="0"/>
    </xf>
    <xf numFmtId="0" fontId="26" fillId="20" borderId="15" xfId="0" applyFont="1" applyFill="1" applyBorder="1" applyAlignment="1">
      <alignment vertical="center" wrapText="1"/>
    </xf>
    <xf numFmtId="0" fontId="25" fillId="20" borderId="17" xfId="0" applyFont="1" applyFill="1" applyBorder="1" applyAlignment="1">
      <alignment vertical="center"/>
    </xf>
    <xf numFmtId="0" fontId="27" fillId="20" borderId="8" xfId="0" applyFont="1" applyFill="1" applyBorder="1" applyAlignment="1">
      <alignment vertical="center" wrapText="1"/>
    </xf>
    <xf numFmtId="0" fontId="27" fillId="20" borderId="5" xfId="1" applyFont="1" applyFill="1" applyBorder="1" applyAlignment="1">
      <alignment horizontal="center" vertical="center" wrapText="1"/>
    </xf>
    <xf numFmtId="0" fontId="27" fillId="20" borderId="4" xfId="1" applyFont="1" applyFill="1" applyBorder="1" applyAlignment="1">
      <alignment horizontal="center" vertical="center" wrapText="1"/>
    </xf>
    <xf numFmtId="0" fontId="27" fillId="20" borderId="9" xfId="1" applyFont="1" applyFill="1" applyBorder="1" applyAlignment="1">
      <alignment horizontal="center" vertical="center" wrapText="1"/>
    </xf>
    <xf numFmtId="0" fontId="15" fillId="12" borderId="18" xfId="0" applyFont="1" applyFill="1" applyBorder="1" applyAlignment="1">
      <alignment vertical="center" wrapText="1"/>
    </xf>
    <xf numFmtId="0" fontId="21" fillId="12" borderId="17" xfId="0" applyFont="1" applyFill="1" applyBorder="1" applyAlignment="1">
      <alignment vertical="center" wrapText="1"/>
    </xf>
    <xf numFmtId="164" fontId="11" fillId="12" borderId="7" xfId="0" applyNumberFormat="1" applyFont="1" applyFill="1" applyBorder="1" applyAlignment="1">
      <alignment horizontal="center" vertical="center" wrapText="1"/>
    </xf>
    <xf numFmtId="164" fontId="11" fillId="12" borderId="4" xfId="1" applyNumberFormat="1" applyFont="1" applyFill="1" applyBorder="1" applyAlignment="1">
      <alignment horizontal="center" vertical="center" wrapText="1"/>
    </xf>
    <xf numFmtId="164" fontId="11" fillId="12" borderId="9" xfId="1" applyNumberFormat="1" applyFont="1" applyFill="1" applyBorder="1" applyAlignment="1">
      <alignment horizontal="center" vertical="center" wrapText="1"/>
    </xf>
    <xf numFmtId="0" fontId="15" fillId="11" borderId="42" xfId="0" applyFont="1" applyFill="1" applyBorder="1" applyAlignment="1">
      <alignment vertical="center" wrapText="1"/>
    </xf>
    <xf numFmtId="0" fontId="11" fillId="11" borderId="3" xfId="0" applyFont="1" applyFill="1" applyBorder="1" applyAlignment="1">
      <alignment vertical="center" wrapText="1"/>
    </xf>
    <xf numFmtId="0" fontId="11" fillId="11" borderId="16" xfId="0" applyFont="1" applyFill="1" applyBorder="1" applyAlignment="1">
      <alignment vertical="center" wrapText="1"/>
    </xf>
    <xf numFmtId="0" fontId="11" fillId="11" borderId="12" xfId="1" applyFont="1" applyFill="1" applyBorder="1" applyAlignment="1">
      <alignment horizontal="center" vertical="center" wrapText="1"/>
    </xf>
    <xf numFmtId="0" fontId="11" fillId="11" borderId="11" xfId="1" applyFont="1" applyFill="1" applyBorder="1" applyAlignment="1">
      <alignment horizontal="center" vertical="center" wrapText="1"/>
    </xf>
    <xf numFmtId="0" fontId="11" fillId="11" borderId="13" xfId="1" applyFont="1" applyFill="1" applyBorder="1" applyAlignment="1">
      <alignment horizontal="center" vertical="center" wrapText="1"/>
    </xf>
    <xf numFmtId="2" fontId="11" fillId="11" borderId="14" xfId="0" applyNumberFormat="1" applyFont="1" applyFill="1" applyBorder="1" applyAlignment="1">
      <alignment horizontal="center" vertical="center" wrapText="1"/>
    </xf>
    <xf numFmtId="0" fontId="11" fillId="11" borderId="10" xfId="1" applyFont="1" applyFill="1" applyBorder="1" applyAlignment="1">
      <alignment horizontal="center" vertical="center" wrapText="1"/>
    </xf>
    <xf numFmtId="0" fontId="11" fillId="14" borderId="12" xfId="1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>
      <alignment vertical="center" wrapText="1"/>
    </xf>
    <xf numFmtId="0" fontId="11" fillId="6" borderId="16" xfId="0" applyFont="1" applyFill="1" applyBorder="1" applyAlignment="1">
      <alignment vertical="center" wrapText="1"/>
    </xf>
    <xf numFmtId="0" fontId="11" fillId="6" borderId="12" xfId="1" applyFont="1" applyFill="1" applyBorder="1" applyAlignment="1">
      <alignment horizontal="center" vertical="center" wrapText="1"/>
    </xf>
    <xf numFmtId="0" fontId="11" fillId="6" borderId="11" xfId="1" applyFont="1" applyFill="1" applyBorder="1" applyAlignment="1">
      <alignment horizontal="center" vertical="center" wrapText="1"/>
    </xf>
    <xf numFmtId="0" fontId="11" fillId="6" borderId="13" xfId="1" applyFont="1" applyFill="1" applyBorder="1" applyAlignment="1">
      <alignment horizontal="center" vertical="center" wrapText="1"/>
    </xf>
    <xf numFmtId="164" fontId="11" fillId="6" borderId="14" xfId="0" applyNumberFormat="1" applyFont="1" applyFill="1" applyBorder="1" applyAlignment="1">
      <alignment horizontal="center" vertical="center" wrapText="1"/>
    </xf>
    <xf numFmtId="164" fontId="11" fillId="6" borderId="11" xfId="1" applyNumberFormat="1" applyFont="1" applyFill="1" applyBorder="1" applyAlignment="1">
      <alignment horizontal="center" vertical="center" wrapText="1"/>
    </xf>
    <xf numFmtId="0" fontId="14" fillId="8" borderId="47" xfId="2" applyFont="1" applyFill="1" applyBorder="1" applyAlignment="1">
      <alignment horizontal="center" vertical="center" wrapText="1"/>
    </xf>
    <xf numFmtId="0" fontId="13" fillId="8" borderId="1" xfId="2" applyFont="1" applyFill="1" applyBorder="1" applyAlignment="1">
      <alignment horizontal="center" vertical="center" wrapText="1"/>
    </xf>
    <xf numFmtId="0" fontId="13" fillId="8" borderId="50" xfId="2" applyFont="1" applyFill="1" applyBorder="1" applyAlignment="1">
      <alignment horizontal="center" vertical="center" wrapText="1"/>
    </xf>
    <xf numFmtId="0" fontId="13" fillId="8" borderId="49" xfId="2" applyFont="1" applyFill="1" applyBorder="1" applyAlignment="1">
      <alignment horizontal="center" vertical="center" wrapText="1"/>
    </xf>
    <xf numFmtId="0" fontId="13" fillId="8" borderId="51" xfId="2" applyFont="1" applyFill="1" applyBorder="1" applyAlignment="1">
      <alignment horizontal="center" vertical="center" wrapText="1"/>
    </xf>
    <xf numFmtId="164" fontId="13" fillId="8" borderId="2" xfId="2" applyNumberFormat="1" applyFont="1" applyFill="1" applyBorder="1" applyAlignment="1">
      <alignment horizontal="center" vertical="center" wrapText="1"/>
    </xf>
    <xf numFmtId="164" fontId="13" fillId="8" borderId="49" xfId="2" applyNumberFormat="1" applyFont="1" applyFill="1" applyBorder="1" applyAlignment="1">
      <alignment horizontal="center" vertical="center" wrapText="1"/>
    </xf>
    <xf numFmtId="0" fontId="27" fillId="18" borderId="17" xfId="0" applyFont="1" applyFill="1" applyBorder="1" applyAlignment="1">
      <alignment vertical="center"/>
    </xf>
    <xf numFmtId="0" fontId="11" fillId="10" borderId="9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0" fontId="22" fillId="21" borderId="15" xfId="0" applyFont="1" applyFill="1" applyBorder="1" applyAlignment="1">
      <alignment vertical="center" wrapText="1"/>
    </xf>
    <xf numFmtId="0" fontId="24" fillId="21" borderId="17" xfId="0" applyFont="1" applyFill="1" applyBorder="1" applyAlignment="1">
      <alignment vertical="center"/>
    </xf>
    <xf numFmtId="0" fontId="27" fillId="21" borderId="8" xfId="0" applyFont="1" applyFill="1" applyBorder="1" applyAlignment="1">
      <alignment vertical="center" wrapText="1"/>
    </xf>
    <xf numFmtId="0" fontId="27" fillId="21" borderId="5" xfId="1" applyFont="1" applyFill="1" applyBorder="1" applyAlignment="1">
      <alignment horizontal="center" vertical="center" wrapText="1"/>
    </xf>
    <xf numFmtId="0" fontId="27" fillId="21" borderId="4" xfId="1" applyFont="1" applyFill="1" applyBorder="1" applyAlignment="1">
      <alignment horizontal="center" vertical="center" wrapText="1"/>
    </xf>
    <xf numFmtId="0" fontId="27" fillId="21" borderId="9" xfId="1" applyFont="1" applyFill="1" applyBorder="1" applyAlignment="1">
      <alignment horizontal="center" vertical="center" wrapText="1"/>
    </xf>
    <xf numFmtId="0" fontId="15" fillId="10" borderId="29" xfId="0" applyFont="1" applyFill="1" applyBorder="1" applyAlignment="1">
      <alignment vertical="center" wrapText="1"/>
    </xf>
    <xf numFmtId="0" fontId="9" fillId="10" borderId="30" xfId="0" applyFont="1" applyFill="1" applyBorder="1" applyAlignment="1">
      <alignment vertical="center"/>
    </xf>
    <xf numFmtId="0" fontId="11" fillId="10" borderId="31" xfId="0" applyFont="1" applyFill="1" applyBorder="1" applyAlignment="1">
      <alignment vertical="center" wrapText="1"/>
    </xf>
    <xf numFmtId="2" fontId="11" fillId="10" borderId="32" xfId="1" applyNumberFormat="1" applyFont="1" applyFill="1" applyBorder="1" applyAlignment="1">
      <alignment horizontal="center" vertical="center" wrapText="1"/>
    </xf>
    <xf numFmtId="0" fontId="11" fillId="10" borderId="33" xfId="1" applyFont="1" applyFill="1" applyBorder="1" applyAlignment="1">
      <alignment horizontal="center" vertical="center" wrapText="1"/>
    </xf>
    <xf numFmtId="0" fontId="11" fillId="10" borderId="34" xfId="1" applyFont="1" applyFill="1" applyBorder="1" applyAlignment="1">
      <alignment horizontal="center" vertical="center" wrapText="1"/>
    </xf>
    <xf numFmtId="0" fontId="11" fillId="10" borderId="32" xfId="0" applyFont="1" applyFill="1" applyBorder="1" applyAlignment="1">
      <alignment horizontal="center" vertical="center" wrapText="1"/>
    </xf>
    <xf numFmtId="0" fontId="11" fillId="10" borderId="33" xfId="0" applyFont="1" applyFill="1" applyBorder="1" applyAlignment="1">
      <alignment horizontal="center" vertical="center" wrapText="1"/>
    </xf>
    <xf numFmtId="0" fontId="11" fillId="10" borderId="56" xfId="0" applyFont="1" applyFill="1" applyBorder="1" applyAlignment="1">
      <alignment horizontal="center" vertical="center" wrapText="1"/>
    </xf>
    <xf numFmtId="0" fontId="27" fillId="22" borderId="5" xfId="0" applyFont="1" applyFill="1" applyBorder="1" applyAlignment="1" applyProtection="1">
      <alignment horizontal="center" vertical="center" wrapText="1"/>
      <protection locked="0"/>
    </xf>
    <xf numFmtId="0" fontId="11" fillId="9" borderId="40" xfId="3" applyFont="1" applyFill="1" applyBorder="1" applyAlignment="1">
      <alignment horizontal="center" vertical="center"/>
    </xf>
    <xf numFmtId="0" fontId="26" fillId="22" borderId="15" xfId="0" applyFont="1" applyFill="1" applyBorder="1" applyAlignment="1">
      <alignment vertical="center" wrapText="1"/>
    </xf>
    <xf numFmtId="0" fontId="28" fillId="22" borderId="17" xfId="0" applyFont="1" applyFill="1" applyBorder="1" applyAlignment="1">
      <alignment vertical="center"/>
    </xf>
    <xf numFmtId="0" fontId="27" fillId="22" borderId="8" xfId="0" applyFont="1" applyFill="1" applyBorder="1" applyAlignment="1">
      <alignment vertical="center" wrapText="1"/>
    </xf>
    <xf numFmtId="0" fontId="27" fillId="22" borderId="5" xfId="1" applyFont="1" applyFill="1" applyBorder="1" applyAlignment="1">
      <alignment horizontal="center" vertical="center" wrapText="1"/>
    </xf>
    <xf numFmtId="0" fontId="27" fillId="22" borderId="4" xfId="1" applyFont="1" applyFill="1" applyBorder="1" applyAlignment="1">
      <alignment horizontal="center" vertical="center" wrapText="1"/>
    </xf>
    <xf numFmtId="0" fontId="27" fillId="22" borderId="9" xfId="1" applyFont="1" applyFill="1" applyBorder="1" applyAlignment="1">
      <alignment horizontal="center" vertical="center" wrapText="1"/>
    </xf>
    <xf numFmtId="0" fontId="15" fillId="9" borderId="18" xfId="0" applyFont="1" applyFill="1" applyBorder="1" applyAlignment="1">
      <alignment vertical="center" wrapText="1"/>
    </xf>
    <xf numFmtId="0" fontId="11" fillId="9" borderId="17" xfId="0" applyFont="1" applyFill="1" applyBorder="1" applyAlignment="1">
      <alignment vertical="center" wrapText="1"/>
    </xf>
    <xf numFmtId="164" fontId="11" fillId="9" borderId="7" xfId="0" applyNumberFormat="1" applyFont="1" applyFill="1" applyBorder="1" applyAlignment="1">
      <alignment horizontal="center" vertical="center" wrapText="1"/>
    </xf>
    <xf numFmtId="164" fontId="11" fillId="9" borderId="4" xfId="1" applyNumberFormat="1" applyFont="1" applyFill="1" applyBorder="1" applyAlignment="1">
      <alignment horizontal="center" vertical="center" wrapText="1"/>
    </xf>
    <xf numFmtId="164" fontId="11" fillId="9" borderId="9" xfId="1" applyNumberFormat="1" applyFont="1" applyFill="1" applyBorder="1" applyAlignment="1">
      <alignment horizontal="center" vertical="center" wrapText="1"/>
    </xf>
    <xf numFmtId="0" fontId="15" fillId="10" borderId="42" xfId="0" applyFont="1" applyFill="1" applyBorder="1" applyAlignment="1">
      <alignment vertical="center" wrapText="1"/>
    </xf>
    <xf numFmtId="0" fontId="9" fillId="10" borderId="19" xfId="0" applyFont="1" applyFill="1" applyBorder="1" applyAlignment="1">
      <alignment vertical="center"/>
    </xf>
    <xf numFmtId="0" fontId="11" fillId="10" borderId="16" xfId="0" applyFont="1" applyFill="1" applyBorder="1" applyAlignment="1">
      <alignment vertical="center" wrapText="1"/>
    </xf>
    <xf numFmtId="2" fontId="11" fillId="10" borderId="12" xfId="1" applyNumberFormat="1" applyFont="1" applyFill="1" applyBorder="1" applyAlignment="1">
      <alignment horizontal="center" vertical="center" wrapText="1"/>
    </xf>
    <xf numFmtId="0" fontId="11" fillId="10" borderId="11" xfId="1" applyFont="1" applyFill="1" applyBorder="1" applyAlignment="1">
      <alignment horizontal="center" vertical="center" wrapText="1"/>
    </xf>
    <xf numFmtId="0" fontId="11" fillId="10" borderId="13" xfId="1" applyFont="1" applyFill="1" applyBorder="1" applyAlignment="1">
      <alignment horizontal="center" vertical="center" wrapText="1"/>
    </xf>
    <xf numFmtId="0" fontId="11" fillId="10" borderId="12" xfId="0" applyFont="1" applyFill="1" applyBorder="1" applyAlignment="1">
      <alignment horizontal="center" vertical="center" wrapText="1"/>
    </xf>
    <xf numFmtId="0" fontId="11" fillId="10" borderId="10" xfId="1" applyFont="1" applyFill="1" applyBorder="1" applyAlignment="1">
      <alignment horizontal="center" vertical="center" wrapText="1"/>
    </xf>
    <xf numFmtId="0" fontId="27" fillId="23" borderId="5" xfId="0" applyFont="1" applyFill="1" applyBorder="1" applyAlignment="1" applyProtection="1">
      <alignment horizontal="center" vertical="center" wrapText="1"/>
      <protection locked="0"/>
    </xf>
    <xf numFmtId="0" fontId="11" fillId="9" borderId="58" xfId="3" applyFont="1" applyFill="1" applyBorder="1" applyAlignment="1">
      <alignment horizontal="center" vertical="center"/>
    </xf>
    <xf numFmtId="0" fontId="14" fillId="8" borderId="44" xfId="2" applyFont="1" applyFill="1" applyBorder="1" applyAlignment="1">
      <alignment vertical="center" wrapText="1"/>
    </xf>
    <xf numFmtId="0" fontId="13" fillId="8" borderId="45" xfId="2" applyFont="1" applyFill="1" applyBorder="1" applyAlignment="1">
      <alignment horizontal="center" vertical="center" wrapText="1"/>
    </xf>
    <xf numFmtId="0" fontId="11" fillId="14" borderId="58" xfId="3" applyFont="1" applyFill="1" applyBorder="1" applyAlignment="1">
      <alignment horizontal="center" vertical="center"/>
    </xf>
    <xf numFmtId="0" fontId="11" fillId="11" borderId="6" xfId="3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13" fillId="8" borderId="48" xfId="3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vertical="center" wrapText="1"/>
    </xf>
    <xf numFmtId="0" fontId="11" fillId="16" borderId="16" xfId="3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vertical="center" wrapText="1"/>
    </xf>
    <xf numFmtId="0" fontId="11" fillId="6" borderId="8" xfId="3" applyFont="1" applyFill="1" applyBorder="1" applyAlignment="1">
      <alignment horizontal="center" vertical="center" wrapText="1"/>
    </xf>
    <xf numFmtId="0" fontId="11" fillId="16" borderId="8" xfId="3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vertical="center" wrapText="1"/>
    </xf>
    <xf numFmtId="0" fontId="11" fillId="6" borderId="22" xfId="3" applyFont="1" applyFill="1" applyBorder="1" applyAlignment="1">
      <alignment horizontal="center" vertical="center" wrapText="1"/>
    </xf>
    <xf numFmtId="0" fontId="15" fillId="6" borderId="62" xfId="0" applyFont="1" applyFill="1" applyBorder="1" applyAlignment="1">
      <alignment vertical="center" wrapText="1"/>
    </xf>
    <xf numFmtId="0" fontId="11" fillId="6" borderId="62" xfId="0" applyFont="1" applyFill="1" applyBorder="1" applyAlignment="1">
      <alignment vertical="center" wrapText="1"/>
    </xf>
    <xf numFmtId="0" fontId="11" fillId="6" borderId="37" xfId="0" applyFont="1" applyFill="1" applyBorder="1" applyAlignment="1">
      <alignment vertical="center" wrapText="1"/>
    </xf>
    <xf numFmtId="0" fontId="11" fillId="6" borderId="38" xfId="1" applyFont="1" applyFill="1" applyBorder="1" applyAlignment="1">
      <alignment horizontal="center" vertical="center" wrapText="1"/>
    </xf>
    <xf numFmtId="0" fontId="11" fillId="6" borderId="39" xfId="1" applyFont="1" applyFill="1" applyBorder="1" applyAlignment="1">
      <alignment horizontal="center" vertical="center" wrapText="1"/>
    </xf>
    <xf numFmtId="0" fontId="11" fillId="6" borderId="40" xfId="1" applyFont="1" applyFill="1" applyBorder="1" applyAlignment="1">
      <alignment horizontal="center" vertical="center" wrapText="1"/>
    </xf>
    <xf numFmtId="164" fontId="11" fillId="6" borderId="41" xfId="0" applyNumberFormat="1" applyFont="1" applyFill="1" applyBorder="1" applyAlignment="1">
      <alignment horizontal="center" vertical="center" wrapText="1"/>
    </xf>
    <xf numFmtId="164" fontId="11" fillId="6" borderId="39" xfId="1" applyNumberFormat="1" applyFont="1" applyFill="1" applyBorder="1" applyAlignment="1">
      <alignment horizontal="center" vertical="center" wrapText="1"/>
    </xf>
    <xf numFmtId="0" fontId="11" fillId="16" borderId="37" xfId="3" applyFont="1" applyFill="1" applyBorder="1" applyAlignment="1">
      <alignment horizontal="center" vertical="center" wrapText="1"/>
    </xf>
    <xf numFmtId="0" fontId="13" fillId="8" borderId="63" xfId="2" applyFont="1" applyFill="1" applyBorder="1" applyAlignment="1">
      <alignment horizontal="center" vertical="center" wrapText="1"/>
    </xf>
    <xf numFmtId="0" fontId="13" fillId="8" borderId="64" xfId="2" applyFont="1" applyFill="1" applyBorder="1" applyAlignment="1">
      <alignment horizontal="center" vertical="center" wrapText="1"/>
    </xf>
    <xf numFmtId="0" fontId="13" fillId="8" borderId="65" xfId="2" applyFont="1" applyFill="1" applyBorder="1" applyAlignment="1">
      <alignment horizontal="center" vertical="center" wrapText="1"/>
    </xf>
    <xf numFmtId="2" fontId="13" fillId="8" borderId="66" xfId="2" applyNumberFormat="1" applyFont="1" applyFill="1" applyBorder="1" applyAlignment="1">
      <alignment horizontal="center" vertical="center" wrapText="1"/>
    </xf>
    <xf numFmtId="0" fontId="13" fillId="8" borderId="45" xfId="3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10" fillId="3" borderId="44" xfId="2" applyFont="1" applyBorder="1" applyAlignment="1">
      <alignment wrapText="1"/>
    </xf>
    <xf numFmtId="0" fontId="10" fillId="3" borderId="44" xfId="2" applyFont="1" applyBorder="1"/>
    <xf numFmtId="0" fontId="12" fillId="3" borderId="45" xfId="2" applyFont="1" applyBorder="1" applyAlignment="1">
      <alignment horizontal="center" vertical="center" wrapText="1"/>
    </xf>
    <xf numFmtId="2" fontId="12" fillId="3" borderId="63" xfId="2" applyNumberFormat="1" applyFont="1" applyBorder="1" applyAlignment="1">
      <alignment horizontal="center" vertical="center" wrapText="1"/>
    </xf>
    <xf numFmtId="0" fontId="12" fillId="3" borderId="64" xfId="2" applyFont="1" applyBorder="1" applyAlignment="1">
      <alignment horizontal="center" vertical="center" wrapText="1"/>
    </xf>
    <xf numFmtId="0" fontId="12" fillId="3" borderId="65" xfId="2" applyFont="1" applyBorder="1" applyAlignment="1">
      <alignment horizontal="center" vertical="center" wrapText="1"/>
    </xf>
    <xf numFmtId="0" fontId="12" fillId="3" borderId="63" xfId="2" applyFont="1" applyBorder="1" applyAlignment="1">
      <alignment horizontal="center" vertical="center" wrapText="1"/>
    </xf>
    <xf numFmtId="0" fontId="13" fillId="8" borderId="65" xfId="3" applyFont="1" applyFill="1" applyBorder="1" applyAlignment="1">
      <alignment horizontal="center" vertical="center" wrapText="1"/>
    </xf>
    <xf numFmtId="0" fontId="11" fillId="11" borderId="5" xfId="1" applyFont="1" applyFill="1" applyBorder="1" applyAlignment="1" applyProtection="1">
      <alignment horizontal="center" vertical="center" wrapText="1"/>
      <protection locked="0"/>
    </xf>
    <xf numFmtId="0" fontId="11" fillId="9" borderId="57" xfId="1" applyFont="1" applyFill="1" applyBorder="1" applyAlignment="1" applyProtection="1">
      <alignment horizontal="center" vertical="center"/>
      <protection locked="0"/>
    </xf>
    <xf numFmtId="0" fontId="11" fillId="15" borderId="5" xfId="1" applyFont="1" applyFill="1" applyBorder="1" applyAlignment="1" applyProtection="1">
      <alignment horizontal="center" vertical="center" wrapText="1"/>
      <protection locked="0"/>
    </xf>
    <xf numFmtId="0" fontId="11" fillId="9" borderId="5" xfId="1" applyFont="1" applyFill="1" applyBorder="1" applyAlignment="1" applyProtection="1">
      <alignment horizontal="center" vertical="center"/>
      <protection locked="0"/>
    </xf>
    <xf numFmtId="0" fontId="11" fillId="15" borderId="5" xfId="1" applyFont="1" applyFill="1" applyBorder="1" applyAlignment="1" applyProtection="1">
      <alignment horizontal="center" vertical="center"/>
      <protection locked="0"/>
    </xf>
    <xf numFmtId="0" fontId="11" fillId="9" borderId="38" xfId="1" applyFont="1" applyFill="1" applyBorder="1" applyAlignment="1" applyProtection="1">
      <alignment horizontal="center" vertical="center"/>
      <protection locked="0"/>
    </xf>
    <xf numFmtId="0" fontId="11" fillId="16" borderId="12" xfId="1" applyFont="1" applyFill="1" applyBorder="1" applyAlignment="1" applyProtection="1">
      <alignment horizontal="center" vertical="center" wrapText="1"/>
      <protection locked="0"/>
    </xf>
    <xf numFmtId="0" fontId="11" fillId="6" borderId="5" xfId="1" applyFont="1" applyFill="1" applyBorder="1" applyAlignment="1" applyProtection="1">
      <alignment horizontal="center" vertical="center" wrapText="1"/>
      <protection locked="0"/>
    </xf>
    <xf numFmtId="0" fontId="11" fillId="16" borderId="5" xfId="1" applyFont="1" applyFill="1" applyBorder="1" applyAlignment="1" applyProtection="1">
      <alignment horizontal="center" vertical="center" wrapText="1"/>
      <protection locked="0"/>
    </xf>
    <xf numFmtId="0" fontId="11" fillId="6" borderId="23" xfId="1" applyFont="1" applyFill="1" applyBorder="1" applyAlignment="1" applyProtection="1">
      <alignment horizontal="center" vertical="center" wrapText="1"/>
      <protection locked="0"/>
    </xf>
    <xf numFmtId="0" fontId="11" fillId="16" borderId="38" xfId="1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wrapText="1"/>
    </xf>
    <xf numFmtId="0" fontId="31" fillId="13" borderId="0" xfId="4" applyFont="1" applyFill="1" applyAlignment="1" applyProtection="1">
      <alignment wrapText="1"/>
    </xf>
    <xf numFmtId="0" fontId="31" fillId="13" borderId="0" xfId="4" applyFont="1" applyFill="1" applyAlignment="1" applyProtection="1">
      <alignment horizontal="left" wrapText="1"/>
    </xf>
    <xf numFmtId="0" fontId="30" fillId="13" borderId="0" xfId="4" applyFont="1" applyFill="1" applyAlignment="1" applyProtection="1">
      <alignment horizontal="left" wrapText="1"/>
    </xf>
    <xf numFmtId="0" fontId="5" fillId="13" borderId="0" xfId="0" applyFont="1" applyFill="1" applyAlignment="1" applyProtection="1">
      <alignment horizontal="left" wrapText="1"/>
    </xf>
    <xf numFmtId="0" fontId="4" fillId="4" borderId="61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 wrapText="1"/>
    </xf>
    <xf numFmtId="0" fontId="4" fillId="4" borderId="61" xfId="0" applyFont="1" applyFill="1" applyBorder="1" applyAlignment="1">
      <alignment horizontal="center" vertical="center" wrapText="1"/>
    </xf>
    <xf numFmtId="0" fontId="4" fillId="4" borderId="59" xfId="0" applyFont="1" applyFill="1" applyBorder="1" applyAlignment="1">
      <alignment horizontal="center" vertical="center" wrapText="1"/>
    </xf>
    <xf numFmtId="0" fontId="8" fillId="13" borderId="0" xfId="0" applyFont="1" applyFill="1" applyAlignment="1" applyProtection="1">
      <alignment horizontal="center" vertical="center" wrapText="1"/>
    </xf>
    <xf numFmtId="0" fontId="7" fillId="13" borderId="0" xfId="0" applyFont="1" applyFill="1" applyAlignment="1">
      <alignment horizontal="center" wrapText="1"/>
    </xf>
    <xf numFmtId="0" fontId="8" fillId="13" borderId="0" xfId="0" applyFont="1" applyFill="1" applyAlignment="1">
      <alignment horizontal="center" wrapText="1"/>
    </xf>
    <xf numFmtId="0" fontId="5" fillId="13" borderId="0" xfId="0" applyFont="1" applyFill="1" applyAlignment="1">
      <alignment horizontal="center" wrapText="1"/>
    </xf>
    <xf numFmtId="0" fontId="6" fillId="13" borderId="0" xfId="0" applyFont="1" applyFill="1" applyAlignment="1">
      <alignment horizont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2" fontId="4" fillId="4" borderId="53" xfId="0" applyNumberFormat="1" applyFont="1" applyFill="1" applyBorder="1" applyAlignment="1">
      <alignment horizontal="center" vertical="center"/>
    </xf>
    <xf numFmtId="2" fontId="4" fillId="4" borderId="54" xfId="0" applyNumberFormat="1" applyFont="1" applyFill="1" applyBorder="1" applyAlignment="1">
      <alignment horizontal="center" vertical="center"/>
    </xf>
    <xf numFmtId="2" fontId="4" fillId="4" borderId="55" xfId="0" applyNumberFormat="1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 wrapText="1"/>
    </xf>
  </cellXfs>
  <cellStyles count="5">
    <cellStyle name="20% - Accent3" xfId="1" builtinId="38"/>
    <cellStyle name="40% - Accent3" xfId="3" builtinId="39"/>
    <cellStyle name="60% - Accent3" xfId="2" builtinId="40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7.jpeg"/><Relationship Id="rId18" Type="http://schemas.openxmlformats.org/officeDocument/2006/relationships/image" Target="../media/image27.jpeg"/><Relationship Id="rId26" Type="http://schemas.openxmlformats.org/officeDocument/2006/relationships/image" Target="../media/image35.jpeg"/><Relationship Id="rId39" Type="http://schemas.openxmlformats.org/officeDocument/2006/relationships/image" Target="../media/image48.jpeg"/><Relationship Id="rId3" Type="http://schemas.openxmlformats.org/officeDocument/2006/relationships/image" Target="../media/image5.jpeg"/><Relationship Id="rId21" Type="http://schemas.openxmlformats.org/officeDocument/2006/relationships/image" Target="../media/image30.jpeg"/><Relationship Id="rId34" Type="http://schemas.openxmlformats.org/officeDocument/2006/relationships/image" Target="../media/image43.jpeg"/><Relationship Id="rId42" Type="http://schemas.openxmlformats.org/officeDocument/2006/relationships/image" Target="../media/image51.jpeg"/><Relationship Id="rId47" Type="http://schemas.openxmlformats.org/officeDocument/2006/relationships/image" Target="../media/image56.jpeg"/><Relationship Id="rId7" Type="http://schemas.openxmlformats.org/officeDocument/2006/relationships/image" Target="../media/image9.jpeg"/><Relationship Id="rId12" Type="http://schemas.openxmlformats.org/officeDocument/2006/relationships/image" Target="../media/image23.jpeg"/><Relationship Id="rId17" Type="http://schemas.openxmlformats.org/officeDocument/2006/relationships/image" Target="../media/image26.jpeg"/><Relationship Id="rId25" Type="http://schemas.openxmlformats.org/officeDocument/2006/relationships/image" Target="../media/image34.jpeg"/><Relationship Id="rId33" Type="http://schemas.openxmlformats.org/officeDocument/2006/relationships/image" Target="../media/image42.jpeg"/><Relationship Id="rId38" Type="http://schemas.openxmlformats.org/officeDocument/2006/relationships/image" Target="../media/image47.jpeg"/><Relationship Id="rId46" Type="http://schemas.openxmlformats.org/officeDocument/2006/relationships/image" Target="../media/image55.jpeg"/><Relationship Id="rId2" Type="http://schemas.openxmlformats.org/officeDocument/2006/relationships/image" Target="../media/image3.jpeg"/><Relationship Id="rId16" Type="http://schemas.openxmlformats.org/officeDocument/2006/relationships/image" Target="../media/image25.jpeg"/><Relationship Id="rId20" Type="http://schemas.openxmlformats.org/officeDocument/2006/relationships/image" Target="../media/image29.jpeg"/><Relationship Id="rId29" Type="http://schemas.openxmlformats.org/officeDocument/2006/relationships/image" Target="../media/image38.jpeg"/><Relationship Id="rId41" Type="http://schemas.openxmlformats.org/officeDocument/2006/relationships/image" Target="../media/image50.jpeg"/><Relationship Id="rId1" Type="http://schemas.openxmlformats.org/officeDocument/2006/relationships/image" Target="../media/image1.jpeg"/><Relationship Id="rId6" Type="http://schemas.openxmlformats.org/officeDocument/2006/relationships/image" Target="../media/image8.jpeg"/><Relationship Id="rId11" Type="http://schemas.openxmlformats.org/officeDocument/2006/relationships/image" Target="../media/image14.jpeg"/><Relationship Id="rId24" Type="http://schemas.openxmlformats.org/officeDocument/2006/relationships/image" Target="../media/image33.jpeg"/><Relationship Id="rId32" Type="http://schemas.openxmlformats.org/officeDocument/2006/relationships/image" Target="../media/image41.jpeg"/><Relationship Id="rId37" Type="http://schemas.openxmlformats.org/officeDocument/2006/relationships/image" Target="../media/image46.jpeg"/><Relationship Id="rId40" Type="http://schemas.openxmlformats.org/officeDocument/2006/relationships/image" Target="../media/image49.jpeg"/><Relationship Id="rId45" Type="http://schemas.openxmlformats.org/officeDocument/2006/relationships/image" Target="../media/image54.jpeg"/><Relationship Id="rId5" Type="http://schemas.openxmlformats.org/officeDocument/2006/relationships/image" Target="../media/image7.jpeg"/><Relationship Id="rId15" Type="http://schemas.openxmlformats.org/officeDocument/2006/relationships/image" Target="../media/image21.jpeg"/><Relationship Id="rId23" Type="http://schemas.openxmlformats.org/officeDocument/2006/relationships/image" Target="../media/image32.jpeg"/><Relationship Id="rId28" Type="http://schemas.openxmlformats.org/officeDocument/2006/relationships/image" Target="../media/image37.jpeg"/><Relationship Id="rId36" Type="http://schemas.openxmlformats.org/officeDocument/2006/relationships/image" Target="../media/image45.jpeg"/><Relationship Id="rId10" Type="http://schemas.openxmlformats.org/officeDocument/2006/relationships/image" Target="../media/image13.jpeg"/><Relationship Id="rId19" Type="http://schemas.openxmlformats.org/officeDocument/2006/relationships/image" Target="../media/image28.jpeg"/><Relationship Id="rId31" Type="http://schemas.openxmlformats.org/officeDocument/2006/relationships/image" Target="../media/image40.jpeg"/><Relationship Id="rId44" Type="http://schemas.openxmlformats.org/officeDocument/2006/relationships/image" Target="../media/image53.jpeg"/><Relationship Id="rId4" Type="http://schemas.openxmlformats.org/officeDocument/2006/relationships/image" Target="../media/image6.jpeg"/><Relationship Id="rId9" Type="http://schemas.openxmlformats.org/officeDocument/2006/relationships/image" Target="../media/image12.jpeg"/><Relationship Id="rId14" Type="http://schemas.openxmlformats.org/officeDocument/2006/relationships/image" Target="../media/image24.jpeg"/><Relationship Id="rId22" Type="http://schemas.openxmlformats.org/officeDocument/2006/relationships/image" Target="../media/image31.jpeg"/><Relationship Id="rId27" Type="http://schemas.openxmlformats.org/officeDocument/2006/relationships/image" Target="../media/image36.jpeg"/><Relationship Id="rId30" Type="http://schemas.openxmlformats.org/officeDocument/2006/relationships/image" Target="../media/image39.jpeg"/><Relationship Id="rId35" Type="http://schemas.openxmlformats.org/officeDocument/2006/relationships/image" Target="../media/image44.jpeg"/><Relationship Id="rId43" Type="http://schemas.openxmlformats.org/officeDocument/2006/relationships/image" Target="../media/image52.jpeg"/><Relationship Id="rId48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6.jpeg"/><Relationship Id="rId18" Type="http://schemas.openxmlformats.org/officeDocument/2006/relationships/image" Target="../media/image21.jpeg"/><Relationship Id="rId26" Type="http://schemas.openxmlformats.org/officeDocument/2006/relationships/image" Target="../media/image32.jpeg"/><Relationship Id="rId3" Type="http://schemas.openxmlformats.org/officeDocument/2006/relationships/image" Target="../media/image4.jpeg"/><Relationship Id="rId21" Type="http://schemas.openxmlformats.org/officeDocument/2006/relationships/image" Target="../media/image27.jpeg"/><Relationship Id="rId34" Type="http://schemas.openxmlformats.org/officeDocument/2006/relationships/image" Target="../media/image55.jpeg"/><Relationship Id="rId7" Type="http://schemas.openxmlformats.org/officeDocument/2006/relationships/image" Target="../media/image8.jpeg"/><Relationship Id="rId12" Type="http://schemas.openxmlformats.org/officeDocument/2006/relationships/image" Target="../media/image14.jpeg"/><Relationship Id="rId17" Type="http://schemas.openxmlformats.org/officeDocument/2006/relationships/image" Target="../media/image20.jpeg"/><Relationship Id="rId25" Type="http://schemas.openxmlformats.org/officeDocument/2006/relationships/image" Target="../media/image31.jpeg"/><Relationship Id="rId33" Type="http://schemas.openxmlformats.org/officeDocument/2006/relationships/image" Target="../media/image53.jpeg"/><Relationship Id="rId2" Type="http://schemas.openxmlformats.org/officeDocument/2006/relationships/image" Target="../media/image3.jpeg"/><Relationship Id="rId16" Type="http://schemas.openxmlformats.org/officeDocument/2006/relationships/image" Target="../media/image19.jpeg"/><Relationship Id="rId20" Type="http://schemas.openxmlformats.org/officeDocument/2006/relationships/image" Target="../media/image28.jpeg"/><Relationship Id="rId29" Type="http://schemas.openxmlformats.org/officeDocument/2006/relationships/image" Target="../media/image35.jpeg"/><Relationship Id="rId1" Type="http://schemas.openxmlformats.org/officeDocument/2006/relationships/image" Target="../media/image1.jpeg"/><Relationship Id="rId6" Type="http://schemas.openxmlformats.org/officeDocument/2006/relationships/image" Target="../media/image7.jpeg"/><Relationship Id="rId11" Type="http://schemas.openxmlformats.org/officeDocument/2006/relationships/image" Target="../media/image13.jpeg"/><Relationship Id="rId24" Type="http://schemas.openxmlformats.org/officeDocument/2006/relationships/image" Target="../media/image30.jpeg"/><Relationship Id="rId32" Type="http://schemas.openxmlformats.org/officeDocument/2006/relationships/image" Target="../media/image38.jpeg"/><Relationship Id="rId5" Type="http://schemas.openxmlformats.org/officeDocument/2006/relationships/image" Target="../media/image6.jpeg"/><Relationship Id="rId15" Type="http://schemas.openxmlformats.org/officeDocument/2006/relationships/image" Target="../media/image18.jpeg"/><Relationship Id="rId23" Type="http://schemas.openxmlformats.org/officeDocument/2006/relationships/image" Target="../media/image43.jpeg"/><Relationship Id="rId28" Type="http://schemas.openxmlformats.org/officeDocument/2006/relationships/image" Target="../media/image58.jpeg"/><Relationship Id="rId10" Type="http://schemas.openxmlformats.org/officeDocument/2006/relationships/image" Target="../media/image12.jpeg"/><Relationship Id="rId19" Type="http://schemas.openxmlformats.org/officeDocument/2006/relationships/image" Target="../media/image25.jpeg"/><Relationship Id="rId31" Type="http://schemas.openxmlformats.org/officeDocument/2006/relationships/image" Target="../media/image37.jpeg"/><Relationship Id="rId4" Type="http://schemas.openxmlformats.org/officeDocument/2006/relationships/image" Target="../media/image5.jpeg"/><Relationship Id="rId9" Type="http://schemas.openxmlformats.org/officeDocument/2006/relationships/image" Target="../media/image11.jpeg"/><Relationship Id="rId14" Type="http://schemas.openxmlformats.org/officeDocument/2006/relationships/image" Target="../media/image17.jpeg"/><Relationship Id="rId22" Type="http://schemas.openxmlformats.org/officeDocument/2006/relationships/image" Target="../media/image29.jpeg"/><Relationship Id="rId27" Type="http://schemas.openxmlformats.org/officeDocument/2006/relationships/image" Target="../media/image33.jpeg"/><Relationship Id="rId30" Type="http://schemas.openxmlformats.org/officeDocument/2006/relationships/image" Target="../media/image36.jpeg"/><Relationship Id="rId35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7</xdr:row>
      <xdr:rowOff>51352</xdr:rowOff>
    </xdr:from>
    <xdr:to>
      <xdr:col>1</xdr:col>
      <xdr:colOff>1524024</xdr:colOff>
      <xdr:row>7</xdr:row>
      <xdr:rowOff>1029760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163A0A-1C9F-4923-87ED-555493C51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2698" y="5080552"/>
          <a:ext cx="1466874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8</xdr:row>
      <xdr:rowOff>64604</xdr:rowOff>
    </xdr:from>
    <xdr:to>
      <xdr:col>1</xdr:col>
      <xdr:colOff>1524762</xdr:colOff>
      <xdr:row>8</xdr:row>
      <xdr:rowOff>1043012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B7D666B-63E5-4ED3-914D-9EC7B2608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2698" y="6206987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9</xdr:row>
      <xdr:rowOff>57150</xdr:rowOff>
    </xdr:from>
    <xdr:to>
      <xdr:col>1</xdr:col>
      <xdr:colOff>1543812</xdr:colOff>
      <xdr:row>9</xdr:row>
      <xdr:rowOff>1041001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9FC85CD-8A97-44FB-A9AC-146C3349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0" y="7143750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10</xdr:row>
      <xdr:rowOff>57150</xdr:rowOff>
    </xdr:from>
    <xdr:to>
      <xdr:col>1</xdr:col>
      <xdr:colOff>1555734</xdr:colOff>
      <xdr:row>10</xdr:row>
      <xdr:rowOff>1041001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F43F1F1-437F-4ADE-9D39-2760F79C8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1" y="8172450"/>
          <a:ext cx="1498583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11</xdr:row>
      <xdr:rowOff>96079</xdr:rowOff>
    </xdr:from>
    <xdr:to>
      <xdr:col>1</xdr:col>
      <xdr:colOff>1558291</xdr:colOff>
      <xdr:row>11</xdr:row>
      <xdr:rowOff>1004126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FF1D5286-8F38-4518-8918-240A9F0FD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0799" y="9578009"/>
          <a:ext cx="1463040" cy="908047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12</xdr:row>
      <xdr:rowOff>64604</xdr:rowOff>
    </xdr:from>
    <xdr:to>
      <xdr:col>1</xdr:col>
      <xdr:colOff>1543812</xdr:colOff>
      <xdr:row>12</xdr:row>
      <xdr:rowOff>1043012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6CF1376-CBF3-4E2D-BFF2-719290E1A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1748" y="10659717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13</xdr:row>
      <xdr:rowOff>67090</xdr:rowOff>
    </xdr:from>
    <xdr:to>
      <xdr:col>1</xdr:col>
      <xdr:colOff>1522798</xdr:colOff>
      <xdr:row>13</xdr:row>
      <xdr:rowOff>1048337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23C3B88-A88F-4C73-98C3-76DFE5234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1" y="11725690"/>
          <a:ext cx="1465647" cy="981247"/>
        </a:xfrm>
        <a:prstGeom prst="rect">
          <a:avLst/>
        </a:prstGeom>
      </xdr:spPr>
    </xdr:pic>
    <xdr:clientData/>
  </xdr:twoCellAnchor>
  <xdr:twoCellAnchor editAs="oneCell">
    <xdr:from>
      <xdr:col>1</xdr:col>
      <xdr:colOff>69574</xdr:colOff>
      <xdr:row>14</xdr:row>
      <xdr:rowOff>74544</xdr:rowOff>
    </xdr:from>
    <xdr:to>
      <xdr:col>1</xdr:col>
      <xdr:colOff>1537186</xdr:colOff>
      <xdr:row>14</xdr:row>
      <xdr:rowOff>1052952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B771630B-0516-4D28-911A-E70954D7A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122" y="12896022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71230</xdr:colOff>
      <xdr:row>15</xdr:row>
      <xdr:rowOff>72888</xdr:rowOff>
    </xdr:from>
    <xdr:to>
      <xdr:col>1</xdr:col>
      <xdr:colOff>1538842</xdr:colOff>
      <xdr:row>15</xdr:row>
      <xdr:rowOff>1054135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52983CA-99F5-4EDA-832A-E3103547E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6778" y="14007549"/>
          <a:ext cx="1467612" cy="981247"/>
        </a:xfrm>
        <a:prstGeom prst="rect">
          <a:avLst/>
        </a:prstGeom>
      </xdr:spPr>
    </xdr:pic>
    <xdr:clientData/>
  </xdr:twoCellAnchor>
  <xdr:twoCellAnchor editAs="oneCell">
    <xdr:from>
      <xdr:col>1</xdr:col>
      <xdr:colOff>87797</xdr:colOff>
      <xdr:row>16</xdr:row>
      <xdr:rowOff>73716</xdr:rowOff>
    </xdr:from>
    <xdr:to>
      <xdr:col>1</xdr:col>
      <xdr:colOff>1521398</xdr:colOff>
      <xdr:row>16</xdr:row>
      <xdr:rowOff>1054964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77B4416F-66CF-4ED8-B94E-3239D01B7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3345" y="15121559"/>
          <a:ext cx="1433601" cy="98124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17</xdr:row>
      <xdr:rowOff>67090</xdr:rowOff>
    </xdr:from>
    <xdr:to>
      <xdr:col>1</xdr:col>
      <xdr:colOff>1549310</xdr:colOff>
      <xdr:row>17</xdr:row>
      <xdr:rowOff>1048338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2248DF72-9141-49E7-8BBF-4BD57AD3D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1749" y="16228116"/>
          <a:ext cx="1473109" cy="981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81999</xdr:colOff>
      <xdr:row>18</xdr:row>
      <xdr:rowOff>58806</xdr:rowOff>
    </xdr:from>
    <xdr:to>
      <xdr:col>1</xdr:col>
      <xdr:colOff>1555108</xdr:colOff>
      <xdr:row>18</xdr:row>
      <xdr:rowOff>1037214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467924-08D3-4ABC-9E9E-DE415C500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7547" y="17333015"/>
          <a:ext cx="1473109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19</xdr:row>
      <xdr:rowOff>64604</xdr:rowOff>
    </xdr:from>
    <xdr:to>
      <xdr:col>1</xdr:col>
      <xdr:colOff>1499914</xdr:colOff>
      <xdr:row>19</xdr:row>
      <xdr:rowOff>1043012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3D9769D-E79B-439A-894D-6EEF5DE75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0798" y="18451995"/>
          <a:ext cx="1404664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20</xdr:row>
      <xdr:rowOff>72058</xdr:rowOff>
    </xdr:from>
    <xdr:to>
      <xdr:col>1</xdr:col>
      <xdr:colOff>1524762</xdr:colOff>
      <xdr:row>20</xdr:row>
      <xdr:rowOff>1050466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982AE9D-EADD-43B1-ABFA-4B7ACC3AA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2698" y="19572632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21</xdr:row>
      <xdr:rowOff>71230</xdr:rowOff>
    </xdr:from>
    <xdr:to>
      <xdr:col>1</xdr:col>
      <xdr:colOff>1459406</xdr:colOff>
      <xdr:row>21</xdr:row>
      <xdr:rowOff>1049638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674DD62-E111-4A85-BF2C-81CCD7083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8898" y="20684987"/>
          <a:ext cx="1326056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22</xdr:row>
      <xdr:rowOff>63776</xdr:rowOff>
    </xdr:from>
    <xdr:to>
      <xdr:col>1</xdr:col>
      <xdr:colOff>1534216</xdr:colOff>
      <xdr:row>22</xdr:row>
      <xdr:rowOff>1047627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1DDE62F-AB7F-43E7-BBAB-984C8ECD7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2699" y="21790715"/>
          <a:ext cx="1477065" cy="98385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23</xdr:row>
      <xdr:rowOff>167308</xdr:rowOff>
    </xdr:from>
    <xdr:to>
      <xdr:col>1</xdr:col>
      <xdr:colOff>1539241</xdr:colOff>
      <xdr:row>23</xdr:row>
      <xdr:rowOff>965292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64D0CDC-B19C-49B3-9ED3-88454E951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1749" y="23007430"/>
          <a:ext cx="1463040" cy="79798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24</xdr:row>
      <xdr:rowOff>64604</xdr:rowOff>
    </xdr:from>
    <xdr:to>
      <xdr:col>1</xdr:col>
      <xdr:colOff>1524762</xdr:colOff>
      <xdr:row>24</xdr:row>
      <xdr:rowOff>1043012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4329A6E-F5CB-4AC2-BA47-D39642AD0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2698" y="24017908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25</xdr:row>
      <xdr:rowOff>57150</xdr:rowOff>
    </xdr:from>
    <xdr:to>
      <xdr:col>1</xdr:col>
      <xdr:colOff>1543812</xdr:colOff>
      <xdr:row>25</xdr:row>
      <xdr:rowOff>1041001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3AAC764-8075-49D6-B9BE-73A5EDDAC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0" y="24460200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26</xdr:row>
      <xdr:rowOff>70402</xdr:rowOff>
    </xdr:from>
    <xdr:to>
      <xdr:col>1</xdr:col>
      <xdr:colOff>1553404</xdr:colOff>
      <xdr:row>26</xdr:row>
      <xdr:rowOff>1054253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57C5763D-6B66-482D-9542-5A6583E5A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1748" y="26250072"/>
          <a:ext cx="1477204" cy="983851"/>
        </a:xfrm>
        <a:prstGeom prst="rect">
          <a:avLst/>
        </a:prstGeom>
      </xdr:spPr>
    </xdr:pic>
    <xdr:clientData/>
  </xdr:twoCellAnchor>
  <xdr:twoCellAnchor editAs="oneCell">
    <xdr:from>
      <xdr:col>1</xdr:col>
      <xdr:colOff>89453</xdr:colOff>
      <xdr:row>27</xdr:row>
      <xdr:rowOff>71230</xdr:rowOff>
    </xdr:from>
    <xdr:to>
      <xdr:col>1</xdr:col>
      <xdr:colOff>1556876</xdr:colOff>
      <xdr:row>27</xdr:row>
      <xdr:rowOff>1049638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2971A094-2980-4A7E-87C0-1855FF4E6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1" y="27364082"/>
          <a:ext cx="1467423" cy="9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29</xdr:row>
      <xdr:rowOff>95250</xdr:rowOff>
    </xdr:from>
    <xdr:to>
      <xdr:col>0</xdr:col>
      <xdr:colOff>1162050</xdr:colOff>
      <xdr:row>29</xdr:row>
      <xdr:rowOff>857250</xdr:rowOff>
    </xdr:to>
    <xdr:pic>
      <xdr:nvPicPr>
        <xdr:cNvPr id="28" name="Picture 27" descr="A picture containing text, orange&#10;&#10;Description automatically generated">
          <a:extLst>
            <a:ext uri="{FF2B5EF4-FFF2-40B4-BE49-F238E27FC236}">
              <a16:creationId xmlns:a16="http://schemas.microsoft.com/office/drawing/2014/main" id="{AF386788-4610-47F3-A870-8CAEC32ACE17}"/>
            </a:ext>
          </a:extLst>
        </xdr:cNvPr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7584400"/>
          <a:ext cx="1066800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77320</xdr:colOff>
      <xdr:row>7</xdr:row>
      <xdr:rowOff>75305</xdr:rowOff>
    </xdr:from>
    <xdr:to>
      <xdr:col>1</xdr:col>
      <xdr:colOff>1544194</xdr:colOff>
      <xdr:row>7</xdr:row>
      <xdr:rowOff>1053713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9D36E46-E5F7-44B2-82A5-2FB7F9F30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1520" y="4753985"/>
          <a:ext cx="1466874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9</xdr:row>
      <xdr:rowOff>67235</xdr:rowOff>
    </xdr:from>
    <xdr:to>
      <xdr:col>1</xdr:col>
      <xdr:colOff>1543812</xdr:colOff>
      <xdr:row>9</xdr:row>
      <xdr:rowOff>1045643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3A3C585C-1259-4BC4-8BA7-152C2C30F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4882" y="5858435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11</xdr:row>
      <xdr:rowOff>97490</xdr:rowOff>
    </xdr:from>
    <xdr:to>
      <xdr:col>1</xdr:col>
      <xdr:colOff>1539240</xdr:colOff>
      <xdr:row>11</xdr:row>
      <xdr:rowOff>1005537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AF54B5EF-3ADA-4BEE-8091-6B94643C1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4882" y="8111937"/>
          <a:ext cx="1463040" cy="908047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16</xdr:row>
      <xdr:rowOff>67235</xdr:rowOff>
    </xdr:from>
    <xdr:to>
      <xdr:col>1</xdr:col>
      <xdr:colOff>1581912</xdr:colOff>
      <xdr:row>16</xdr:row>
      <xdr:rowOff>1045643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F30B0C71-963E-40C1-84EC-75068059F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2982" y="13639800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118110</xdr:colOff>
      <xdr:row>24</xdr:row>
      <xdr:rowOff>80010</xdr:rowOff>
    </xdr:from>
    <xdr:to>
      <xdr:col>1</xdr:col>
      <xdr:colOff>1583757</xdr:colOff>
      <xdr:row>24</xdr:row>
      <xdr:rowOff>1066038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70992D2D-6E62-4646-B15C-47B314B8B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2310" y="20333970"/>
          <a:ext cx="1465647" cy="98602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28</xdr:row>
      <xdr:rowOff>76200</xdr:rowOff>
    </xdr:from>
    <xdr:to>
      <xdr:col>1</xdr:col>
      <xdr:colOff>1543812</xdr:colOff>
      <xdr:row>28</xdr:row>
      <xdr:rowOff>1054608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D57CD788-9EDD-4BD7-90BD-880FA8DB0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25050750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85165</xdr:colOff>
      <xdr:row>30</xdr:row>
      <xdr:rowOff>69475</xdr:rowOff>
    </xdr:from>
    <xdr:to>
      <xdr:col>1</xdr:col>
      <xdr:colOff>1552777</xdr:colOff>
      <xdr:row>30</xdr:row>
      <xdr:rowOff>1047883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269B3C61-DF12-406D-A503-5C88288DA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3847" y="27393899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32</xdr:row>
      <xdr:rowOff>67235</xdr:rowOff>
    </xdr:from>
    <xdr:to>
      <xdr:col>1</xdr:col>
      <xdr:colOff>1547901</xdr:colOff>
      <xdr:row>32</xdr:row>
      <xdr:rowOff>1045643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5FD335C5-4B23-4233-B9C6-CE239D775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2982" y="29614906"/>
          <a:ext cx="1433601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86285</xdr:colOff>
      <xdr:row>35</xdr:row>
      <xdr:rowOff>68580</xdr:rowOff>
    </xdr:from>
    <xdr:to>
      <xdr:col>1</xdr:col>
      <xdr:colOff>1559394</xdr:colOff>
      <xdr:row>35</xdr:row>
      <xdr:rowOff>1046988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D7DD811F-E914-48C1-B9BE-8B32C303C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0485" y="32560260"/>
          <a:ext cx="1473109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103095</xdr:colOff>
      <xdr:row>36</xdr:row>
      <xdr:rowOff>67235</xdr:rowOff>
    </xdr:from>
    <xdr:to>
      <xdr:col>1</xdr:col>
      <xdr:colOff>1507759</xdr:colOff>
      <xdr:row>36</xdr:row>
      <xdr:rowOff>1045643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7B364C5B-5A18-498F-A131-A2912433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1777" y="33980717"/>
          <a:ext cx="1404664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47065</xdr:colOff>
      <xdr:row>37</xdr:row>
      <xdr:rowOff>72390</xdr:rowOff>
    </xdr:from>
    <xdr:to>
      <xdr:col>1</xdr:col>
      <xdr:colOff>1514677</xdr:colOff>
      <xdr:row>37</xdr:row>
      <xdr:rowOff>1050798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4A25E6FB-CD85-4B14-97F6-8384BFFC3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265" y="34789110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39</xdr:row>
      <xdr:rowOff>83820</xdr:rowOff>
    </xdr:from>
    <xdr:to>
      <xdr:col>1</xdr:col>
      <xdr:colOff>1572315</xdr:colOff>
      <xdr:row>39</xdr:row>
      <xdr:rowOff>1062228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E53DCC2B-D426-425A-A7A0-E037E6DE1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37025580"/>
          <a:ext cx="1477065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40</xdr:row>
      <xdr:rowOff>162485</xdr:rowOff>
    </xdr:from>
    <xdr:to>
      <xdr:col>1</xdr:col>
      <xdr:colOff>1539240</xdr:colOff>
      <xdr:row>40</xdr:row>
      <xdr:rowOff>960469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E3F063FD-0A82-4D57-913D-894A07C8F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4882" y="38522461"/>
          <a:ext cx="1463040" cy="79798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46</xdr:row>
      <xdr:rowOff>75975</xdr:rowOff>
    </xdr:from>
    <xdr:to>
      <xdr:col>1</xdr:col>
      <xdr:colOff>1562862</xdr:colOff>
      <xdr:row>46</xdr:row>
      <xdr:rowOff>1054383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46DE075D-3DD8-4CA1-8472-266E55FF1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44805375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</xdr:row>
      <xdr:rowOff>73735</xdr:rowOff>
    </xdr:from>
    <xdr:to>
      <xdr:col>1</xdr:col>
      <xdr:colOff>1524573</xdr:colOff>
      <xdr:row>50</xdr:row>
      <xdr:rowOff>1052143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67C7E19B-6662-4ECE-BADD-866C62F84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49253215"/>
          <a:ext cx="1467423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105335</xdr:colOff>
      <xdr:row>13</xdr:row>
      <xdr:rowOff>76200</xdr:rowOff>
    </xdr:from>
    <xdr:to>
      <xdr:col>1</xdr:col>
      <xdr:colOff>1578715</xdr:colOff>
      <xdr:row>13</xdr:row>
      <xdr:rowOff>1054608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423FEBA-D7F3-4E95-BB3E-B1FCA37ED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4017" y="10313894"/>
          <a:ext cx="1473380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87405</xdr:colOff>
      <xdr:row>12</xdr:row>
      <xdr:rowOff>75080</xdr:rowOff>
    </xdr:from>
    <xdr:to>
      <xdr:col>1</xdr:col>
      <xdr:colOff>1555147</xdr:colOff>
      <xdr:row>12</xdr:row>
      <xdr:rowOff>1053488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7154B95-CEFA-4B05-9D4B-3AFE78335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6087" y="9201151"/>
          <a:ext cx="146774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115420</xdr:colOff>
      <xdr:row>18</xdr:row>
      <xdr:rowOff>86285</xdr:rowOff>
    </xdr:from>
    <xdr:to>
      <xdr:col>1</xdr:col>
      <xdr:colOff>1578460</xdr:colOff>
      <xdr:row>18</xdr:row>
      <xdr:rowOff>1028306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59E6430D-0AF5-4D59-B654-72284A2F9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4102" y="15882097"/>
          <a:ext cx="1463040" cy="94202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19</xdr:row>
      <xdr:rowOff>63425</xdr:rowOff>
    </xdr:from>
    <xdr:to>
      <xdr:col>1</xdr:col>
      <xdr:colOff>1572678</xdr:colOff>
      <xdr:row>19</xdr:row>
      <xdr:rowOff>1041833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E4E4E408-69DD-4F82-8061-FDC468D6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2032" y="16970860"/>
          <a:ext cx="1439328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96370</xdr:colOff>
      <xdr:row>22</xdr:row>
      <xdr:rowOff>66115</xdr:rowOff>
    </xdr:from>
    <xdr:to>
      <xdr:col>1</xdr:col>
      <xdr:colOff>1597236</xdr:colOff>
      <xdr:row>22</xdr:row>
      <xdr:rowOff>1044523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32015395-A4EF-48B1-9DB6-405C3EFF4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5052" y="18085174"/>
          <a:ext cx="1500866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86285</xdr:colOff>
      <xdr:row>26</xdr:row>
      <xdr:rowOff>66115</xdr:rowOff>
    </xdr:from>
    <xdr:to>
      <xdr:col>1</xdr:col>
      <xdr:colOff>1551948</xdr:colOff>
      <xdr:row>26</xdr:row>
      <xdr:rowOff>1044523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E019EECD-8D3B-4786-9A4A-59D533052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4967" y="22944044"/>
          <a:ext cx="1465663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27</xdr:row>
      <xdr:rowOff>67235</xdr:rowOff>
    </xdr:from>
    <xdr:to>
      <xdr:col>1</xdr:col>
      <xdr:colOff>1579240</xdr:colOff>
      <xdr:row>27</xdr:row>
      <xdr:rowOff>1054549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A107CBFC-1305-45A8-9EAD-03FCB7944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5362" y="24056788"/>
          <a:ext cx="1472560" cy="987314"/>
        </a:xfrm>
        <a:prstGeom prst="rect">
          <a:avLst/>
        </a:prstGeom>
      </xdr:spPr>
    </xdr:pic>
    <xdr:clientData/>
  </xdr:twoCellAnchor>
  <xdr:twoCellAnchor editAs="oneCell">
    <xdr:from>
      <xdr:col>1</xdr:col>
      <xdr:colOff>158932</xdr:colOff>
      <xdr:row>29</xdr:row>
      <xdr:rowOff>76200</xdr:rowOff>
    </xdr:from>
    <xdr:to>
      <xdr:col>1</xdr:col>
      <xdr:colOff>1463476</xdr:colOff>
      <xdr:row>29</xdr:row>
      <xdr:rowOff>1054608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231328A2-72EA-4E69-935D-D0E1D15CF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3132" y="25892760"/>
          <a:ext cx="1304544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85165</xdr:colOff>
      <xdr:row>31</xdr:row>
      <xdr:rowOff>72359</xdr:rowOff>
    </xdr:from>
    <xdr:to>
      <xdr:col>1</xdr:col>
      <xdr:colOff>1550828</xdr:colOff>
      <xdr:row>31</xdr:row>
      <xdr:rowOff>1050767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8F2ACF10-2780-4F93-9DE5-3D653AA8A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3847" y="28508406"/>
          <a:ext cx="1465663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87085</xdr:colOff>
      <xdr:row>33</xdr:row>
      <xdr:rowOff>76200</xdr:rowOff>
    </xdr:from>
    <xdr:to>
      <xdr:col>1</xdr:col>
      <xdr:colOff>1554844</xdr:colOff>
      <xdr:row>33</xdr:row>
      <xdr:rowOff>1054608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8743E1B4-43A3-4AFC-9133-2F218D855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1285" y="30708600"/>
          <a:ext cx="1467759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69577</xdr:colOff>
      <xdr:row>38</xdr:row>
      <xdr:rowOff>78379</xdr:rowOff>
    </xdr:from>
    <xdr:to>
      <xdr:col>1</xdr:col>
      <xdr:colOff>1537189</xdr:colOff>
      <xdr:row>38</xdr:row>
      <xdr:rowOff>1054808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AF46A5D8-8E91-4E90-BC83-F41A58CDF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777" y="35907619"/>
          <a:ext cx="1467612" cy="976429"/>
        </a:xfrm>
        <a:prstGeom prst="rect">
          <a:avLst/>
        </a:prstGeom>
      </xdr:spPr>
    </xdr:pic>
    <xdr:clientData/>
  </xdr:twoCellAnchor>
  <xdr:twoCellAnchor editAs="oneCell">
    <xdr:from>
      <xdr:col>1</xdr:col>
      <xdr:colOff>83128</xdr:colOff>
      <xdr:row>43</xdr:row>
      <xdr:rowOff>74162</xdr:rowOff>
    </xdr:from>
    <xdr:to>
      <xdr:col>1</xdr:col>
      <xdr:colOff>1549147</xdr:colOff>
      <xdr:row>43</xdr:row>
      <xdr:rowOff>1052570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5BA84C91-5DB7-4934-B6AB-CB24E2ACE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1810" y="41769009"/>
          <a:ext cx="1466019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96982</xdr:colOff>
      <xdr:row>48</xdr:row>
      <xdr:rowOff>105947</xdr:rowOff>
    </xdr:from>
    <xdr:to>
      <xdr:col>1</xdr:col>
      <xdr:colOff>1569166</xdr:colOff>
      <xdr:row>48</xdr:row>
      <xdr:rowOff>1014009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D5117E68-1654-4012-9823-5CBBA30B4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5664" y="47358912"/>
          <a:ext cx="1472184" cy="908062"/>
        </a:xfrm>
        <a:prstGeom prst="rect">
          <a:avLst/>
        </a:prstGeom>
      </xdr:spPr>
    </xdr:pic>
    <xdr:clientData/>
  </xdr:twoCellAnchor>
  <xdr:twoCellAnchor editAs="oneCell">
    <xdr:from>
      <xdr:col>1</xdr:col>
      <xdr:colOff>83127</xdr:colOff>
      <xdr:row>52</xdr:row>
      <xdr:rowOff>89322</xdr:rowOff>
    </xdr:from>
    <xdr:to>
      <xdr:col>1</xdr:col>
      <xdr:colOff>1550739</xdr:colOff>
      <xdr:row>52</xdr:row>
      <xdr:rowOff>1067730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21712FBE-45BE-4562-B03C-F4522F337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7327" y="50381322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69273</xdr:colOff>
      <xdr:row>10</xdr:row>
      <xdr:rowOff>66012</xdr:rowOff>
    </xdr:from>
    <xdr:to>
      <xdr:col>1</xdr:col>
      <xdr:colOff>1536885</xdr:colOff>
      <xdr:row>10</xdr:row>
      <xdr:rowOff>1044420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58D580E-CB24-4E2F-86A8-3AF835A73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7955" y="6968836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96981</xdr:colOff>
      <xdr:row>14</xdr:row>
      <xdr:rowOff>74162</xdr:rowOff>
    </xdr:from>
    <xdr:to>
      <xdr:col>1</xdr:col>
      <xdr:colOff>1564593</xdr:colOff>
      <xdr:row>14</xdr:row>
      <xdr:rowOff>1052570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BDC05BE-D079-44DF-B4BA-CE60E7B1A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5663" y="11423480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83127</xdr:colOff>
      <xdr:row>15</xdr:row>
      <xdr:rowOff>69273</xdr:rowOff>
    </xdr:from>
    <xdr:to>
      <xdr:col>1</xdr:col>
      <xdr:colOff>1550739</xdr:colOff>
      <xdr:row>15</xdr:row>
      <xdr:rowOff>1047681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0161EBF-10E9-48B7-AA61-C79A82D1C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4254" y="12496800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110836</xdr:colOff>
      <xdr:row>17</xdr:row>
      <xdr:rowOff>68459</xdr:rowOff>
    </xdr:from>
    <xdr:to>
      <xdr:col>1</xdr:col>
      <xdr:colOff>1578655</xdr:colOff>
      <xdr:row>17</xdr:row>
      <xdr:rowOff>1046867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4645379B-B31D-4D36-8F7A-36E56522D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9518" y="14752647"/>
          <a:ext cx="1467819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106761</xdr:colOff>
      <xdr:row>23</xdr:row>
      <xdr:rowOff>64383</xdr:rowOff>
    </xdr:from>
    <xdr:to>
      <xdr:col>1</xdr:col>
      <xdr:colOff>1574440</xdr:colOff>
      <xdr:row>23</xdr:row>
      <xdr:rowOff>1045992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6557EA2A-5D4E-4736-954D-4A27EB4A3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5443" y="19195065"/>
          <a:ext cx="1467679" cy="981609"/>
        </a:xfrm>
        <a:prstGeom prst="rect">
          <a:avLst/>
        </a:prstGeom>
      </xdr:spPr>
    </xdr:pic>
    <xdr:clientData/>
  </xdr:twoCellAnchor>
  <xdr:twoCellAnchor editAs="oneCell">
    <xdr:from>
      <xdr:col>1</xdr:col>
      <xdr:colOff>110877</xdr:colOff>
      <xdr:row>25</xdr:row>
      <xdr:rowOff>62305</xdr:rowOff>
    </xdr:from>
    <xdr:to>
      <xdr:col>1</xdr:col>
      <xdr:colOff>1578307</xdr:colOff>
      <xdr:row>25</xdr:row>
      <xdr:rowOff>1048333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AAB76D5-0379-45FC-A256-C804AFD95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5077" y="21428785"/>
          <a:ext cx="1467430" cy="986028"/>
        </a:xfrm>
        <a:prstGeom prst="rect">
          <a:avLst/>
        </a:prstGeom>
      </xdr:spPr>
    </xdr:pic>
    <xdr:clientData/>
  </xdr:twoCellAnchor>
  <xdr:twoCellAnchor editAs="oneCell">
    <xdr:from>
      <xdr:col>1</xdr:col>
      <xdr:colOff>83128</xdr:colOff>
      <xdr:row>34</xdr:row>
      <xdr:rowOff>74164</xdr:rowOff>
    </xdr:from>
    <xdr:to>
      <xdr:col>1</xdr:col>
      <xdr:colOff>1550740</xdr:colOff>
      <xdr:row>34</xdr:row>
      <xdr:rowOff>1052572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E8C4D58F-AE96-4FCF-A5BF-B02CAB3D5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1810" y="31845082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127951</xdr:colOff>
      <xdr:row>41</xdr:row>
      <xdr:rowOff>62221</xdr:rowOff>
    </xdr:from>
    <xdr:to>
      <xdr:col>1</xdr:col>
      <xdr:colOff>1464529</xdr:colOff>
      <xdr:row>41</xdr:row>
      <xdr:rowOff>1068061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D3C0F6E2-536F-4363-BEBA-58B9AB423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2151" y="39229021"/>
          <a:ext cx="1336578" cy="1005840"/>
        </a:xfrm>
        <a:prstGeom prst="rect">
          <a:avLst/>
        </a:prstGeom>
      </xdr:spPr>
    </xdr:pic>
    <xdr:clientData/>
  </xdr:twoCellAnchor>
  <xdr:twoCellAnchor editAs="oneCell">
    <xdr:from>
      <xdr:col>1</xdr:col>
      <xdr:colOff>83128</xdr:colOff>
      <xdr:row>42</xdr:row>
      <xdr:rowOff>70088</xdr:rowOff>
    </xdr:from>
    <xdr:to>
      <xdr:col>1</xdr:col>
      <xdr:colOff>1550740</xdr:colOff>
      <xdr:row>42</xdr:row>
      <xdr:rowOff>1048496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880243DB-142C-475F-956D-D4426713E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1810" y="40653312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96982</xdr:colOff>
      <xdr:row>44</xdr:row>
      <xdr:rowOff>69273</xdr:rowOff>
    </xdr:from>
    <xdr:to>
      <xdr:col>1</xdr:col>
      <xdr:colOff>1564594</xdr:colOff>
      <xdr:row>44</xdr:row>
      <xdr:rowOff>1047681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F6926D86-BFE0-468D-8D04-4DEF41C7B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5664" y="42875744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110835</xdr:colOff>
      <xdr:row>45</xdr:row>
      <xdr:rowOff>64385</xdr:rowOff>
    </xdr:from>
    <xdr:to>
      <xdr:col>1</xdr:col>
      <xdr:colOff>1578447</xdr:colOff>
      <xdr:row>45</xdr:row>
      <xdr:rowOff>1042793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F640CB43-5C4F-4564-8851-4A357B6E1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9517" y="43982479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96983</xdr:colOff>
      <xdr:row>47</xdr:row>
      <xdr:rowOff>95598</xdr:rowOff>
    </xdr:from>
    <xdr:to>
      <xdr:col>1</xdr:col>
      <xdr:colOff>1569167</xdr:colOff>
      <xdr:row>47</xdr:row>
      <xdr:rowOff>1015713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49030E93-A869-4949-991E-58501408D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1183" y="45937518"/>
          <a:ext cx="1472184" cy="920115"/>
        </a:xfrm>
        <a:prstGeom prst="rect">
          <a:avLst/>
        </a:prstGeom>
      </xdr:spPr>
    </xdr:pic>
    <xdr:clientData/>
  </xdr:twoCellAnchor>
  <xdr:twoCellAnchor editAs="oneCell">
    <xdr:from>
      <xdr:col>1</xdr:col>
      <xdr:colOff>83128</xdr:colOff>
      <xdr:row>49</xdr:row>
      <xdr:rowOff>67113</xdr:rowOff>
    </xdr:from>
    <xdr:to>
      <xdr:col>1</xdr:col>
      <xdr:colOff>1550740</xdr:colOff>
      <xdr:row>49</xdr:row>
      <xdr:rowOff>1045521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6C8C43BC-5771-4CCF-AB3B-9B755BFCC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7328" y="48134073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69273</xdr:colOff>
      <xdr:row>53</xdr:row>
      <xdr:rowOff>84512</xdr:rowOff>
    </xdr:from>
    <xdr:to>
      <xdr:col>1</xdr:col>
      <xdr:colOff>1535221</xdr:colOff>
      <xdr:row>53</xdr:row>
      <xdr:rowOff>1062920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6D2A97CA-4187-48C5-8DD5-D189811D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473" y="51489032"/>
          <a:ext cx="1465948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8</xdr:row>
      <xdr:rowOff>57150</xdr:rowOff>
    </xdr:from>
    <xdr:to>
      <xdr:col>1</xdr:col>
      <xdr:colOff>1539240</xdr:colOff>
      <xdr:row>8</xdr:row>
      <xdr:rowOff>1032510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ACDD40-5FEA-49CA-89F2-5EAF4B171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5829300"/>
          <a:ext cx="1463040" cy="9753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20</xdr:row>
      <xdr:rowOff>57150</xdr:rowOff>
    </xdr:from>
    <xdr:to>
      <xdr:col>1</xdr:col>
      <xdr:colOff>1558290</xdr:colOff>
      <xdr:row>20</xdr:row>
      <xdr:rowOff>1033807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3FB2464-05D5-4F90-89B1-361E68FAF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19088100"/>
          <a:ext cx="1463040" cy="97665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21</xdr:row>
      <xdr:rowOff>57150</xdr:rowOff>
    </xdr:from>
    <xdr:to>
      <xdr:col>1</xdr:col>
      <xdr:colOff>1558290</xdr:colOff>
      <xdr:row>21</xdr:row>
      <xdr:rowOff>1032510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09E4DB2-8F93-4268-8305-E2AC386B9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20193000"/>
          <a:ext cx="1463040" cy="97536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51</xdr:row>
      <xdr:rowOff>57150</xdr:rowOff>
    </xdr:from>
    <xdr:to>
      <xdr:col>1</xdr:col>
      <xdr:colOff>1539240</xdr:colOff>
      <xdr:row>51</xdr:row>
      <xdr:rowOff>1032510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E736EA6-F4E2-4B9A-BD1A-03CB233BB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53340000"/>
          <a:ext cx="1463040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55</xdr:row>
      <xdr:rowOff>114300</xdr:rowOff>
    </xdr:from>
    <xdr:to>
      <xdr:col>0</xdr:col>
      <xdr:colOff>1200150</xdr:colOff>
      <xdr:row>56</xdr:row>
      <xdr:rowOff>0</xdr:rowOff>
    </xdr:to>
    <xdr:pic>
      <xdr:nvPicPr>
        <xdr:cNvPr id="52" name="Picture 51" descr="A picture containing text, orange&#10;&#10;Description automatically generated">
          <a:extLst>
            <a:ext uri="{FF2B5EF4-FFF2-40B4-BE49-F238E27FC236}">
              <a16:creationId xmlns:a16="http://schemas.microsoft.com/office/drawing/2014/main" id="{5EE4DA2A-CAC0-4542-BEC2-F4699A3AD77C}"/>
            </a:ext>
          </a:extLst>
        </xdr:cNvPr>
        <xdr:cNvPicPr/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6311800"/>
          <a:ext cx="1066800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62346</xdr:colOff>
      <xdr:row>7</xdr:row>
      <xdr:rowOff>74466</xdr:rowOff>
    </xdr:from>
    <xdr:to>
      <xdr:col>1</xdr:col>
      <xdr:colOff>1529220</xdr:colOff>
      <xdr:row>7</xdr:row>
      <xdr:rowOff>1052874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49A4DF8D-B701-4AA9-8A76-02E932C41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0964" y="5394611"/>
          <a:ext cx="1466874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9</xdr:row>
      <xdr:rowOff>69273</xdr:rowOff>
    </xdr:from>
    <xdr:to>
      <xdr:col>1</xdr:col>
      <xdr:colOff>1524762</xdr:colOff>
      <xdr:row>9</xdr:row>
      <xdr:rowOff>1053124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F884B65A-35F6-46AD-9795-845F59B37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768" y="6504709"/>
          <a:ext cx="1467612" cy="98385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</xdr:row>
      <xdr:rowOff>76200</xdr:rowOff>
    </xdr:from>
    <xdr:to>
      <xdr:col>1</xdr:col>
      <xdr:colOff>1536683</xdr:colOff>
      <xdr:row>10</xdr:row>
      <xdr:rowOff>1060051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4654F331-0DBC-4248-925B-5F57B100D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7429500"/>
          <a:ext cx="1498583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62346</xdr:colOff>
      <xdr:row>11</xdr:row>
      <xdr:rowOff>96981</xdr:rowOff>
    </xdr:from>
    <xdr:to>
      <xdr:col>1</xdr:col>
      <xdr:colOff>1525386</xdr:colOff>
      <xdr:row>11</xdr:row>
      <xdr:rowOff>1005028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ADBAA288-6634-49DE-B6D1-B07C56B0D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0964" y="8762999"/>
          <a:ext cx="1463040" cy="908047"/>
        </a:xfrm>
        <a:prstGeom prst="rect">
          <a:avLst/>
        </a:prstGeom>
      </xdr:spPr>
    </xdr:pic>
    <xdr:clientData/>
  </xdr:twoCellAnchor>
  <xdr:twoCellAnchor editAs="oneCell">
    <xdr:from>
      <xdr:col>1</xdr:col>
      <xdr:colOff>65808</xdr:colOff>
      <xdr:row>13</xdr:row>
      <xdr:rowOff>71004</xdr:rowOff>
    </xdr:from>
    <xdr:to>
      <xdr:col>1</xdr:col>
      <xdr:colOff>1533420</xdr:colOff>
      <xdr:row>13</xdr:row>
      <xdr:rowOff>1054855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E7AE228D-F486-4BA2-B7BA-6F50D0090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426" y="10967604"/>
          <a:ext cx="1467612" cy="983851"/>
        </a:xfrm>
        <a:prstGeom prst="rect">
          <a:avLst/>
        </a:prstGeom>
      </xdr:spPr>
    </xdr:pic>
    <xdr:clientData/>
  </xdr:twoCellAnchor>
  <xdr:twoCellAnchor editAs="oneCell">
    <xdr:from>
      <xdr:col>1</xdr:col>
      <xdr:colOff>65808</xdr:colOff>
      <xdr:row>19</xdr:row>
      <xdr:rowOff>58884</xdr:rowOff>
    </xdr:from>
    <xdr:to>
      <xdr:col>1</xdr:col>
      <xdr:colOff>1531455</xdr:colOff>
      <xdr:row>19</xdr:row>
      <xdr:rowOff>1037292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C9A1F138-5061-48E5-8583-33ECFDBF2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426" y="16531939"/>
          <a:ext cx="1465647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53685</xdr:colOff>
      <xdr:row>22</xdr:row>
      <xdr:rowOff>79662</xdr:rowOff>
    </xdr:from>
    <xdr:to>
      <xdr:col>1</xdr:col>
      <xdr:colOff>1521297</xdr:colOff>
      <xdr:row>22</xdr:row>
      <xdr:rowOff>1058070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7B6ADCF6-2AA4-4602-82B9-1A7048819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2303" y="19898589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45027</xdr:colOff>
      <xdr:row>24</xdr:row>
      <xdr:rowOff>76200</xdr:rowOff>
    </xdr:from>
    <xdr:to>
      <xdr:col>1</xdr:col>
      <xdr:colOff>1512639</xdr:colOff>
      <xdr:row>24</xdr:row>
      <xdr:rowOff>1060050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A146E96C-6DFC-4DBC-83A7-2E7EDB8E5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3645" y="22125709"/>
          <a:ext cx="1467612" cy="9838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27</xdr:row>
      <xdr:rowOff>65808</xdr:rowOff>
    </xdr:from>
    <xdr:to>
      <xdr:col>1</xdr:col>
      <xdr:colOff>1511209</xdr:colOff>
      <xdr:row>27</xdr:row>
      <xdr:rowOff>1044216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78102F7C-D5D7-47E1-8C1C-974FD75B7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6718" y="25461190"/>
          <a:ext cx="1473109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28</xdr:row>
      <xdr:rowOff>72735</xdr:rowOff>
    </xdr:from>
    <xdr:to>
      <xdr:col>1</xdr:col>
      <xdr:colOff>1530259</xdr:colOff>
      <xdr:row>28</xdr:row>
      <xdr:rowOff>1051143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35007FD0-73C3-4092-8CD2-589FF7089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768" y="26583408"/>
          <a:ext cx="1473109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88323</xdr:colOff>
      <xdr:row>29</xdr:row>
      <xdr:rowOff>67539</xdr:rowOff>
    </xdr:from>
    <xdr:to>
      <xdr:col>1</xdr:col>
      <xdr:colOff>1492987</xdr:colOff>
      <xdr:row>29</xdr:row>
      <xdr:rowOff>1045947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80B61D3-7E34-4514-8877-0482DC003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941" y="27693503"/>
          <a:ext cx="1404664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45027</xdr:colOff>
      <xdr:row>30</xdr:row>
      <xdr:rowOff>72735</xdr:rowOff>
    </xdr:from>
    <xdr:to>
      <xdr:col>1</xdr:col>
      <xdr:colOff>1512639</xdr:colOff>
      <xdr:row>30</xdr:row>
      <xdr:rowOff>1051143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B03E1B18-6483-4C9D-BA47-B967F2628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3645" y="28813990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32</xdr:row>
      <xdr:rowOff>69273</xdr:rowOff>
    </xdr:from>
    <xdr:to>
      <xdr:col>1</xdr:col>
      <xdr:colOff>1534215</xdr:colOff>
      <xdr:row>32</xdr:row>
      <xdr:rowOff>1053124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643ABF8C-5C47-43BC-BF77-35AA7CF23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768" y="31041109"/>
          <a:ext cx="1477065" cy="98385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33</xdr:row>
      <xdr:rowOff>171450</xdr:rowOff>
    </xdr:from>
    <xdr:to>
      <xdr:col>1</xdr:col>
      <xdr:colOff>1520190</xdr:colOff>
      <xdr:row>33</xdr:row>
      <xdr:rowOff>969434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C7249E96-8509-469E-8B34-C0E9E57B5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768" y="32258577"/>
          <a:ext cx="1463040" cy="79798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34</xdr:row>
      <xdr:rowOff>74466</xdr:rowOff>
    </xdr:from>
    <xdr:to>
      <xdr:col>1</xdr:col>
      <xdr:colOff>1543812</xdr:colOff>
      <xdr:row>34</xdr:row>
      <xdr:rowOff>1052874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A98914E-4A40-4F0C-B351-5E8AF2344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4818" y="33276884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36</xdr:row>
      <xdr:rowOff>71004</xdr:rowOff>
    </xdr:from>
    <xdr:to>
      <xdr:col>1</xdr:col>
      <xdr:colOff>1543812</xdr:colOff>
      <xdr:row>36</xdr:row>
      <xdr:rowOff>1054855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C3609C00-15C7-409E-AF55-5DCBAE9D9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4818" y="35504004"/>
          <a:ext cx="1467612" cy="98385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38</xdr:row>
      <xdr:rowOff>72741</xdr:rowOff>
    </xdr:from>
    <xdr:to>
      <xdr:col>1</xdr:col>
      <xdr:colOff>1534354</xdr:colOff>
      <xdr:row>38</xdr:row>
      <xdr:rowOff>1059725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38016E98-83E2-40B3-BB63-AE3FCB319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768" y="37736323"/>
          <a:ext cx="1477204" cy="986984"/>
        </a:xfrm>
        <a:prstGeom prst="rect">
          <a:avLst/>
        </a:prstGeom>
      </xdr:spPr>
    </xdr:pic>
    <xdr:clientData/>
  </xdr:twoCellAnchor>
  <xdr:twoCellAnchor editAs="oneCell">
    <xdr:from>
      <xdr:col>1</xdr:col>
      <xdr:colOff>60615</xdr:colOff>
      <xdr:row>39</xdr:row>
      <xdr:rowOff>81393</xdr:rowOff>
    </xdr:from>
    <xdr:to>
      <xdr:col>1</xdr:col>
      <xdr:colOff>1528038</xdr:colOff>
      <xdr:row>39</xdr:row>
      <xdr:rowOff>1059801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0562B3B-5CB6-49D7-B377-59D813C7C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9233" y="38860266"/>
          <a:ext cx="1467423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65811</xdr:colOff>
      <xdr:row>12</xdr:row>
      <xdr:rowOff>38100</xdr:rowOff>
    </xdr:from>
    <xdr:to>
      <xdr:col>1</xdr:col>
      <xdr:colOff>1539191</xdr:colOff>
      <xdr:row>12</xdr:row>
      <xdr:rowOff>1016508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77AEF4-A677-43F6-BDC3-0A4E7BAF0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429" y="9819409"/>
          <a:ext cx="1473380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15</xdr:row>
      <xdr:rowOff>72735</xdr:rowOff>
    </xdr:from>
    <xdr:to>
      <xdr:col>1</xdr:col>
      <xdr:colOff>1515528</xdr:colOff>
      <xdr:row>15</xdr:row>
      <xdr:rowOff>1051143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8F37DD1-CAFC-44F9-B37B-7DAB9941E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4818" y="13199917"/>
          <a:ext cx="1439328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67642</xdr:colOff>
      <xdr:row>14</xdr:row>
      <xdr:rowOff>88423</xdr:rowOff>
    </xdr:from>
    <xdr:to>
      <xdr:col>1</xdr:col>
      <xdr:colOff>1530682</xdr:colOff>
      <xdr:row>14</xdr:row>
      <xdr:rowOff>1030444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61E1E7A-674C-4F81-AEEA-1AF56098A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6260" y="12100314"/>
          <a:ext cx="1463040" cy="942021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</xdr:colOff>
      <xdr:row>17</xdr:row>
      <xdr:rowOff>75383</xdr:rowOff>
    </xdr:from>
    <xdr:to>
      <xdr:col>1</xdr:col>
      <xdr:colOff>1545689</xdr:colOff>
      <xdr:row>17</xdr:row>
      <xdr:rowOff>1053791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4A58298-E2F0-4C1E-A133-EE7708FBD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3441" y="14317856"/>
          <a:ext cx="1500866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64791</xdr:colOff>
      <xdr:row>18</xdr:row>
      <xdr:rowOff>74570</xdr:rowOff>
    </xdr:from>
    <xdr:to>
      <xdr:col>1</xdr:col>
      <xdr:colOff>1532470</xdr:colOff>
      <xdr:row>18</xdr:row>
      <xdr:rowOff>1056179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A30C4DD6-3C0F-4C82-8854-F7FDA498A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3409" y="15432334"/>
          <a:ext cx="1467679" cy="981609"/>
        </a:xfrm>
        <a:prstGeom prst="rect">
          <a:avLst/>
        </a:prstGeom>
      </xdr:spPr>
    </xdr:pic>
    <xdr:clientData/>
  </xdr:twoCellAnchor>
  <xdr:twoCellAnchor editAs="oneCell">
    <xdr:from>
      <xdr:col>1</xdr:col>
      <xdr:colOff>62754</xdr:colOff>
      <xdr:row>20</xdr:row>
      <xdr:rowOff>68456</xdr:rowOff>
    </xdr:from>
    <xdr:to>
      <xdr:col>1</xdr:col>
      <xdr:colOff>1528417</xdr:colOff>
      <xdr:row>20</xdr:row>
      <xdr:rowOff>1046864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AA60091-8991-4315-A978-4A5B29482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1372" y="17656801"/>
          <a:ext cx="1465663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67293</xdr:colOff>
      <xdr:row>21</xdr:row>
      <xdr:rowOff>56407</xdr:rowOff>
    </xdr:from>
    <xdr:to>
      <xdr:col>1</xdr:col>
      <xdr:colOff>1539853</xdr:colOff>
      <xdr:row>21</xdr:row>
      <xdr:rowOff>1043721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E0E545A-0E56-4AF1-9EDD-CBA2D31BF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5911" y="18760043"/>
          <a:ext cx="1472560" cy="987314"/>
        </a:xfrm>
        <a:prstGeom prst="rect">
          <a:avLst/>
        </a:prstGeom>
      </xdr:spPr>
    </xdr:pic>
    <xdr:clientData/>
  </xdr:twoCellAnchor>
  <xdr:twoCellAnchor editAs="oneCell">
    <xdr:from>
      <xdr:col>1</xdr:col>
      <xdr:colOff>130627</xdr:colOff>
      <xdr:row>23</xdr:row>
      <xdr:rowOff>67293</xdr:rowOff>
    </xdr:from>
    <xdr:to>
      <xdr:col>1</xdr:col>
      <xdr:colOff>1435171</xdr:colOff>
      <xdr:row>23</xdr:row>
      <xdr:rowOff>1045701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ED1EF29-E63A-41BC-8E90-B6FDA40A1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9245" y="21001511"/>
          <a:ext cx="1304544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54429</xdr:colOff>
      <xdr:row>25</xdr:row>
      <xdr:rowOff>65314</xdr:rowOff>
    </xdr:from>
    <xdr:to>
      <xdr:col>1</xdr:col>
      <xdr:colOff>1520092</xdr:colOff>
      <xdr:row>25</xdr:row>
      <xdr:rowOff>1043722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A18D0AF-6838-4A2A-9CB9-A1E29B5DC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2058" y="22119771"/>
          <a:ext cx="1465663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43543</xdr:colOff>
      <xdr:row>26</xdr:row>
      <xdr:rowOff>75209</xdr:rowOff>
    </xdr:from>
    <xdr:to>
      <xdr:col>1</xdr:col>
      <xdr:colOff>1511302</xdr:colOff>
      <xdr:row>26</xdr:row>
      <xdr:rowOff>1045997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4ED6BB3-2A16-432F-930D-FBBE4B42B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2161" y="24355300"/>
          <a:ext cx="1467759" cy="970788"/>
        </a:xfrm>
        <a:prstGeom prst="rect">
          <a:avLst/>
        </a:prstGeom>
      </xdr:spPr>
    </xdr:pic>
    <xdr:clientData/>
  </xdr:twoCellAnchor>
  <xdr:twoCellAnchor editAs="oneCell">
    <xdr:from>
      <xdr:col>1</xdr:col>
      <xdr:colOff>61355</xdr:colOff>
      <xdr:row>31</xdr:row>
      <xdr:rowOff>67291</xdr:rowOff>
    </xdr:from>
    <xdr:to>
      <xdr:col>1</xdr:col>
      <xdr:colOff>1528967</xdr:colOff>
      <xdr:row>31</xdr:row>
      <xdr:rowOff>1045699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2DC8832-7CAD-44B9-9654-8E1582C26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9973" y="29923836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68282</xdr:colOff>
      <xdr:row>35</xdr:row>
      <xdr:rowOff>67293</xdr:rowOff>
    </xdr:from>
    <xdr:to>
      <xdr:col>1</xdr:col>
      <xdr:colOff>1534301</xdr:colOff>
      <xdr:row>35</xdr:row>
      <xdr:rowOff>1045701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C70FC3-041B-44CF-994C-44A7A74EF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6900" y="34385002"/>
          <a:ext cx="1466019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87086</xdr:colOff>
      <xdr:row>37</xdr:row>
      <xdr:rowOff>103907</xdr:rowOff>
    </xdr:from>
    <xdr:to>
      <xdr:col>1</xdr:col>
      <xdr:colOff>1559270</xdr:colOff>
      <xdr:row>37</xdr:row>
      <xdr:rowOff>1011969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4635E6C0-2474-46E6-BD5C-0B035B691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5704" y="36652198"/>
          <a:ext cx="1472184" cy="908062"/>
        </a:xfrm>
        <a:prstGeom prst="rect">
          <a:avLst/>
        </a:prstGeom>
      </xdr:spPr>
    </xdr:pic>
    <xdr:clientData/>
  </xdr:twoCellAnchor>
  <xdr:twoCellAnchor editAs="oneCell">
    <xdr:from>
      <xdr:col>1</xdr:col>
      <xdr:colOff>66304</xdr:colOff>
      <xdr:row>40</xdr:row>
      <xdr:rowOff>67295</xdr:rowOff>
    </xdr:from>
    <xdr:to>
      <xdr:col>1</xdr:col>
      <xdr:colOff>1533916</xdr:colOff>
      <xdr:row>40</xdr:row>
      <xdr:rowOff>1045703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4DAAFF-47D6-44F0-9999-6614CE6B1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922" y="39961459"/>
          <a:ext cx="1467612" cy="9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8</xdr:row>
      <xdr:rowOff>76200</xdr:rowOff>
    </xdr:from>
    <xdr:to>
      <xdr:col>1</xdr:col>
      <xdr:colOff>1539240</xdr:colOff>
      <xdr:row>8</xdr:row>
      <xdr:rowOff>1051560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9CF3F04B-6250-48A8-A127-6F4A02360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6477000"/>
          <a:ext cx="1463040" cy="9753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16</xdr:row>
      <xdr:rowOff>76200</xdr:rowOff>
    </xdr:from>
    <xdr:to>
      <xdr:col>1</xdr:col>
      <xdr:colOff>1558290</xdr:colOff>
      <xdr:row>16</xdr:row>
      <xdr:rowOff>1051560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E0090DBD-9117-4661-9048-D74B98583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15316200"/>
          <a:ext cx="1463040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42</xdr:row>
      <xdr:rowOff>57150</xdr:rowOff>
    </xdr:from>
    <xdr:to>
      <xdr:col>0</xdr:col>
      <xdr:colOff>1219200</xdr:colOff>
      <xdr:row>42</xdr:row>
      <xdr:rowOff>819150</xdr:rowOff>
    </xdr:to>
    <xdr:pic>
      <xdr:nvPicPr>
        <xdr:cNvPr id="43" name="Picture 42" descr="A picture containing text, orange&#10;&#10;Description automatically generated">
          <a:extLst>
            <a:ext uri="{FF2B5EF4-FFF2-40B4-BE49-F238E27FC236}">
              <a16:creationId xmlns:a16="http://schemas.microsoft.com/office/drawing/2014/main" id="{1D1C6A3A-8FDD-439C-91CD-0C0E0B496291}"/>
            </a:ext>
          </a:extLst>
        </xdr:cNvPr>
        <xdr:cNvPicPr/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1871900"/>
          <a:ext cx="10668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ns-prod.azureedge.net/sites/default/files/cacfp/CACFP_childmealpattern.pdf" TargetMode="External"/><Relationship Id="rId2" Type="http://schemas.openxmlformats.org/officeDocument/2006/relationships/hyperlink" Target="https://foodbuyingguide.fns.usda.gov/" TargetMode="External"/><Relationship Id="rId1" Type="http://schemas.openxmlformats.org/officeDocument/2006/relationships/hyperlink" Target="http://www.ncagr.gov/markets/availabilitychart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fns-prod.azureedge.net/sites/default/files/cacfp/CACFP_childmealpattern.pdf" TargetMode="External"/><Relationship Id="rId2" Type="http://schemas.openxmlformats.org/officeDocument/2006/relationships/hyperlink" Target="https://foodbuyingguide.fns.usda.gov/" TargetMode="External"/><Relationship Id="rId1" Type="http://schemas.openxmlformats.org/officeDocument/2006/relationships/hyperlink" Target="http://www.ncagr.gov/markets/availabilitychart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fns-prod.azureedge.net/sites/default/files/cacfp/CACFP_childmealpattern.pdf" TargetMode="External"/><Relationship Id="rId2" Type="http://schemas.openxmlformats.org/officeDocument/2006/relationships/hyperlink" Target="https://foodbuyingguide.fns.usda.gov/" TargetMode="External"/><Relationship Id="rId1" Type="http://schemas.openxmlformats.org/officeDocument/2006/relationships/hyperlink" Target="http://www.ncagr.gov/markets/availabilitychart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D0A0A-2B60-4FCF-B4EC-6A73D865FA57}">
  <dimension ref="A1:L36"/>
  <sheetViews>
    <sheetView tabSelected="1" zoomScale="40" zoomScaleNormal="40" workbookViewId="0">
      <pane ySplit="7" topLeftCell="A8" activePane="bottomLeft" state="frozen"/>
      <selection pane="bottomLeft" sqref="A1:K1"/>
    </sheetView>
  </sheetViews>
  <sheetFormatPr defaultRowHeight="23.4" x14ac:dyDescent="0.45"/>
  <cols>
    <col min="1" max="1" width="82" style="5" customWidth="1"/>
    <col min="2" max="2" width="24" style="5" customWidth="1"/>
    <col min="3" max="3" width="61.21875" style="5" customWidth="1"/>
    <col min="4" max="6" width="20.77734375" style="5" customWidth="1"/>
    <col min="7" max="7" width="20.77734375" style="7" customWidth="1"/>
    <col min="8" max="9" width="20.77734375" style="8" customWidth="1"/>
    <col min="10" max="10" width="20.88671875" style="3" customWidth="1"/>
    <col min="11" max="11" width="34.33203125" style="2" customWidth="1"/>
    <col min="12" max="12" width="8.88671875" customWidth="1"/>
  </cols>
  <sheetData>
    <row r="1" spans="1:11" ht="46.2" x14ac:dyDescent="0.85">
      <c r="A1" s="281" t="s">
        <v>28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31.2" x14ac:dyDescent="0.6">
      <c r="A2" s="282" t="s">
        <v>119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</row>
    <row r="3" spans="1:11" ht="49.5" customHeight="1" x14ac:dyDescent="0.85">
      <c r="A3" s="281" t="s">
        <v>1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</row>
    <row r="4" spans="1:11" ht="33.6" x14ac:dyDescent="0.65">
      <c r="A4" s="284" t="s">
        <v>118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</row>
    <row r="5" spans="1:11" ht="24" thickBot="1" x14ac:dyDescent="0.5"/>
    <row r="6" spans="1:11" s="10" customFormat="1" ht="57.6" customHeight="1" x14ac:dyDescent="0.6">
      <c r="A6" s="227" t="s">
        <v>130</v>
      </c>
      <c r="B6" s="285" t="s">
        <v>4</v>
      </c>
      <c r="C6" s="279"/>
      <c r="D6" s="277" t="s">
        <v>29</v>
      </c>
      <c r="E6" s="278"/>
      <c r="F6" s="279"/>
      <c r="G6" s="275" t="s">
        <v>0</v>
      </c>
      <c r="H6" s="275"/>
      <c r="I6" s="275"/>
      <c r="J6" s="275"/>
      <c r="K6" s="276"/>
    </row>
    <row r="7" spans="1:11" s="5" customFormat="1" ht="72" customHeight="1" x14ac:dyDescent="0.45">
      <c r="A7" s="173"/>
      <c r="B7" s="173"/>
      <c r="C7" s="174"/>
      <c r="D7" s="175" t="s">
        <v>137</v>
      </c>
      <c r="E7" s="176" t="s">
        <v>138</v>
      </c>
      <c r="F7" s="177" t="s">
        <v>139</v>
      </c>
      <c r="G7" s="178" t="s">
        <v>140</v>
      </c>
      <c r="H7" s="179" t="s">
        <v>141</v>
      </c>
      <c r="I7" s="179" t="s">
        <v>142</v>
      </c>
      <c r="J7" s="175" t="s">
        <v>143</v>
      </c>
      <c r="K7" s="228" t="s">
        <v>144</v>
      </c>
    </row>
    <row r="8" spans="1:11" s="16" customFormat="1" ht="87.75" customHeight="1" x14ac:dyDescent="0.3">
      <c r="A8" s="229" t="s">
        <v>61</v>
      </c>
      <c r="B8" s="166"/>
      <c r="C8" s="167" t="s">
        <v>16</v>
      </c>
      <c r="D8" s="168" t="s">
        <v>150</v>
      </c>
      <c r="E8" s="169" t="s">
        <v>151</v>
      </c>
      <c r="F8" s="170" t="s">
        <v>152</v>
      </c>
      <c r="G8" s="171" t="s">
        <v>153</v>
      </c>
      <c r="H8" s="172" t="s">
        <v>160</v>
      </c>
      <c r="I8" s="172" t="s">
        <v>162</v>
      </c>
      <c r="J8" s="265"/>
      <c r="K8" s="230" t="str">
        <f>CEILING(J8/(14.56/2), 0.25) &amp; IF(CEILING(J8/(14.56/2), 0.25) &gt; 1, " pounds", " pound")</f>
        <v>0 pound</v>
      </c>
    </row>
    <row r="9" spans="1:11" s="16" customFormat="1" ht="87.75" customHeight="1" x14ac:dyDescent="0.3">
      <c r="A9" s="231" t="s">
        <v>51</v>
      </c>
      <c r="B9" s="60"/>
      <c r="C9" s="58" t="s">
        <v>45</v>
      </c>
      <c r="D9" s="26" t="s">
        <v>150</v>
      </c>
      <c r="E9" s="27" t="s">
        <v>151</v>
      </c>
      <c r="F9" s="28" t="s">
        <v>152</v>
      </c>
      <c r="G9" s="29" t="s">
        <v>154</v>
      </c>
      <c r="H9" s="30" t="s">
        <v>161</v>
      </c>
      <c r="I9" s="30" t="s">
        <v>174</v>
      </c>
      <c r="J9" s="266"/>
      <c r="K9" s="232" t="str">
        <f>CEILING(J9/(10.8/2), 0.25) &amp;  IF(CEILING(J9/(10.8/2), 0.25) &gt; 1, " pounds", " pound")</f>
        <v>0 pound</v>
      </c>
    </row>
    <row r="10" spans="1:11" s="15" customFormat="1" ht="87.75" customHeight="1" x14ac:dyDescent="0.3">
      <c r="A10" s="61" t="s">
        <v>27</v>
      </c>
      <c r="B10" s="61"/>
      <c r="C10" s="135" t="s">
        <v>145</v>
      </c>
      <c r="D10" s="31" t="s">
        <v>150</v>
      </c>
      <c r="E10" s="32" t="s">
        <v>151</v>
      </c>
      <c r="F10" s="33" t="s">
        <v>152</v>
      </c>
      <c r="G10" s="34" t="s">
        <v>155</v>
      </c>
      <c r="H10" s="35" t="s">
        <v>162</v>
      </c>
      <c r="I10" s="35" t="s">
        <v>175</v>
      </c>
      <c r="J10" s="267"/>
      <c r="K10" s="233" t="str">
        <f>CEILING(J10/(7.2/2), 0.25) &amp;  IF(CEILING(J10/(7.2/2), 0.25) &gt; 1, " pounds", " pound")</f>
        <v>0 pound</v>
      </c>
    </row>
    <row r="11" spans="1:11" s="15" customFormat="1" ht="87.75" customHeight="1" x14ac:dyDescent="0.3">
      <c r="A11" s="231" t="s">
        <v>85</v>
      </c>
      <c r="B11" s="60"/>
      <c r="C11" s="58" t="s">
        <v>17</v>
      </c>
      <c r="D11" s="26" t="s">
        <v>150</v>
      </c>
      <c r="E11" s="27" t="s">
        <v>151</v>
      </c>
      <c r="F11" s="28" t="s">
        <v>152</v>
      </c>
      <c r="G11" s="29" t="s">
        <v>154</v>
      </c>
      <c r="H11" s="30" t="s">
        <v>163</v>
      </c>
      <c r="I11" s="30" t="s">
        <v>176</v>
      </c>
      <c r="J11" s="266"/>
      <c r="K11" s="232" t="str">
        <f>CEILING(J11/(11.9/2), 0.25) &amp;  IF(CEILING(J11/(11.9/2), 0.25) &gt; 1, " pounds", " pound")</f>
        <v>0 pound</v>
      </c>
    </row>
    <row r="12" spans="1:11" s="16" customFormat="1" ht="87.75" customHeight="1" x14ac:dyDescent="0.3">
      <c r="A12" s="234" t="s">
        <v>63</v>
      </c>
      <c r="B12" s="61"/>
      <c r="C12" s="59" t="s">
        <v>17</v>
      </c>
      <c r="D12" s="31" t="s">
        <v>150</v>
      </c>
      <c r="E12" s="32" t="s">
        <v>151</v>
      </c>
      <c r="F12" s="33" t="s">
        <v>152</v>
      </c>
      <c r="G12" s="34" t="s">
        <v>154</v>
      </c>
      <c r="H12" s="35" t="s">
        <v>163</v>
      </c>
      <c r="I12" s="35" t="s">
        <v>176</v>
      </c>
      <c r="J12" s="267"/>
      <c r="K12" s="233" t="str">
        <f>CEILING(J12/(11.9/2), 0.25) &amp;  IF(CEILING(J12/(11.9/2), 0.25) &gt; 1, " pounds", " pound")</f>
        <v>0 pound</v>
      </c>
    </row>
    <row r="13" spans="1:11" s="15" customFormat="1" ht="87.75" customHeight="1" x14ac:dyDescent="0.3">
      <c r="A13" s="60" t="s">
        <v>103</v>
      </c>
      <c r="B13" s="60"/>
      <c r="C13" s="58" t="s">
        <v>14</v>
      </c>
      <c r="D13" s="26" t="s">
        <v>150</v>
      </c>
      <c r="E13" s="27" t="s">
        <v>151</v>
      </c>
      <c r="F13" s="28" t="s">
        <v>152</v>
      </c>
      <c r="G13" s="29" t="s">
        <v>156</v>
      </c>
      <c r="H13" s="30" t="s">
        <v>164</v>
      </c>
      <c r="I13" s="30" t="s">
        <v>177</v>
      </c>
      <c r="J13" s="266"/>
      <c r="K13" s="232" t="str">
        <f>CEILING(J13/(5.73/2), 0.25) &amp;  IF(CEILING(J13/(5.73/2), 0.25) &gt; 1, " pounds", " pound")</f>
        <v>0 pound</v>
      </c>
    </row>
    <row r="14" spans="1:11" s="15" customFormat="1" ht="87.75" customHeight="1" x14ac:dyDescent="0.3">
      <c r="A14" s="61" t="s">
        <v>52</v>
      </c>
      <c r="B14" s="61"/>
      <c r="C14" s="59" t="s">
        <v>146</v>
      </c>
      <c r="D14" s="31" t="s">
        <v>150</v>
      </c>
      <c r="E14" s="32" t="s">
        <v>151</v>
      </c>
      <c r="F14" s="33" t="s">
        <v>152</v>
      </c>
      <c r="G14" s="34" t="s">
        <v>157</v>
      </c>
      <c r="H14" s="71" t="s">
        <v>165</v>
      </c>
      <c r="I14" s="35" t="s">
        <v>178</v>
      </c>
      <c r="J14" s="267"/>
      <c r="K14" s="233" t="str">
        <f>CEILING(J14/((6*(3/8))/(1/2)), 0.25) &amp;  IF(CEILING(J14/((6*(3/8))/(1/2)), 0.25)  &gt; 1, " pounds", " pound")</f>
        <v>0 pound</v>
      </c>
    </row>
    <row r="15" spans="1:11" s="15" customFormat="1" ht="87.75" customHeight="1" x14ac:dyDescent="0.3">
      <c r="A15" s="60" t="s">
        <v>53</v>
      </c>
      <c r="B15" s="60"/>
      <c r="C15" s="58" t="s">
        <v>30</v>
      </c>
      <c r="D15" s="26" t="s">
        <v>150</v>
      </c>
      <c r="E15" s="27" t="s">
        <v>151</v>
      </c>
      <c r="F15" s="28" t="s">
        <v>152</v>
      </c>
      <c r="G15" s="29" t="s">
        <v>157</v>
      </c>
      <c r="H15" s="88" t="s">
        <v>166</v>
      </c>
      <c r="I15" s="30" t="s">
        <v>179</v>
      </c>
      <c r="J15" s="266"/>
      <c r="K15" s="232" t="str">
        <f>CEILING(J15/(9.27/2), 0.25) &amp;  IF(CEILING(J15/(9.27/2), 0.25)  &gt; 1, " pounds", " pound")</f>
        <v>0 pound</v>
      </c>
    </row>
    <row r="16" spans="1:11" s="15" customFormat="1" ht="87.75" customHeight="1" x14ac:dyDescent="0.3">
      <c r="A16" s="61" t="s">
        <v>72</v>
      </c>
      <c r="B16" s="61"/>
      <c r="C16" s="59" t="s">
        <v>31</v>
      </c>
      <c r="D16" s="31" t="s">
        <v>150</v>
      </c>
      <c r="E16" s="32" t="s">
        <v>151</v>
      </c>
      <c r="F16" s="33" t="s">
        <v>152</v>
      </c>
      <c r="G16" s="34" t="s">
        <v>158</v>
      </c>
      <c r="H16" s="71" t="s">
        <v>167</v>
      </c>
      <c r="I16" s="35" t="s">
        <v>180</v>
      </c>
      <c r="J16" s="267"/>
      <c r="K16" s="233" t="str">
        <f>CEILING(J16/(4.9/2), 0.25) &amp;  IF(CEILING(J16/(4.9/2), 0.25) &gt; 1, " pounds", " pound")</f>
        <v>0 pound</v>
      </c>
    </row>
    <row r="17" spans="1:12" s="15" customFormat="1" ht="87.75" customHeight="1" x14ac:dyDescent="0.3">
      <c r="A17" s="60" t="s">
        <v>54</v>
      </c>
      <c r="B17" s="60"/>
      <c r="C17" s="58" t="s">
        <v>147</v>
      </c>
      <c r="D17" s="26" t="s">
        <v>150</v>
      </c>
      <c r="E17" s="27" t="s">
        <v>151</v>
      </c>
      <c r="F17" s="28" t="s">
        <v>152</v>
      </c>
      <c r="G17" s="29" t="s">
        <v>157</v>
      </c>
      <c r="H17" s="88" t="s">
        <v>165</v>
      </c>
      <c r="I17" s="30" t="s">
        <v>178</v>
      </c>
      <c r="J17" s="266"/>
      <c r="K17" s="232" t="str">
        <f>CEILING(J17/(8.99/2), 0.25) &amp;  IF(CEILING(J17/(8.99/2), 0.25) &gt; 1, " pounds", " pound")</f>
        <v>0 pound</v>
      </c>
    </row>
    <row r="18" spans="1:12" s="15" customFormat="1" ht="87.75" customHeight="1" x14ac:dyDescent="0.3">
      <c r="A18" s="234" t="s">
        <v>86</v>
      </c>
      <c r="B18" s="61"/>
      <c r="C18" s="59" t="s">
        <v>34</v>
      </c>
      <c r="D18" s="31" t="s">
        <v>150</v>
      </c>
      <c r="E18" s="32" t="s">
        <v>151</v>
      </c>
      <c r="F18" s="33" t="s">
        <v>152</v>
      </c>
      <c r="G18" s="34" t="s">
        <v>154</v>
      </c>
      <c r="H18" s="71" t="s">
        <v>161</v>
      </c>
      <c r="I18" s="35" t="s">
        <v>174</v>
      </c>
      <c r="J18" s="267"/>
      <c r="K18" s="233" t="str">
        <f>CEILING(J18/(10.7/2), 0.25) &amp;  IF(CEILING(J18/(10.7/2), 0.25)  &gt; 1, " pounds", " pound")</f>
        <v>0 pound</v>
      </c>
    </row>
    <row r="19" spans="1:12" s="16" customFormat="1" ht="87.75" customHeight="1" x14ac:dyDescent="0.3">
      <c r="A19" s="60" t="s">
        <v>44</v>
      </c>
      <c r="B19" s="60"/>
      <c r="C19" s="58" t="s">
        <v>148</v>
      </c>
      <c r="D19" s="26" t="s">
        <v>150</v>
      </c>
      <c r="E19" s="27" t="s">
        <v>151</v>
      </c>
      <c r="F19" s="28" t="s">
        <v>152</v>
      </c>
      <c r="G19" s="29" t="s">
        <v>159</v>
      </c>
      <c r="H19" s="30" t="s">
        <v>168</v>
      </c>
      <c r="I19" s="30" t="s">
        <v>181</v>
      </c>
      <c r="J19" s="266"/>
      <c r="K19" s="232" t="str">
        <f>CEILING(J19/(3.5/2), 0.25) &amp;  IF(CEILING(J19/(3.5/2), 0.25)  &gt; 1, " pounds", " pound")</f>
        <v>0 pound</v>
      </c>
    </row>
    <row r="20" spans="1:12" s="16" customFormat="1" ht="87.75" customHeight="1" x14ac:dyDescent="0.3">
      <c r="A20" s="61" t="s">
        <v>87</v>
      </c>
      <c r="B20" s="61"/>
      <c r="C20" s="59" t="s">
        <v>46</v>
      </c>
      <c r="D20" s="31" t="s">
        <v>150</v>
      </c>
      <c r="E20" s="32" t="s">
        <v>151</v>
      </c>
      <c r="F20" s="33" t="s">
        <v>152</v>
      </c>
      <c r="G20" s="34" t="s">
        <v>154</v>
      </c>
      <c r="H20" s="35" t="s">
        <v>161</v>
      </c>
      <c r="I20" s="35" t="s">
        <v>174</v>
      </c>
      <c r="J20" s="267"/>
      <c r="K20" s="233" t="str">
        <f>CEILING(J20/(10.7/2), 0.25) &amp;  IF(CEILING(J20/(10.7/2), 0.25)&gt;1, " pounds", " pound")</f>
        <v>0 pound</v>
      </c>
    </row>
    <row r="21" spans="1:12" s="16" customFormat="1" ht="87.75" customHeight="1" x14ac:dyDescent="0.3">
      <c r="A21" s="60" t="s">
        <v>76</v>
      </c>
      <c r="B21" s="60"/>
      <c r="C21" s="58" t="s">
        <v>47</v>
      </c>
      <c r="D21" s="26" t="s">
        <v>150</v>
      </c>
      <c r="E21" s="27" t="s">
        <v>151</v>
      </c>
      <c r="F21" s="28" t="s">
        <v>152</v>
      </c>
      <c r="G21" s="29" t="s">
        <v>155</v>
      </c>
      <c r="H21" s="30" t="s">
        <v>169</v>
      </c>
      <c r="I21" s="30" t="s">
        <v>182</v>
      </c>
      <c r="J21" s="266"/>
      <c r="K21" s="232" t="str">
        <f>CEILING(J21/(7.9/2), 0.25) &amp;  IF(CEILING(J21/(7.9/2), 0.25)&gt;1, " pounds", " pound")</f>
        <v>0 pound</v>
      </c>
    </row>
    <row r="22" spans="1:12" s="16" customFormat="1" ht="87.75" customHeight="1" x14ac:dyDescent="0.3">
      <c r="A22" s="61" t="s">
        <v>88</v>
      </c>
      <c r="B22" s="61"/>
      <c r="C22" s="59" t="s">
        <v>48</v>
      </c>
      <c r="D22" s="31" t="s">
        <v>150</v>
      </c>
      <c r="E22" s="32" t="s">
        <v>151</v>
      </c>
      <c r="F22" s="33" t="s">
        <v>152</v>
      </c>
      <c r="G22" s="34" t="s">
        <v>153</v>
      </c>
      <c r="H22" s="35" t="s">
        <v>170</v>
      </c>
      <c r="I22" s="35" t="s">
        <v>169</v>
      </c>
      <c r="J22" s="267"/>
      <c r="K22" s="233" t="str">
        <f>CEILING(J22/(15.7/2), 0.25) &amp;  IF(CEILING(J22/(15.7/2), 0.25)&gt;1, " pounds", " pound")</f>
        <v>0 pound</v>
      </c>
    </row>
    <row r="23" spans="1:12" s="16" customFormat="1" ht="87.75" customHeight="1" x14ac:dyDescent="0.3">
      <c r="A23" s="60" t="s">
        <v>56</v>
      </c>
      <c r="B23" s="60"/>
      <c r="C23" s="58" t="s">
        <v>49</v>
      </c>
      <c r="D23" s="26" t="s">
        <v>150</v>
      </c>
      <c r="E23" s="27" t="s">
        <v>151</v>
      </c>
      <c r="F23" s="28" t="s">
        <v>152</v>
      </c>
      <c r="G23" s="29" t="s">
        <v>156</v>
      </c>
      <c r="H23" s="30" t="s">
        <v>171</v>
      </c>
      <c r="I23" s="88" t="s">
        <v>183</v>
      </c>
      <c r="J23" s="266"/>
      <c r="K23" s="232" t="str">
        <f>CEILING(J23/(6.4/2), 0.25) &amp;  IF(CEILING(J23/(6.4/2), 0.25)&gt;1, " pounds", " pound")</f>
        <v>0 pound</v>
      </c>
    </row>
    <row r="24" spans="1:12" s="16" customFormat="1" ht="87.75" customHeight="1" x14ac:dyDescent="0.3">
      <c r="A24" s="61" t="s">
        <v>89</v>
      </c>
      <c r="B24" s="61"/>
      <c r="C24" s="59" t="s">
        <v>35</v>
      </c>
      <c r="D24" s="31" t="s">
        <v>150</v>
      </c>
      <c r="E24" s="32" t="s">
        <v>151</v>
      </c>
      <c r="F24" s="33" t="s">
        <v>152</v>
      </c>
      <c r="G24" s="34" t="s">
        <v>154</v>
      </c>
      <c r="H24" s="35" t="s">
        <v>161</v>
      </c>
      <c r="I24" s="35" t="s">
        <v>174</v>
      </c>
      <c r="J24" s="267"/>
      <c r="K24" s="233" t="str">
        <f>CEILING(J24/(10.7/2), 0.25) &amp;  IF(CEILING(J24/(10.7/2), 0.25) &gt;1, " pounds", " pound")</f>
        <v>0 pound</v>
      </c>
    </row>
    <row r="25" spans="1:12" s="16" customFormat="1" ht="87.75" customHeight="1" x14ac:dyDescent="0.3">
      <c r="A25" s="231" t="s">
        <v>104</v>
      </c>
      <c r="B25" s="60"/>
      <c r="C25" s="58" t="s">
        <v>17</v>
      </c>
      <c r="D25" s="26" t="s">
        <v>150</v>
      </c>
      <c r="E25" s="27" t="s">
        <v>151</v>
      </c>
      <c r="F25" s="28" t="s">
        <v>152</v>
      </c>
      <c r="G25" s="29" t="s">
        <v>154</v>
      </c>
      <c r="H25" s="30" t="s">
        <v>163</v>
      </c>
      <c r="I25" s="30" t="s">
        <v>176</v>
      </c>
      <c r="J25" s="266"/>
      <c r="K25" s="232" t="str">
        <f>CEILING(J25/(12.1/2), 0.25) &amp;  IF(CEILING(J25/(12.1/2), 0.25)&gt;1, " pounds", " pound")</f>
        <v>0 pound</v>
      </c>
    </row>
    <row r="26" spans="1:12" s="16" customFormat="1" ht="87.75" customHeight="1" x14ac:dyDescent="0.3">
      <c r="A26" s="61" t="s">
        <v>90</v>
      </c>
      <c r="B26" s="61"/>
      <c r="C26" s="59" t="s">
        <v>46</v>
      </c>
      <c r="D26" s="31" t="s">
        <v>150</v>
      </c>
      <c r="E26" s="32" t="s">
        <v>151</v>
      </c>
      <c r="F26" s="33" t="s">
        <v>152</v>
      </c>
      <c r="G26" s="34" t="s">
        <v>154</v>
      </c>
      <c r="H26" s="35" t="s">
        <v>172</v>
      </c>
      <c r="I26" s="35" t="s">
        <v>184</v>
      </c>
      <c r="J26" s="267"/>
      <c r="K26" s="233" t="str">
        <f>CEILING(J26/(10.5/2), 0.25) &amp;  IF(CEILING(J26/(10.5/2), 0.25) &gt;1, " pounds", " pound")</f>
        <v>0 pound</v>
      </c>
    </row>
    <row r="27" spans="1:12" s="16" customFormat="1" ht="87.75" customHeight="1" x14ac:dyDescent="0.3">
      <c r="A27" s="105" t="s">
        <v>59</v>
      </c>
      <c r="B27" s="105"/>
      <c r="C27" s="106" t="s">
        <v>149</v>
      </c>
      <c r="D27" s="107" t="s">
        <v>150</v>
      </c>
      <c r="E27" s="108" t="s">
        <v>151</v>
      </c>
      <c r="F27" s="109" t="s">
        <v>152</v>
      </c>
      <c r="G27" s="110" t="s">
        <v>154</v>
      </c>
      <c r="H27" s="111" t="s">
        <v>172</v>
      </c>
      <c r="I27" s="111" t="s">
        <v>185</v>
      </c>
      <c r="J27" s="268"/>
      <c r="K27" s="235" t="str">
        <f>CEILING(J27/5, 0.25) &amp;  IF(CEILING(J27/5, 0.25)&gt;1, " pounds", " pound")</f>
        <v>0 pound</v>
      </c>
    </row>
    <row r="28" spans="1:12" s="15" customFormat="1" ht="87.75" customHeight="1" thickBot="1" x14ac:dyDescent="0.35">
      <c r="A28" s="236" t="s">
        <v>91</v>
      </c>
      <c r="B28" s="237"/>
      <c r="C28" s="238" t="s">
        <v>13</v>
      </c>
      <c r="D28" s="239" t="s">
        <v>150</v>
      </c>
      <c r="E28" s="240" t="s">
        <v>151</v>
      </c>
      <c r="F28" s="241" t="s">
        <v>152</v>
      </c>
      <c r="G28" s="242" t="s">
        <v>156</v>
      </c>
      <c r="H28" s="243" t="s">
        <v>173</v>
      </c>
      <c r="I28" s="243" t="s">
        <v>186</v>
      </c>
      <c r="J28" s="269"/>
      <c r="K28" s="244" t="str">
        <f>CEILING(J28/(6.1/2), 0.25) &amp;  IF(CEILING(J28/(6.1/2), 0.25)&gt;1, " pounds", " pound")</f>
        <v>0 pound</v>
      </c>
    </row>
    <row r="30" spans="1:12" s="15" customFormat="1" ht="68.400000000000006" customHeight="1" x14ac:dyDescent="0.3">
      <c r="A30" s="280" t="s">
        <v>222</v>
      </c>
      <c r="B30" s="280"/>
      <c r="C30" s="280"/>
      <c r="D30" s="280"/>
      <c r="E30" s="280"/>
      <c r="F30" s="280"/>
      <c r="G30" s="280"/>
      <c r="H30" s="280"/>
      <c r="I30" s="280"/>
      <c r="J30" s="280"/>
      <c r="K30" s="280"/>
    </row>
    <row r="31" spans="1:12" ht="40.950000000000003" customHeight="1" x14ac:dyDescent="0.6">
      <c r="A31" s="270" t="s">
        <v>125</v>
      </c>
      <c r="B31" s="273" t="s">
        <v>219</v>
      </c>
      <c r="C31" s="273"/>
      <c r="D31" s="273"/>
      <c r="E31" s="273"/>
      <c r="F31" s="273"/>
      <c r="G31" s="273"/>
      <c r="H31" s="273"/>
      <c r="I31" s="273"/>
      <c r="J31" s="273"/>
      <c r="K31" s="273"/>
      <c r="L31" s="66"/>
    </row>
    <row r="32" spans="1:12" ht="40.950000000000003" customHeight="1" x14ac:dyDescent="0.6">
      <c r="A32" s="274" t="s">
        <v>224</v>
      </c>
      <c r="B32" s="274"/>
      <c r="C32" s="274"/>
      <c r="D32" s="274"/>
      <c r="E32" s="274"/>
      <c r="F32" s="274"/>
      <c r="G32" s="274"/>
      <c r="H32" s="274"/>
      <c r="I32" s="274"/>
      <c r="J32" s="274"/>
      <c r="K32" s="274"/>
    </row>
    <row r="33" spans="1:11" ht="40.950000000000003" customHeight="1" x14ac:dyDescent="0.6">
      <c r="A33" s="274" t="s">
        <v>132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4"/>
    </row>
    <row r="34" spans="1:11" ht="40.950000000000003" customHeight="1" x14ac:dyDescent="0.6">
      <c r="A34" s="274" t="s">
        <v>133</v>
      </c>
      <c r="B34" s="274"/>
      <c r="C34" s="274"/>
      <c r="D34" s="274"/>
      <c r="E34" s="274"/>
      <c r="F34" s="274"/>
      <c r="G34" s="274"/>
      <c r="H34" s="274"/>
      <c r="I34" s="274"/>
      <c r="J34" s="274"/>
      <c r="K34" s="274"/>
    </row>
    <row r="35" spans="1:11" ht="40.950000000000003" customHeight="1" x14ac:dyDescent="0.6">
      <c r="A35" s="273" t="s">
        <v>131</v>
      </c>
      <c r="B35" s="273"/>
      <c r="C35" s="273"/>
      <c r="D35" s="273"/>
      <c r="E35" s="273"/>
      <c r="F35" s="273"/>
      <c r="G35" s="273"/>
      <c r="H35" s="273"/>
      <c r="I35" s="273"/>
      <c r="J35" s="273"/>
      <c r="K35" s="273"/>
    </row>
    <row r="36" spans="1:11" ht="40.950000000000003" customHeight="1" x14ac:dyDescent="0.6">
      <c r="A36" s="272" t="s">
        <v>127</v>
      </c>
      <c r="B36" s="273"/>
      <c r="C36" s="273"/>
      <c r="D36" s="273"/>
      <c r="E36" s="273"/>
      <c r="F36" s="273"/>
      <c r="G36" s="273"/>
      <c r="H36" s="273"/>
      <c r="I36" s="273"/>
      <c r="J36" s="273"/>
      <c r="K36" s="273"/>
    </row>
  </sheetData>
  <sheetProtection algorithmName="SHA-512" hashValue="VGYsq8BhAT7ZkMKUbxT5CK0BKS8n2569EA94htIOUuEINDo1pXDSAnX1iQvztXldVPD8jsrKZTyFsnAvMmLnzA==" saltValue="v+/fo0sKZ+YbiQSoqxYeoQ==" spinCount="100000" sheet="1" objects="1" scenarios="1"/>
  <mergeCells count="14">
    <mergeCell ref="A1:K1"/>
    <mergeCell ref="A2:K2"/>
    <mergeCell ref="A3:K3"/>
    <mergeCell ref="A4:K4"/>
    <mergeCell ref="A32:K32"/>
    <mergeCell ref="B6:C6"/>
    <mergeCell ref="A36:K36"/>
    <mergeCell ref="A34:K34"/>
    <mergeCell ref="A35:K35"/>
    <mergeCell ref="G6:K6"/>
    <mergeCell ref="D6:F6"/>
    <mergeCell ref="B31:K31"/>
    <mergeCell ref="A33:K33"/>
    <mergeCell ref="A30:K30"/>
  </mergeCells>
  <phoneticPr fontId="16" type="noConversion"/>
  <hyperlinks>
    <hyperlink ref="B31:K31" r:id="rId1" display="For seasonal produce, see What’s in Season? North Carolina Fruit and Vegetable Availability." xr:uid="{E6456ADE-3391-4F40-83A4-9ABE43F0C36E}"/>
    <hyperlink ref="A35:K35" r:id="rId2" display="Source: Food Buying Guide for Child Nutrition Programs " xr:uid="{26F91ADE-7B31-41E9-91AF-0E34A9909F08}"/>
    <hyperlink ref="A36:K36" r:id="rId3" display="USDA Child Meal Pattern " xr:uid="{4303CF63-3851-446D-89C7-84916358F9A6}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4BC49-B72D-4169-AEAD-A465CA3F4B14}">
  <dimension ref="A1:T63"/>
  <sheetViews>
    <sheetView zoomScale="40" zoomScaleNormal="40" workbookViewId="0">
      <pane ySplit="7" topLeftCell="A8" activePane="bottomLeft" state="frozen"/>
      <selection pane="bottomLeft" sqref="A1:K1"/>
    </sheetView>
  </sheetViews>
  <sheetFormatPr defaultRowHeight="23.4" x14ac:dyDescent="0.45"/>
  <cols>
    <col min="1" max="1" width="101.109375" style="5" customWidth="1"/>
    <col min="2" max="2" width="24.88671875" style="1" customWidth="1"/>
    <col min="3" max="3" width="61.21875" style="5" customWidth="1"/>
    <col min="4" max="4" width="20.77734375" style="9" customWidth="1"/>
    <col min="5" max="6" width="20.77734375" style="6" customWidth="1"/>
    <col min="7" max="7" width="20.77734375" style="4" customWidth="1"/>
    <col min="8" max="9" width="20.77734375" style="2" customWidth="1"/>
    <col min="10" max="10" width="22.33203125" style="3" customWidth="1"/>
    <col min="11" max="11" width="31.6640625" style="2" customWidth="1"/>
    <col min="12" max="13" width="8.88671875" customWidth="1"/>
  </cols>
  <sheetData>
    <row r="1" spans="1:12" ht="46.5" customHeight="1" x14ac:dyDescent="0.85">
      <c r="A1" s="281" t="s">
        <v>28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11"/>
    </row>
    <row r="2" spans="1:12" ht="34.5" customHeight="1" x14ac:dyDescent="0.6">
      <c r="A2" s="282" t="s">
        <v>119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12"/>
    </row>
    <row r="3" spans="1:12" ht="45" customHeight="1" x14ac:dyDescent="0.85">
      <c r="A3" s="281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12"/>
    </row>
    <row r="4" spans="1:12" ht="33.75" customHeight="1" x14ac:dyDescent="0.65">
      <c r="A4" s="284" t="s">
        <v>117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13"/>
    </row>
    <row r="5" spans="1:12" ht="24" thickBot="1" x14ac:dyDescent="0.5"/>
    <row r="6" spans="1:12" ht="57.6" customHeight="1" thickBot="1" x14ac:dyDescent="0.35">
      <c r="A6" s="250" t="s">
        <v>130</v>
      </c>
      <c r="B6" s="291" t="s">
        <v>4</v>
      </c>
      <c r="C6" s="292"/>
      <c r="D6" s="288" t="s">
        <v>29</v>
      </c>
      <c r="E6" s="289"/>
      <c r="F6" s="290"/>
      <c r="G6" s="286" t="s">
        <v>0</v>
      </c>
      <c r="H6" s="286"/>
      <c r="I6" s="286"/>
      <c r="J6" s="286"/>
      <c r="K6" s="287"/>
    </row>
    <row r="7" spans="1:12" s="1" customFormat="1" ht="72" customHeight="1" x14ac:dyDescent="0.5">
      <c r="A7" s="251"/>
      <c r="B7" s="252"/>
      <c r="C7" s="253"/>
      <c r="D7" s="254" t="s">
        <v>137</v>
      </c>
      <c r="E7" s="255" t="s">
        <v>138</v>
      </c>
      <c r="F7" s="256" t="s">
        <v>139</v>
      </c>
      <c r="G7" s="257" t="s">
        <v>137</v>
      </c>
      <c r="H7" s="255" t="s">
        <v>138</v>
      </c>
      <c r="I7" s="256" t="s">
        <v>139</v>
      </c>
      <c r="J7" s="245" t="s">
        <v>143</v>
      </c>
      <c r="K7" s="258" t="s">
        <v>144</v>
      </c>
    </row>
    <row r="8" spans="1:12" s="15" customFormat="1" ht="87.75" customHeight="1" x14ac:dyDescent="0.3">
      <c r="A8" s="213" t="s">
        <v>61</v>
      </c>
      <c r="B8" s="214"/>
      <c r="C8" s="215" t="s">
        <v>12</v>
      </c>
      <c r="D8" s="216" t="s">
        <v>189</v>
      </c>
      <c r="E8" s="217" t="s">
        <v>190</v>
      </c>
      <c r="F8" s="218" t="s">
        <v>151</v>
      </c>
      <c r="G8" s="219" t="s">
        <v>191</v>
      </c>
      <c r="H8" s="217" t="s">
        <v>156</v>
      </c>
      <c r="I8" s="220" t="s">
        <v>160</v>
      </c>
      <c r="J8" s="260"/>
      <c r="K8" s="222" t="str">
        <f>CEILING(J8/14.56, 0.25) &amp;  IF(CEILING(J8/14.56, 0.25) &gt;1, " pounds", " pound")</f>
        <v>0 pound</v>
      </c>
    </row>
    <row r="9" spans="1:12" s="15" customFormat="1" ht="87.75" customHeight="1" x14ac:dyDescent="0.3">
      <c r="A9" s="208" t="s">
        <v>113</v>
      </c>
      <c r="B9" s="209"/>
      <c r="C9" s="56" t="s">
        <v>187</v>
      </c>
      <c r="D9" s="20" t="s">
        <v>189</v>
      </c>
      <c r="E9" s="21" t="s">
        <v>190</v>
      </c>
      <c r="F9" s="22" t="s">
        <v>151</v>
      </c>
      <c r="G9" s="210" t="s">
        <v>154</v>
      </c>
      <c r="H9" s="211" t="s">
        <v>161</v>
      </c>
      <c r="I9" s="212" t="s">
        <v>201</v>
      </c>
      <c r="J9" s="261"/>
      <c r="K9" s="24" t="str">
        <f>CEILING(J9/5.52, 0.25) &amp;  IF(CEILING(J9/5.52, 0.25) &gt;1, " pounds", " pound")</f>
        <v>0 pound</v>
      </c>
    </row>
    <row r="10" spans="1:12" s="15" customFormat="1" ht="87.75" customHeight="1" x14ac:dyDescent="0.3">
      <c r="A10" s="69" t="s">
        <v>27</v>
      </c>
      <c r="B10" s="55"/>
      <c r="C10" s="57" t="s">
        <v>145</v>
      </c>
      <c r="D10" s="17" t="s">
        <v>189</v>
      </c>
      <c r="E10" s="18" t="s">
        <v>190</v>
      </c>
      <c r="F10" s="19" t="s">
        <v>151</v>
      </c>
      <c r="G10" s="122" t="s">
        <v>153</v>
      </c>
      <c r="H10" s="123" t="s">
        <v>160</v>
      </c>
      <c r="I10" s="181" t="s">
        <v>162</v>
      </c>
      <c r="J10" s="262"/>
      <c r="K10" s="36" t="str">
        <f>CEILING(J10/7.2,0.25)  &amp;  IF(CEILING(J10/7.2,0.25)  &gt; 1, " pounds", " pound")</f>
        <v>0 pound</v>
      </c>
      <c r="L10" s="25"/>
    </row>
    <row r="11" spans="1:12" s="15" customFormat="1" ht="87.75" customHeight="1" x14ac:dyDescent="0.3">
      <c r="A11" s="70" t="s">
        <v>62</v>
      </c>
      <c r="B11" s="54"/>
      <c r="C11" s="56" t="s">
        <v>40</v>
      </c>
      <c r="D11" s="20" t="s">
        <v>189</v>
      </c>
      <c r="E11" s="21" t="s">
        <v>190</v>
      </c>
      <c r="F11" s="22" t="s">
        <v>151</v>
      </c>
      <c r="G11" s="121" t="s">
        <v>153</v>
      </c>
      <c r="H11" s="124" t="s">
        <v>170</v>
      </c>
      <c r="I11" s="182" t="s">
        <v>169</v>
      </c>
      <c r="J11" s="263"/>
      <c r="K11" s="24" t="str">
        <f>CEILING(J11/7.7,0.25) &amp;  IF(CEILING(J11/7.7,0.25) &gt; 1, " pounds", " pound")</f>
        <v>0 pound</v>
      </c>
      <c r="L11" s="25"/>
    </row>
    <row r="12" spans="1:12" s="15" customFormat="1" ht="87.75" customHeight="1" x14ac:dyDescent="0.3">
      <c r="A12" s="72" t="s">
        <v>63</v>
      </c>
      <c r="B12" s="55"/>
      <c r="C12" s="57" t="s">
        <v>17</v>
      </c>
      <c r="D12" s="17" t="s">
        <v>189</v>
      </c>
      <c r="E12" s="18" t="s">
        <v>190</v>
      </c>
      <c r="F12" s="19" t="s">
        <v>151</v>
      </c>
      <c r="G12" s="122" t="s">
        <v>191</v>
      </c>
      <c r="H12" s="123" t="s">
        <v>158</v>
      </c>
      <c r="I12" s="181" t="s">
        <v>163</v>
      </c>
      <c r="J12" s="262"/>
      <c r="K12" s="36" t="str">
        <f>CEILING(J12/11.9,0.25) &amp;  IF(CEILING(J12/11.9,0.25) &gt; 1, " pounds", " pound")</f>
        <v>0 pound</v>
      </c>
    </row>
    <row r="13" spans="1:12" s="15" customFormat="1" ht="87.75" customHeight="1" x14ac:dyDescent="0.3">
      <c r="A13" s="70" t="s">
        <v>64</v>
      </c>
      <c r="B13" s="54"/>
      <c r="C13" s="56" t="s">
        <v>20</v>
      </c>
      <c r="D13" s="20" t="s">
        <v>189</v>
      </c>
      <c r="E13" s="21" t="s">
        <v>190</v>
      </c>
      <c r="F13" s="22" t="s">
        <v>151</v>
      </c>
      <c r="G13" s="121" t="s">
        <v>191</v>
      </c>
      <c r="H13" s="124" t="s">
        <v>158</v>
      </c>
      <c r="I13" s="182" t="s">
        <v>193</v>
      </c>
      <c r="J13" s="263"/>
      <c r="K13" s="24" t="str">
        <f>CEILING(J13/11.5,0.25) &amp;  IF(CEILING(J13/11.5,0.25) &gt;1, " pounds", " pound")</f>
        <v>0 pound</v>
      </c>
    </row>
    <row r="14" spans="1:12" s="15" customFormat="1" ht="87.75" customHeight="1" x14ac:dyDescent="0.3">
      <c r="A14" s="69" t="s">
        <v>100</v>
      </c>
      <c r="B14" s="55"/>
      <c r="C14" s="57" t="s">
        <v>5</v>
      </c>
      <c r="D14" s="17" t="s">
        <v>189</v>
      </c>
      <c r="E14" s="18" t="s">
        <v>190</v>
      </c>
      <c r="F14" s="19" t="s">
        <v>151</v>
      </c>
      <c r="G14" s="122" t="s">
        <v>192</v>
      </c>
      <c r="H14" s="123" t="s">
        <v>154</v>
      </c>
      <c r="I14" s="181" t="s">
        <v>156</v>
      </c>
      <c r="J14" s="262"/>
      <c r="K14" s="36" t="str">
        <f>CEILING(J14/28.8,0.25) &amp;  IF(CEILING(J14/28.8,0.25) &gt; 1, " pounds", " pound")</f>
        <v>0 pound</v>
      </c>
    </row>
    <row r="15" spans="1:12" s="15" customFormat="1" ht="87.75" customHeight="1" x14ac:dyDescent="0.3">
      <c r="A15" s="70" t="s">
        <v>65</v>
      </c>
      <c r="B15" s="54"/>
      <c r="C15" s="56" t="s">
        <v>41</v>
      </c>
      <c r="D15" s="20" t="s">
        <v>189</v>
      </c>
      <c r="E15" s="21" t="s">
        <v>190</v>
      </c>
      <c r="F15" s="22" t="s">
        <v>151</v>
      </c>
      <c r="G15" s="121" t="s">
        <v>153</v>
      </c>
      <c r="H15" s="124" t="s">
        <v>160</v>
      </c>
      <c r="I15" s="182" t="s">
        <v>202</v>
      </c>
      <c r="J15" s="263"/>
      <c r="K15" s="24" t="str">
        <f>CEILING(J15/7.5,0.25) &amp;  IF(CEILING(J15/7.5,0.25) &gt; 1, " pounds", " pound")</f>
        <v>0 pound</v>
      </c>
    </row>
    <row r="16" spans="1:12" s="15" customFormat="1" ht="87.75" customHeight="1" x14ac:dyDescent="0.3">
      <c r="A16" s="69" t="s">
        <v>66</v>
      </c>
      <c r="B16" s="55"/>
      <c r="C16" s="57" t="s">
        <v>11</v>
      </c>
      <c r="D16" s="17" t="s">
        <v>189</v>
      </c>
      <c r="E16" s="18" t="s">
        <v>190</v>
      </c>
      <c r="F16" s="19" t="s">
        <v>151</v>
      </c>
      <c r="G16" s="122" t="s">
        <v>191</v>
      </c>
      <c r="H16" s="123" t="s">
        <v>155</v>
      </c>
      <c r="I16" s="181" t="s">
        <v>159</v>
      </c>
      <c r="J16" s="262"/>
      <c r="K16" s="36" t="str">
        <f>CEILING(J16/17.7,0.25) &amp;  IF(CEILING(J16/17.7,0.25) &gt;1, " pounds", " pound")</f>
        <v>0 pound</v>
      </c>
    </row>
    <row r="17" spans="1:12" s="15" customFormat="1" ht="87.75" customHeight="1" x14ac:dyDescent="0.3">
      <c r="A17" s="70" t="s">
        <v>67</v>
      </c>
      <c r="B17" s="54"/>
      <c r="C17" s="56" t="s">
        <v>14</v>
      </c>
      <c r="D17" s="20" t="s">
        <v>189</v>
      </c>
      <c r="E17" s="21" t="s">
        <v>190</v>
      </c>
      <c r="F17" s="22" t="s">
        <v>151</v>
      </c>
      <c r="G17" s="121" t="s">
        <v>154</v>
      </c>
      <c r="H17" s="124" t="s">
        <v>193</v>
      </c>
      <c r="I17" s="182" t="s">
        <v>164</v>
      </c>
      <c r="J17" s="263"/>
      <c r="K17" s="24" t="str">
        <f>CEILING(J17/5.73, 0.25) &amp;  IF(CEILING(J17/5.73, 0.25) &gt; 1, " pounds", " pound")</f>
        <v>0 pound</v>
      </c>
    </row>
    <row r="18" spans="1:12" s="15" customFormat="1" ht="87.75" customHeight="1" x14ac:dyDescent="0.3">
      <c r="A18" s="69" t="s">
        <v>68</v>
      </c>
      <c r="B18" s="55"/>
      <c r="C18" s="57" t="s">
        <v>15</v>
      </c>
      <c r="D18" s="17" t="s">
        <v>189</v>
      </c>
      <c r="E18" s="18" t="s">
        <v>190</v>
      </c>
      <c r="F18" s="19" t="s">
        <v>151</v>
      </c>
      <c r="G18" s="122" t="s">
        <v>153</v>
      </c>
      <c r="H18" s="123" t="s">
        <v>170</v>
      </c>
      <c r="I18" s="181" t="s">
        <v>203</v>
      </c>
      <c r="J18" s="262"/>
      <c r="K18" s="36" t="str">
        <f>CEILING(J18/8.16, 0.25) &amp;  IF(CEILING(J18/8.16, 0.25) &gt; 1, " pounds", " pound")</f>
        <v>0 pound</v>
      </c>
    </row>
    <row r="19" spans="1:12" s="15" customFormat="1" ht="87.75" customHeight="1" x14ac:dyDescent="0.3">
      <c r="A19" s="70" t="s">
        <v>25</v>
      </c>
      <c r="B19" s="54"/>
      <c r="C19" s="56" t="s">
        <v>5</v>
      </c>
      <c r="D19" s="20" t="s">
        <v>189</v>
      </c>
      <c r="E19" s="21" t="s">
        <v>190</v>
      </c>
      <c r="F19" s="22" t="s">
        <v>151</v>
      </c>
      <c r="G19" s="121" t="s">
        <v>191</v>
      </c>
      <c r="H19" s="124" t="s">
        <v>194</v>
      </c>
      <c r="I19" s="182" t="s">
        <v>200</v>
      </c>
      <c r="J19" s="263"/>
      <c r="K19" s="24" t="str">
        <f>CEILING(J19/12.9,0.25)&amp;IF(CEILING(J19/12.9,0.25)&gt;1," pounds"," pound")</f>
        <v>0 pound</v>
      </c>
    </row>
    <row r="20" spans="1:12" s="15" customFormat="1" ht="87.75" customHeight="1" x14ac:dyDescent="0.3">
      <c r="A20" s="69" t="s">
        <v>68</v>
      </c>
      <c r="B20" s="55"/>
      <c r="C20" s="57" t="s">
        <v>120</v>
      </c>
      <c r="D20" s="17" t="s">
        <v>189</v>
      </c>
      <c r="E20" s="18" t="s">
        <v>190</v>
      </c>
      <c r="F20" s="19" t="s">
        <v>151</v>
      </c>
      <c r="G20" s="122" t="s">
        <v>191</v>
      </c>
      <c r="H20" s="123" t="s">
        <v>195</v>
      </c>
      <c r="I20" s="181" t="s">
        <v>172</v>
      </c>
      <c r="J20" s="262"/>
      <c r="K20" s="36" t="str">
        <f>CEILING(J20/10.3, 0.25) &amp;  IF(CEILING(J20/10.3, 0.25) &gt;1, " pounds", " pound")</f>
        <v>0 pound</v>
      </c>
      <c r="L20" s="16"/>
    </row>
    <row r="21" spans="1:12" s="15" customFormat="1" ht="87.75" customHeight="1" x14ac:dyDescent="0.3">
      <c r="A21" s="202" t="s">
        <v>115</v>
      </c>
      <c r="B21" s="203"/>
      <c r="C21" s="204" t="s">
        <v>108</v>
      </c>
      <c r="D21" s="20" t="s">
        <v>189</v>
      </c>
      <c r="E21" s="21" t="s">
        <v>190</v>
      </c>
      <c r="F21" s="22" t="s">
        <v>151</v>
      </c>
      <c r="G21" s="205" t="s">
        <v>153</v>
      </c>
      <c r="H21" s="206" t="s">
        <v>159</v>
      </c>
      <c r="I21" s="207" t="s">
        <v>165</v>
      </c>
      <c r="J21" s="221"/>
      <c r="K21" s="24" t="str">
        <f>CEILING(J21/8.8, 0.25) &amp;  IF(CEILING(J21/8.8, 0.25) &gt;1, " pounds", " pound")</f>
        <v>0 pound</v>
      </c>
      <c r="L21" s="136"/>
    </row>
    <row r="22" spans="1:12" s="15" customFormat="1" ht="87.75" customHeight="1" x14ac:dyDescent="0.3">
      <c r="A22" s="140" t="s">
        <v>114</v>
      </c>
      <c r="B22" s="180"/>
      <c r="C22" s="137" t="s">
        <v>110</v>
      </c>
      <c r="D22" s="17" t="s">
        <v>189</v>
      </c>
      <c r="E22" s="18" t="s">
        <v>190</v>
      </c>
      <c r="F22" s="19" t="s">
        <v>151</v>
      </c>
      <c r="G22" s="138" t="s">
        <v>191</v>
      </c>
      <c r="H22" s="139" t="s">
        <v>155</v>
      </c>
      <c r="I22" s="143" t="s">
        <v>197</v>
      </c>
      <c r="J22" s="144"/>
      <c r="K22" s="36" t="str">
        <f>CEILING(J22/18.3, 0.25) &amp;  IF(CEILING(J22/18.3, 0.25) &gt;1, " pounds", " pound")</f>
        <v>0 pound</v>
      </c>
      <c r="L22" s="136"/>
    </row>
    <row r="23" spans="1:12" s="15" customFormat="1" ht="87.75" customHeight="1" x14ac:dyDescent="0.3">
      <c r="A23" s="70" t="s">
        <v>26</v>
      </c>
      <c r="B23" s="54"/>
      <c r="C23" s="56" t="s">
        <v>188</v>
      </c>
      <c r="D23" s="20" t="s">
        <v>189</v>
      </c>
      <c r="E23" s="21" t="s">
        <v>190</v>
      </c>
      <c r="F23" s="22" t="s">
        <v>151</v>
      </c>
      <c r="G23" s="121" t="s">
        <v>191</v>
      </c>
      <c r="H23" s="124" t="s">
        <v>158</v>
      </c>
      <c r="I23" s="182" t="s">
        <v>163</v>
      </c>
      <c r="J23" s="263"/>
      <c r="K23" s="24" t="str">
        <f>CEILING(J23/12.2, 0.25) &amp;  IF(CEILING(J23/12.2, 0.25) &gt;1, " pounds", " pound")</f>
        <v>0 pound</v>
      </c>
      <c r="L23" s="16"/>
    </row>
    <row r="24" spans="1:12" s="15" customFormat="1" ht="87.75" customHeight="1" x14ac:dyDescent="0.3">
      <c r="A24" s="69" t="s">
        <v>69</v>
      </c>
      <c r="B24" s="55"/>
      <c r="C24" s="57" t="s">
        <v>30</v>
      </c>
      <c r="D24" s="17" t="s">
        <v>189</v>
      </c>
      <c r="E24" s="18" t="s">
        <v>190</v>
      </c>
      <c r="F24" s="19" t="s">
        <v>151</v>
      </c>
      <c r="G24" s="122" t="s">
        <v>191</v>
      </c>
      <c r="H24" s="123" t="s">
        <v>195</v>
      </c>
      <c r="I24" s="181" t="s">
        <v>161</v>
      </c>
      <c r="J24" s="262"/>
      <c r="K24" s="36" t="str">
        <f>CEILING(J24/11, 0.25) &amp;  IF(CEILING(J24/11, 0.25) &gt;1, " pounds", " pound")</f>
        <v>0 pound</v>
      </c>
    </row>
    <row r="25" spans="1:12" s="15" customFormat="1" ht="87.75" customHeight="1" x14ac:dyDescent="0.3">
      <c r="A25" s="70" t="s">
        <v>57</v>
      </c>
      <c r="B25" s="54"/>
      <c r="C25" s="56" t="s">
        <v>146</v>
      </c>
      <c r="D25" s="20" t="s">
        <v>189</v>
      </c>
      <c r="E25" s="21" t="s">
        <v>190</v>
      </c>
      <c r="F25" s="22" t="s">
        <v>151</v>
      </c>
      <c r="G25" s="121" t="s">
        <v>153</v>
      </c>
      <c r="H25" s="124" t="s">
        <v>159</v>
      </c>
      <c r="I25" s="182" t="s">
        <v>165</v>
      </c>
      <c r="J25" s="263"/>
      <c r="K25" s="24" t="str">
        <f>CEILING(J25/((6*(3/8))/(1/4)), 0.25) &amp;  IF(CEILING(J24/11, 0.25) &gt; 1, " pounds", " pound")</f>
        <v>0 pound</v>
      </c>
    </row>
    <row r="26" spans="1:12" s="15" customFormat="1" ht="87.75" customHeight="1" x14ac:dyDescent="0.3">
      <c r="A26" s="69" t="s">
        <v>70</v>
      </c>
      <c r="B26" s="55"/>
      <c r="C26" s="57" t="s">
        <v>42</v>
      </c>
      <c r="D26" s="17" t="s">
        <v>189</v>
      </c>
      <c r="E26" s="18" t="s">
        <v>190</v>
      </c>
      <c r="F26" s="19" t="s">
        <v>151</v>
      </c>
      <c r="G26" s="122" t="s">
        <v>154</v>
      </c>
      <c r="H26" s="123" t="s">
        <v>163</v>
      </c>
      <c r="I26" s="181" t="s">
        <v>173</v>
      </c>
      <c r="J26" s="262"/>
      <c r="K26" s="36" t="str">
        <f>CEILING(J26/6.2, 0.25) &amp;  IF(CEILING(J26/6.2, 0.25) &gt;1, " pounds", " pound")</f>
        <v>0 pound</v>
      </c>
    </row>
    <row r="27" spans="1:12" s="15" customFormat="1" ht="87.75" customHeight="1" x14ac:dyDescent="0.3">
      <c r="A27" s="70" t="s">
        <v>109</v>
      </c>
      <c r="B27" s="54"/>
      <c r="C27" s="56" t="s">
        <v>7</v>
      </c>
      <c r="D27" s="20" t="s">
        <v>189</v>
      </c>
      <c r="E27" s="21" t="s">
        <v>190</v>
      </c>
      <c r="F27" s="22" t="s">
        <v>151</v>
      </c>
      <c r="G27" s="121" t="s">
        <v>155</v>
      </c>
      <c r="H27" s="124" t="s">
        <v>196</v>
      </c>
      <c r="I27" s="182" t="s">
        <v>204</v>
      </c>
      <c r="J27" s="263"/>
      <c r="K27" s="24" t="str">
        <f>CEILING(J27/3.35, 0.25) &amp;  IF(CEILING(J27/3.35, 0.25) &gt; 1, " pounds", " pound")</f>
        <v>0 pound</v>
      </c>
    </row>
    <row r="28" spans="1:12" s="15" customFormat="1" ht="87.75" customHeight="1" x14ac:dyDescent="0.3">
      <c r="A28" s="69" t="s">
        <v>71</v>
      </c>
      <c r="B28" s="55"/>
      <c r="C28" s="57" t="s">
        <v>124</v>
      </c>
      <c r="D28" s="17" t="s">
        <v>189</v>
      </c>
      <c r="E28" s="18" t="s">
        <v>190</v>
      </c>
      <c r="F28" s="19" t="s">
        <v>151</v>
      </c>
      <c r="G28" s="122" t="s">
        <v>191</v>
      </c>
      <c r="H28" s="123" t="s">
        <v>158</v>
      </c>
      <c r="I28" s="181" t="s">
        <v>163</v>
      </c>
      <c r="J28" s="262"/>
      <c r="K28" s="36" t="str">
        <f>CEILING(J28/11.8, 0.25) &amp;  IF(CEILING(J28/11.8, 0.25) &gt;1, " pounds", " pound")</f>
        <v>0 pound</v>
      </c>
    </row>
    <row r="29" spans="1:12" s="15" customFormat="1" ht="87.75" customHeight="1" x14ac:dyDescent="0.3">
      <c r="A29" s="70" t="s">
        <v>55</v>
      </c>
      <c r="B29" s="54"/>
      <c r="C29" s="56" t="s">
        <v>30</v>
      </c>
      <c r="D29" s="20" t="s">
        <v>189</v>
      </c>
      <c r="E29" s="21" t="s">
        <v>190</v>
      </c>
      <c r="F29" s="22" t="s">
        <v>151</v>
      </c>
      <c r="G29" s="121" t="s">
        <v>153</v>
      </c>
      <c r="H29" s="124" t="s">
        <v>197</v>
      </c>
      <c r="I29" s="182" t="s">
        <v>166</v>
      </c>
      <c r="J29" s="263"/>
      <c r="K29" s="24" t="str">
        <f>CEILING(J29/9.27, 0.25) &amp;  IF(CEILING(J29/9.27, 0.25) &gt;1, " pounds", " pound")</f>
        <v>0 pound</v>
      </c>
    </row>
    <row r="30" spans="1:12" s="15" customFormat="1" ht="87.75" customHeight="1" x14ac:dyDescent="0.3">
      <c r="A30" s="69" t="s">
        <v>93</v>
      </c>
      <c r="B30" s="55"/>
      <c r="C30" s="57" t="s">
        <v>33</v>
      </c>
      <c r="D30" s="17" t="s">
        <v>189</v>
      </c>
      <c r="E30" s="18" t="s">
        <v>190</v>
      </c>
      <c r="F30" s="19" t="s">
        <v>151</v>
      </c>
      <c r="G30" s="122" t="s">
        <v>191</v>
      </c>
      <c r="H30" s="123" t="s">
        <v>195</v>
      </c>
      <c r="I30" s="181" t="s">
        <v>161</v>
      </c>
      <c r="J30" s="262"/>
      <c r="K30" s="36" t="str">
        <f>CEILING(J30/11.1, 0.25) &amp;  IF(CEILING(J30/11.1, 0.25) &gt;1, " pounds", " pound")</f>
        <v>0 pound</v>
      </c>
    </row>
    <row r="31" spans="1:12" s="15" customFormat="1" ht="87.75" customHeight="1" x14ac:dyDescent="0.3">
      <c r="A31" s="70" t="s">
        <v>72</v>
      </c>
      <c r="B31" s="54"/>
      <c r="C31" s="56" t="s">
        <v>37</v>
      </c>
      <c r="D31" s="20" t="s">
        <v>189</v>
      </c>
      <c r="E31" s="21" t="s">
        <v>190</v>
      </c>
      <c r="F31" s="22" t="s">
        <v>151</v>
      </c>
      <c r="G31" s="121" t="s">
        <v>157</v>
      </c>
      <c r="H31" s="124" t="s">
        <v>198</v>
      </c>
      <c r="I31" s="182" t="s">
        <v>167</v>
      </c>
      <c r="J31" s="263"/>
      <c r="K31" s="24" t="str">
        <f>CEILING(J31/4.9, 0.25) &amp;  IF(CEILING(J31/4.9, 0.25) &gt;1, " pounds", " pound")</f>
        <v>0 pound</v>
      </c>
      <c r="L31" s="16"/>
    </row>
    <row r="32" spans="1:12" s="15" customFormat="1" ht="87.75" customHeight="1" x14ac:dyDescent="0.3">
      <c r="A32" s="69" t="s">
        <v>73</v>
      </c>
      <c r="B32" s="55"/>
      <c r="C32" s="57" t="s">
        <v>11</v>
      </c>
      <c r="D32" s="17" t="s">
        <v>150</v>
      </c>
      <c r="E32" s="18" t="s">
        <v>151</v>
      </c>
      <c r="F32" s="19" t="s">
        <v>152</v>
      </c>
      <c r="G32" s="122" t="s">
        <v>192</v>
      </c>
      <c r="H32" s="123" t="s">
        <v>157</v>
      </c>
      <c r="I32" s="181" t="s">
        <v>158</v>
      </c>
      <c r="J32" s="262"/>
      <c r="K32" s="36" t="str">
        <f>CEILING((J32/48.8)*2, 0.25) &amp;  IF(CEILING((J32/48.8)*2, 0.25) &gt; 1, " pounds", " pound")</f>
        <v>0 pound</v>
      </c>
      <c r="L32" s="16"/>
    </row>
    <row r="33" spans="1:20" s="15" customFormat="1" ht="87.75" customHeight="1" x14ac:dyDescent="0.3">
      <c r="A33" s="70" t="s">
        <v>54</v>
      </c>
      <c r="B33" s="54"/>
      <c r="C33" s="56" t="s">
        <v>123</v>
      </c>
      <c r="D33" s="20" t="s">
        <v>189</v>
      </c>
      <c r="E33" s="21" t="s">
        <v>190</v>
      </c>
      <c r="F33" s="22" t="s">
        <v>151</v>
      </c>
      <c r="G33" s="121" t="s">
        <v>153</v>
      </c>
      <c r="H33" s="124" t="s">
        <v>159</v>
      </c>
      <c r="I33" s="182" t="s">
        <v>165</v>
      </c>
      <c r="J33" s="263"/>
      <c r="K33" s="24" t="str">
        <f>CEILING(J33/8.99, 0.25) &amp; IF(CEILING(J33/8.99, 0.25) &gt;1, " pounds", " pound")</f>
        <v>0 pound</v>
      </c>
      <c r="L33" s="16"/>
    </row>
    <row r="34" spans="1:20" s="15" customFormat="1" ht="87.75" customHeight="1" x14ac:dyDescent="0.3">
      <c r="A34" s="69" t="s">
        <v>74</v>
      </c>
      <c r="B34" s="55"/>
      <c r="C34" s="57" t="s">
        <v>21</v>
      </c>
      <c r="D34" s="17" t="s">
        <v>150</v>
      </c>
      <c r="E34" s="18" t="s">
        <v>151</v>
      </c>
      <c r="F34" s="19" t="s">
        <v>152</v>
      </c>
      <c r="G34" s="122" t="s">
        <v>191</v>
      </c>
      <c r="H34" s="123" t="s">
        <v>195</v>
      </c>
      <c r="I34" s="181" t="s">
        <v>161</v>
      </c>
      <c r="J34" s="262"/>
      <c r="K34" s="36" t="str">
        <f>CEILING((J34/21.7)*2, 0.25) &amp;  IF(CEILING((J34/21.7)*2, 0.25) &gt;1, " pounds", " pound")</f>
        <v>0 pound</v>
      </c>
      <c r="L34" s="16"/>
    </row>
    <row r="35" spans="1:20" s="15" customFormat="1" ht="87.75" customHeight="1" x14ac:dyDescent="0.3">
      <c r="A35" s="68" t="s">
        <v>105</v>
      </c>
      <c r="B35" s="54"/>
      <c r="C35" s="56" t="s">
        <v>43</v>
      </c>
      <c r="D35" s="20" t="s">
        <v>189</v>
      </c>
      <c r="E35" s="21" t="s">
        <v>190</v>
      </c>
      <c r="F35" s="22" t="s">
        <v>151</v>
      </c>
      <c r="G35" s="121" t="s">
        <v>153</v>
      </c>
      <c r="H35" s="124" t="s">
        <v>170</v>
      </c>
      <c r="I35" s="182" t="s">
        <v>169</v>
      </c>
      <c r="J35" s="263"/>
      <c r="K35" s="24" t="str">
        <f>CEILING(J35/7.9, 0.25) &amp;  IF(CEILING(J35/7.9, 0.25) &gt;1, " pounds", " pound")</f>
        <v>0 pound</v>
      </c>
      <c r="L35" s="16"/>
    </row>
    <row r="36" spans="1:20" s="15" customFormat="1" ht="87.75" customHeight="1" x14ac:dyDescent="0.3">
      <c r="A36" s="69" t="s">
        <v>44</v>
      </c>
      <c r="B36" s="74"/>
      <c r="C36" s="57" t="s">
        <v>148</v>
      </c>
      <c r="D36" s="17" t="s">
        <v>189</v>
      </c>
      <c r="E36" s="18" t="s">
        <v>190</v>
      </c>
      <c r="F36" s="19" t="s">
        <v>151</v>
      </c>
      <c r="G36" s="122" t="s">
        <v>155</v>
      </c>
      <c r="H36" s="123" t="s">
        <v>199</v>
      </c>
      <c r="I36" s="181" t="s">
        <v>168</v>
      </c>
      <c r="J36" s="262"/>
      <c r="K36" s="36" t="str">
        <f>CEILING(J36/3.5, 0.25) &amp; IF(CEILING(J36/3.5, 0.25) &gt;1, " pounds", " pound")</f>
        <v>0 pound</v>
      </c>
      <c r="L36" s="16"/>
      <c r="T36" s="15" t="s">
        <v>19</v>
      </c>
    </row>
    <row r="37" spans="1:20" s="16" customFormat="1" ht="87.75" customHeight="1" x14ac:dyDescent="0.3">
      <c r="A37" s="70" t="s">
        <v>75</v>
      </c>
      <c r="B37" s="54"/>
      <c r="C37" s="56" t="s">
        <v>46</v>
      </c>
      <c r="D37" s="20" t="s">
        <v>189</v>
      </c>
      <c r="E37" s="21" t="s">
        <v>190</v>
      </c>
      <c r="F37" s="22" t="s">
        <v>151</v>
      </c>
      <c r="G37" s="121" t="s">
        <v>191</v>
      </c>
      <c r="H37" s="124" t="s">
        <v>195</v>
      </c>
      <c r="I37" s="182" t="s">
        <v>161</v>
      </c>
      <c r="J37" s="263"/>
      <c r="K37" s="24" t="str">
        <f>CEILING(J37/10.7, 0.25) &amp;  IF(CEILING(J37/10.7, 0.25) &gt;1, " pounds", " pound")</f>
        <v>0 pound</v>
      </c>
    </row>
    <row r="38" spans="1:20" s="15" customFormat="1" ht="87.75" customHeight="1" x14ac:dyDescent="0.3">
      <c r="A38" s="69" t="s">
        <v>76</v>
      </c>
      <c r="B38" s="55"/>
      <c r="C38" s="57" t="s">
        <v>47</v>
      </c>
      <c r="D38" s="17" t="s">
        <v>189</v>
      </c>
      <c r="E38" s="18" t="s">
        <v>190</v>
      </c>
      <c r="F38" s="19" t="s">
        <v>151</v>
      </c>
      <c r="G38" s="122" t="s">
        <v>153</v>
      </c>
      <c r="H38" s="123" t="s">
        <v>170</v>
      </c>
      <c r="I38" s="181" t="s">
        <v>169</v>
      </c>
      <c r="J38" s="262"/>
      <c r="K38" s="36" t="str">
        <f>CEILING(J38/7.9, 0.25) &amp;  IF(CEILING(J38/7.9, 0.25) &gt;1, " pounds", " pound")</f>
        <v>0 pound</v>
      </c>
      <c r="L38" s="16"/>
    </row>
    <row r="39" spans="1:20" s="15" customFormat="1" ht="87.75" customHeight="1" x14ac:dyDescent="0.3">
      <c r="A39" s="70" t="s">
        <v>77</v>
      </c>
      <c r="B39" s="54"/>
      <c r="C39" s="56" t="s">
        <v>8</v>
      </c>
      <c r="D39" s="20" t="s">
        <v>189</v>
      </c>
      <c r="E39" s="21" t="s">
        <v>190</v>
      </c>
      <c r="F39" s="22" t="s">
        <v>151</v>
      </c>
      <c r="G39" s="121" t="s">
        <v>191</v>
      </c>
      <c r="H39" s="124" t="s">
        <v>156</v>
      </c>
      <c r="I39" s="182" t="s">
        <v>160</v>
      </c>
      <c r="J39" s="263"/>
      <c r="K39" s="24" t="str">
        <f>CEILING(J39/14.7, 0.25) &amp;  IF(CEILING(J39/14.7, 0.25) &gt; 1, " pounds", " pound")</f>
        <v>0 pound</v>
      </c>
      <c r="L39" s="16"/>
    </row>
    <row r="40" spans="1:20" s="15" customFormat="1" ht="87.75" customHeight="1" x14ac:dyDescent="0.3">
      <c r="A40" s="69" t="s">
        <v>56</v>
      </c>
      <c r="B40" s="55"/>
      <c r="C40" s="57" t="s">
        <v>49</v>
      </c>
      <c r="D40" s="17" t="s">
        <v>189</v>
      </c>
      <c r="E40" s="18" t="s">
        <v>190</v>
      </c>
      <c r="F40" s="19" t="s">
        <v>151</v>
      </c>
      <c r="G40" s="122" t="s">
        <v>154</v>
      </c>
      <c r="H40" s="123" t="s">
        <v>200</v>
      </c>
      <c r="I40" s="181" t="s">
        <v>171</v>
      </c>
      <c r="J40" s="262"/>
      <c r="K40" s="36" t="str">
        <f>CEILING(J40/6.4, 0.25) &amp;  IF(CEILING(J40/6.4, 0.25) &gt; 1, " pounds", " pound")</f>
        <v>0 pound</v>
      </c>
      <c r="L40" s="16"/>
    </row>
    <row r="41" spans="1:20" s="15" customFormat="1" ht="87.75" customHeight="1" x14ac:dyDescent="0.3">
      <c r="A41" s="68" t="s">
        <v>78</v>
      </c>
      <c r="B41" s="54"/>
      <c r="C41" s="56" t="s">
        <v>38</v>
      </c>
      <c r="D41" s="20" t="s">
        <v>189</v>
      </c>
      <c r="E41" s="21" t="s">
        <v>190</v>
      </c>
      <c r="F41" s="22" t="s">
        <v>151</v>
      </c>
      <c r="G41" s="121" t="s">
        <v>191</v>
      </c>
      <c r="H41" s="124" t="s">
        <v>195</v>
      </c>
      <c r="I41" s="182" t="s">
        <v>161</v>
      </c>
      <c r="J41" s="263"/>
      <c r="K41" s="24" t="str">
        <f>CEILING(J41/10.7, 0.25) &amp;  IF(CEILING(J41/10.7, 0.25) &gt;1, " pounds", " pound")</f>
        <v>0 pound</v>
      </c>
      <c r="L41" s="16"/>
    </row>
    <row r="42" spans="1:20" s="15" customFormat="1" ht="87.75" customHeight="1" x14ac:dyDescent="0.3">
      <c r="A42" s="69" t="s">
        <v>106</v>
      </c>
      <c r="B42" s="55"/>
      <c r="C42" s="57" t="s">
        <v>9</v>
      </c>
      <c r="D42" s="17" t="s">
        <v>189</v>
      </c>
      <c r="E42" s="18" t="s">
        <v>190</v>
      </c>
      <c r="F42" s="19" t="s">
        <v>151</v>
      </c>
      <c r="G42" s="122" t="s">
        <v>153</v>
      </c>
      <c r="H42" s="123" t="s">
        <v>159</v>
      </c>
      <c r="I42" s="181" t="s">
        <v>165</v>
      </c>
      <c r="J42" s="262"/>
      <c r="K42" s="36" t="str">
        <f>CEILING(J42/8.9, 0.25) &amp;  IF(CEILING(J42/8.9, 0.25) &gt; 1, " pounds", " pound")</f>
        <v>0 pound</v>
      </c>
      <c r="L42" s="16"/>
    </row>
    <row r="43" spans="1:20" s="15" customFormat="1" ht="87.75" customHeight="1" x14ac:dyDescent="0.3">
      <c r="A43" s="70" t="s">
        <v>79</v>
      </c>
      <c r="B43" s="54"/>
      <c r="C43" s="56" t="s">
        <v>21</v>
      </c>
      <c r="D43" s="20" t="s">
        <v>150</v>
      </c>
      <c r="E43" s="21" t="s">
        <v>151</v>
      </c>
      <c r="F43" s="22" t="s">
        <v>152</v>
      </c>
      <c r="G43" s="121" t="s">
        <v>191</v>
      </c>
      <c r="H43" s="124" t="s">
        <v>156</v>
      </c>
      <c r="I43" s="182" t="s">
        <v>170</v>
      </c>
      <c r="J43" s="263"/>
      <c r="K43" s="24" t="str">
        <f>CEILING((J43/31.3)*2, 0.25) &amp;  IF(CEILING((J43/31.3)*2, 0.25) &gt;1, " pounds", " pound")</f>
        <v>0 pound</v>
      </c>
      <c r="L43" s="16"/>
    </row>
    <row r="44" spans="1:20" s="15" customFormat="1" ht="87.75" customHeight="1" x14ac:dyDescent="0.3">
      <c r="A44" s="72" t="s">
        <v>102</v>
      </c>
      <c r="B44" s="55"/>
      <c r="C44" s="57" t="s">
        <v>6</v>
      </c>
      <c r="D44" s="17" t="s">
        <v>189</v>
      </c>
      <c r="E44" s="18" t="s">
        <v>190</v>
      </c>
      <c r="F44" s="19" t="s">
        <v>151</v>
      </c>
      <c r="G44" s="122" t="s">
        <v>191</v>
      </c>
      <c r="H44" s="123" t="s">
        <v>158</v>
      </c>
      <c r="I44" s="181" t="s">
        <v>193</v>
      </c>
      <c r="J44" s="262"/>
      <c r="K44" s="36" t="str">
        <f>CEILING(J44/11.4, 0.25) &amp;  IF(CEILING(J44/11.4, 0.25) &gt; 1, " pounds", " pound")</f>
        <v>0 pound</v>
      </c>
      <c r="L44" s="16"/>
    </row>
    <row r="45" spans="1:20" s="15" customFormat="1" ht="87.75" customHeight="1" x14ac:dyDescent="0.3">
      <c r="A45" s="70" t="s">
        <v>80</v>
      </c>
      <c r="B45" s="54"/>
      <c r="C45" s="56" t="s">
        <v>10</v>
      </c>
      <c r="D45" s="20" t="s">
        <v>189</v>
      </c>
      <c r="E45" s="21" t="s">
        <v>190</v>
      </c>
      <c r="F45" s="22" t="s">
        <v>151</v>
      </c>
      <c r="G45" s="121" t="s">
        <v>153</v>
      </c>
      <c r="H45" s="124" t="s">
        <v>160</v>
      </c>
      <c r="I45" s="182" t="s">
        <v>202</v>
      </c>
      <c r="J45" s="263"/>
      <c r="K45" s="24" t="str">
        <f>CEILING(J45/7.6, 0.25) &amp;  IF(CEILING(J45/7.6, 0.25) &gt;1, " pounds", " pound")</f>
        <v>0 pound</v>
      </c>
      <c r="L45" s="16"/>
    </row>
    <row r="46" spans="1:20" s="16" customFormat="1" ht="87.75" customHeight="1" x14ac:dyDescent="0.3">
      <c r="A46" s="69" t="s">
        <v>80</v>
      </c>
      <c r="B46" s="55"/>
      <c r="C46" s="57" t="s">
        <v>11</v>
      </c>
      <c r="D46" s="17" t="s">
        <v>150</v>
      </c>
      <c r="E46" s="18" t="s">
        <v>151</v>
      </c>
      <c r="F46" s="19" t="s">
        <v>152</v>
      </c>
      <c r="G46" s="122" t="s">
        <v>191</v>
      </c>
      <c r="H46" s="123" t="s">
        <v>156</v>
      </c>
      <c r="I46" s="181" t="s">
        <v>160</v>
      </c>
      <c r="J46" s="262"/>
      <c r="K46" s="36" t="str">
        <f>CEILING((J46/30.7)*2, 0.25) &amp;  IF(CEILING((J46/30.7)*2, 0.25) &gt;1, " pounds", " pound")</f>
        <v>0 pound</v>
      </c>
    </row>
    <row r="47" spans="1:20" s="15" customFormat="1" ht="87.75" customHeight="1" x14ac:dyDescent="0.3">
      <c r="A47" s="68" t="s">
        <v>81</v>
      </c>
      <c r="B47" s="54"/>
      <c r="C47" s="56" t="s">
        <v>46</v>
      </c>
      <c r="D47" s="20" t="s">
        <v>189</v>
      </c>
      <c r="E47" s="21" t="s">
        <v>190</v>
      </c>
      <c r="F47" s="22" t="s">
        <v>151</v>
      </c>
      <c r="G47" s="121" t="s">
        <v>191</v>
      </c>
      <c r="H47" s="124" t="s">
        <v>195</v>
      </c>
      <c r="I47" s="182" t="s">
        <v>172</v>
      </c>
      <c r="J47" s="263"/>
      <c r="K47" s="24" t="str">
        <f>CEILING(J47/10.5, 0.25) &amp;  IF(CEILING(J47/10.5, 0.25) &gt;1, " pounds", " pound")</f>
        <v>0 pound</v>
      </c>
      <c r="L47" s="16"/>
    </row>
    <row r="48" spans="1:20" s="15" customFormat="1" ht="87.75" customHeight="1" x14ac:dyDescent="0.3">
      <c r="A48" s="72" t="s">
        <v>82</v>
      </c>
      <c r="B48" s="55"/>
      <c r="C48" s="57" t="s">
        <v>22</v>
      </c>
      <c r="D48" s="17" t="s">
        <v>189</v>
      </c>
      <c r="E48" s="18" t="s">
        <v>190</v>
      </c>
      <c r="F48" s="19" t="s">
        <v>151</v>
      </c>
      <c r="G48" s="122" t="s">
        <v>154</v>
      </c>
      <c r="H48" s="123" t="s">
        <v>161</v>
      </c>
      <c r="I48" s="181" t="s">
        <v>201</v>
      </c>
      <c r="J48" s="262"/>
      <c r="K48" s="36" t="str">
        <f>CEILING(J48/5.5, 0.25) &amp;  IF(CEILING(J48/5.5, 0.25) &gt; 1, " pounds", " pound")</f>
        <v>0 pound</v>
      </c>
      <c r="L48" s="16"/>
    </row>
    <row r="49" spans="1:12" s="15" customFormat="1" ht="87.75" customHeight="1" x14ac:dyDescent="0.3">
      <c r="A49" s="134" t="s">
        <v>82</v>
      </c>
      <c r="B49" s="83"/>
      <c r="C49" s="84" t="s">
        <v>36</v>
      </c>
      <c r="D49" s="85" t="s">
        <v>189</v>
      </c>
      <c r="E49" s="86" t="s">
        <v>190</v>
      </c>
      <c r="F49" s="87" t="s">
        <v>151</v>
      </c>
      <c r="G49" s="127" t="s">
        <v>154</v>
      </c>
      <c r="H49" s="128" t="s">
        <v>200</v>
      </c>
      <c r="I49" s="183" t="s">
        <v>205</v>
      </c>
      <c r="J49" s="263"/>
      <c r="K49" s="24" t="str">
        <f>CEILING(J49/6.6, 0.25) &amp;  IF(CEILING(J49/6.6, 0.25) &gt;1, " pounds", " pound")</f>
        <v>0 pound</v>
      </c>
      <c r="L49" s="16"/>
    </row>
    <row r="50" spans="1:12" s="15" customFormat="1" ht="87.75" customHeight="1" x14ac:dyDescent="0.3">
      <c r="A50" s="99" t="s">
        <v>107</v>
      </c>
      <c r="B50" s="100"/>
      <c r="C50" s="101" t="s">
        <v>39</v>
      </c>
      <c r="D50" s="102" t="s">
        <v>189</v>
      </c>
      <c r="E50" s="103" t="s">
        <v>190</v>
      </c>
      <c r="F50" s="104" t="s">
        <v>151</v>
      </c>
      <c r="G50" s="125" t="s">
        <v>153</v>
      </c>
      <c r="H50" s="126" t="s">
        <v>160</v>
      </c>
      <c r="I50" s="184" t="s">
        <v>202</v>
      </c>
      <c r="J50" s="262"/>
      <c r="K50" s="36" t="str">
        <f>CEILING(J50/7.6, 0.25) &amp;  IF(CEILING(J50/7.6, 0.25) &gt; 1, " pounds", " pound")</f>
        <v>0 pound</v>
      </c>
      <c r="L50" s="16"/>
    </row>
    <row r="51" spans="1:12" s="15" customFormat="1" ht="87.75" customHeight="1" x14ac:dyDescent="0.3">
      <c r="A51" s="82" t="s">
        <v>83</v>
      </c>
      <c r="B51" s="83"/>
      <c r="C51" s="84" t="s">
        <v>23</v>
      </c>
      <c r="D51" s="85" t="s">
        <v>189</v>
      </c>
      <c r="E51" s="86" t="s">
        <v>190</v>
      </c>
      <c r="F51" s="87" t="s">
        <v>151</v>
      </c>
      <c r="G51" s="127" t="s">
        <v>154</v>
      </c>
      <c r="H51" s="128" t="s">
        <v>163</v>
      </c>
      <c r="I51" s="183" t="s">
        <v>173</v>
      </c>
      <c r="J51" s="263"/>
      <c r="K51" s="24" t="str">
        <f>CEILING(J51/6.1, 0.25) &amp;  IF(CEILING(J51/6.1, 0.25) &gt;1, " pounds", " pound")</f>
        <v>0 pound</v>
      </c>
    </row>
    <row r="52" spans="1:12" s="15" customFormat="1" ht="87.75" customHeight="1" x14ac:dyDescent="0.3">
      <c r="A52" s="185" t="s">
        <v>111</v>
      </c>
      <c r="B52" s="186"/>
      <c r="C52" s="187" t="s">
        <v>58</v>
      </c>
      <c r="D52" s="102" t="s">
        <v>189</v>
      </c>
      <c r="E52" s="103" t="s">
        <v>190</v>
      </c>
      <c r="F52" s="104" t="s">
        <v>151</v>
      </c>
      <c r="G52" s="188" t="s">
        <v>153</v>
      </c>
      <c r="H52" s="189" t="s">
        <v>159</v>
      </c>
      <c r="I52" s="190" t="s">
        <v>206</v>
      </c>
      <c r="J52" s="200"/>
      <c r="K52" s="36" t="str">
        <f>CEILING(J52/8.42, 0.25) &amp;  IF(CEILING(J52/8.42, 0.25) &gt; 1, " pounds", " pound")</f>
        <v>0 pound</v>
      </c>
    </row>
    <row r="53" spans="1:12" s="15" customFormat="1" ht="87.75" customHeight="1" x14ac:dyDescent="0.3">
      <c r="A53" s="68" t="s">
        <v>84</v>
      </c>
      <c r="B53" s="54"/>
      <c r="C53" s="56" t="s">
        <v>121</v>
      </c>
      <c r="D53" s="20" t="s">
        <v>189</v>
      </c>
      <c r="E53" s="21" t="s">
        <v>190</v>
      </c>
      <c r="F53" s="22" t="s">
        <v>151</v>
      </c>
      <c r="G53" s="121" t="s">
        <v>191</v>
      </c>
      <c r="H53" s="124" t="s">
        <v>158</v>
      </c>
      <c r="I53" s="182" t="s">
        <v>163</v>
      </c>
      <c r="J53" s="263"/>
      <c r="K53" s="24" t="str">
        <f>CEILING(J53/11.9, 0.25) &amp;  IF(CEILING(J53/11.9, 0.25) &gt; 1, " pounds", " pound")</f>
        <v>0 pound</v>
      </c>
    </row>
    <row r="54" spans="1:12" s="15" customFormat="1" ht="87.75" customHeight="1" thickBot="1" x14ac:dyDescent="0.35">
      <c r="A54" s="191" t="s">
        <v>84</v>
      </c>
      <c r="B54" s="192"/>
      <c r="C54" s="193" t="s">
        <v>58</v>
      </c>
      <c r="D54" s="194" t="s">
        <v>189</v>
      </c>
      <c r="E54" s="195" t="s">
        <v>190</v>
      </c>
      <c r="F54" s="196" t="s">
        <v>151</v>
      </c>
      <c r="G54" s="197" t="s">
        <v>191</v>
      </c>
      <c r="H54" s="198" t="s">
        <v>195</v>
      </c>
      <c r="I54" s="199" t="s">
        <v>172</v>
      </c>
      <c r="J54" s="264"/>
      <c r="K54" s="201" t="str">
        <f>CEILING(J54/10.2, 0.25) &amp;  IF(CEILING(J54/10.2, 0.25) &gt; 1, " pounds", " pound")</f>
        <v>0 pound</v>
      </c>
    </row>
    <row r="56" spans="1:12" ht="68.400000000000006" customHeight="1" x14ac:dyDescent="0.3">
      <c r="A56" s="280" t="s">
        <v>221</v>
      </c>
      <c r="B56" s="280"/>
      <c r="C56" s="280"/>
      <c r="D56" s="280"/>
      <c r="E56" s="280"/>
      <c r="F56" s="280"/>
      <c r="G56" s="280"/>
      <c r="H56" s="280"/>
      <c r="I56" s="280"/>
      <c r="J56" s="280"/>
      <c r="K56" s="280"/>
    </row>
    <row r="57" spans="1:12" ht="40.950000000000003" customHeight="1" x14ac:dyDescent="0.6">
      <c r="A57" s="270" t="s">
        <v>128</v>
      </c>
      <c r="B57" s="273" t="s">
        <v>219</v>
      </c>
      <c r="C57" s="273"/>
      <c r="D57" s="273"/>
      <c r="E57" s="273"/>
      <c r="F57" s="273"/>
      <c r="G57" s="273"/>
      <c r="H57" s="273"/>
      <c r="I57" s="273"/>
      <c r="J57" s="273"/>
      <c r="K57" s="273"/>
      <c r="L57" s="66"/>
    </row>
    <row r="58" spans="1:12" s="10" customFormat="1" ht="40.950000000000003" customHeight="1" x14ac:dyDescent="0.6">
      <c r="A58" s="274" t="s">
        <v>224</v>
      </c>
      <c r="B58" s="274"/>
      <c r="C58" s="274"/>
      <c r="D58" s="274"/>
      <c r="E58" s="274"/>
      <c r="F58" s="274"/>
      <c r="G58" s="274"/>
      <c r="H58" s="274"/>
      <c r="I58" s="274"/>
      <c r="J58" s="274"/>
      <c r="K58" s="274"/>
    </row>
    <row r="59" spans="1:12" s="10" customFormat="1" ht="40.950000000000003" customHeight="1" x14ac:dyDescent="0.6">
      <c r="A59" s="274" t="s">
        <v>132</v>
      </c>
      <c r="B59" s="274"/>
      <c r="C59" s="274"/>
      <c r="D59" s="274"/>
      <c r="E59" s="274"/>
      <c r="F59" s="274"/>
      <c r="G59" s="274"/>
      <c r="H59" s="274"/>
      <c r="I59" s="274"/>
      <c r="J59" s="274"/>
      <c r="K59" s="274"/>
    </row>
    <row r="60" spans="1:12" s="10" customFormat="1" ht="40.950000000000003" customHeight="1" x14ac:dyDescent="0.6">
      <c r="A60" s="274" t="s">
        <v>133</v>
      </c>
      <c r="B60" s="274"/>
      <c r="C60" s="274"/>
      <c r="D60" s="274"/>
      <c r="E60" s="274"/>
      <c r="F60" s="274"/>
      <c r="G60" s="274"/>
      <c r="H60" s="274"/>
      <c r="I60" s="274"/>
      <c r="J60" s="274"/>
      <c r="K60" s="274"/>
      <c r="L60" s="66"/>
    </row>
    <row r="61" spans="1:12" s="10" customFormat="1" ht="40.950000000000003" customHeight="1" x14ac:dyDescent="0.6">
      <c r="A61" s="274" t="s">
        <v>134</v>
      </c>
      <c r="B61" s="274"/>
      <c r="C61" s="274"/>
      <c r="D61" s="274"/>
      <c r="E61" s="274"/>
      <c r="F61" s="274"/>
      <c r="G61" s="274"/>
      <c r="H61" s="274"/>
      <c r="I61" s="274"/>
      <c r="J61" s="274"/>
      <c r="K61" s="274"/>
      <c r="L61" s="66"/>
    </row>
    <row r="62" spans="1:12" s="10" customFormat="1" ht="40.950000000000003" customHeight="1" x14ac:dyDescent="0.6">
      <c r="A62" s="273" t="s">
        <v>126</v>
      </c>
      <c r="B62" s="273"/>
      <c r="C62" s="273"/>
      <c r="D62" s="273"/>
      <c r="E62" s="273"/>
      <c r="F62" s="273"/>
      <c r="G62" s="273"/>
      <c r="H62" s="273"/>
      <c r="I62" s="273"/>
      <c r="J62" s="273"/>
      <c r="K62" s="273"/>
      <c r="L62" s="66"/>
    </row>
    <row r="63" spans="1:12" ht="40.950000000000003" customHeight="1" x14ac:dyDescent="0.6">
      <c r="A63" s="272" t="s">
        <v>127</v>
      </c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53"/>
    </row>
  </sheetData>
  <sheetProtection algorithmName="SHA-512" hashValue="M04mrOVZBfdkLLnQpfiRTqNJ70dvDt3fbuDnUkEwnBBWRFFp/0dSer8JtVwU8EHiMQ0sitM/I+rvkr8X7Fi89g==" saltValue="CYInHlzklS3Uh1Glt9Qd7Q==" spinCount="100000" sheet="1" objects="1" scenarios="1"/>
  <mergeCells count="15">
    <mergeCell ref="A63:K63"/>
    <mergeCell ref="A62:K62"/>
    <mergeCell ref="A59:K59"/>
    <mergeCell ref="B57:K57"/>
    <mergeCell ref="A61:K61"/>
    <mergeCell ref="A58:K58"/>
    <mergeCell ref="A60:K60"/>
    <mergeCell ref="A56:K56"/>
    <mergeCell ref="A1:K1"/>
    <mergeCell ref="A2:K2"/>
    <mergeCell ref="A3:K3"/>
    <mergeCell ref="A4:K4"/>
    <mergeCell ref="G6:K6"/>
    <mergeCell ref="D6:F6"/>
    <mergeCell ref="B6:C6"/>
  </mergeCells>
  <phoneticPr fontId="16" type="noConversion"/>
  <hyperlinks>
    <hyperlink ref="B57:K57" r:id="rId1" display="For seasonal produce, see What’s in Season? North Carolina Fruit and Vegetable Availability." xr:uid="{FA62198F-FDD9-437F-885D-C7D50801AB63}"/>
    <hyperlink ref="A62:B62" r:id="rId2" display="Source: Food Buying Guide for Child Nutrition Programs " xr:uid="{53BA7BEA-96F3-4DAF-BDBE-098C7FC770F8}"/>
    <hyperlink ref="A63:K63" r:id="rId3" display="USDA Child Meal Pattern " xr:uid="{6B8B5C91-CCAC-4C91-A5F8-EE751532CD05}"/>
  </hyperlinks>
  <pageMargins left="0.7" right="0.7" top="0.75" bottom="0.75" header="0.3" footer="0.3"/>
  <pageSetup orientation="portrait" r:id="rId4"/>
  <headerFooter>
    <oddHeader xml:space="preserve">&amp;C&amp;G
</oddHeader>
  </headerFooter>
  <drawing r:id="rId5"/>
  <legacyDrawingHF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F84B4-FD7F-4EF2-978A-3CE35353539C}">
  <dimension ref="A1:L50"/>
  <sheetViews>
    <sheetView zoomScale="40" zoomScaleNormal="40" workbookViewId="0">
      <pane ySplit="7" topLeftCell="A8" activePane="bottomLeft" state="frozen"/>
      <selection pane="bottomLeft" sqref="A1:K1"/>
    </sheetView>
  </sheetViews>
  <sheetFormatPr defaultRowHeight="23.4" x14ac:dyDescent="0.45"/>
  <cols>
    <col min="1" max="1" width="96.33203125" style="5" customWidth="1"/>
    <col min="2" max="2" width="23.5546875" style="5" customWidth="1"/>
    <col min="3" max="3" width="62.6640625" style="5" customWidth="1"/>
    <col min="4" max="6" width="20.77734375" style="5" customWidth="1"/>
    <col min="7" max="7" width="20.77734375" style="23" customWidth="1"/>
    <col min="8" max="9" width="20.77734375" style="14" customWidth="1"/>
    <col min="10" max="10" width="24.6640625" style="3" customWidth="1"/>
    <col min="11" max="11" width="31.6640625" style="2" customWidth="1"/>
    <col min="12" max="12" width="8.88671875" customWidth="1"/>
  </cols>
  <sheetData>
    <row r="1" spans="1:11" ht="46.2" x14ac:dyDescent="0.85">
      <c r="A1" s="281" t="s">
        <v>28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33.6" customHeight="1" x14ac:dyDescent="0.6">
      <c r="A2" s="282" t="s">
        <v>119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</row>
    <row r="3" spans="1:11" ht="45" customHeight="1" x14ac:dyDescent="0.85">
      <c r="A3" s="281" t="s">
        <v>3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</row>
    <row r="4" spans="1:11" ht="33.6" x14ac:dyDescent="0.65">
      <c r="A4" s="284" t="s">
        <v>116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</row>
    <row r="5" spans="1:11" ht="24" thickBot="1" x14ac:dyDescent="0.5"/>
    <row r="6" spans="1:11" ht="57.6" customHeight="1" thickBot="1" x14ac:dyDescent="0.35">
      <c r="A6" s="250" t="s">
        <v>130</v>
      </c>
      <c r="B6" s="291" t="s">
        <v>4</v>
      </c>
      <c r="C6" s="293"/>
      <c r="D6" s="291" t="s">
        <v>29</v>
      </c>
      <c r="E6" s="293"/>
      <c r="F6" s="292"/>
      <c r="G6" s="286" t="s">
        <v>0</v>
      </c>
      <c r="H6" s="286"/>
      <c r="I6" s="286"/>
      <c r="J6" s="286"/>
      <c r="K6" s="287"/>
    </row>
    <row r="7" spans="1:11" s="5" customFormat="1" ht="72" customHeight="1" x14ac:dyDescent="0.45">
      <c r="A7" s="223"/>
      <c r="B7" s="223"/>
      <c r="C7" s="224"/>
      <c r="D7" s="245" t="s">
        <v>137</v>
      </c>
      <c r="E7" s="246" t="s">
        <v>138</v>
      </c>
      <c r="F7" s="247" t="s">
        <v>139</v>
      </c>
      <c r="G7" s="248" t="s">
        <v>207</v>
      </c>
      <c r="H7" s="246" t="s">
        <v>141</v>
      </c>
      <c r="I7" s="246" t="s">
        <v>142</v>
      </c>
      <c r="J7" s="245" t="s">
        <v>208</v>
      </c>
      <c r="K7" s="249" t="s">
        <v>209</v>
      </c>
    </row>
    <row r="8" spans="1:11" s="15" customFormat="1" ht="87.75" customHeight="1" x14ac:dyDescent="0.3">
      <c r="A8" s="157" t="s">
        <v>61</v>
      </c>
      <c r="B8" s="158"/>
      <c r="C8" s="159" t="s">
        <v>16</v>
      </c>
      <c r="D8" s="160" t="s">
        <v>212</v>
      </c>
      <c r="E8" s="161" t="s">
        <v>151</v>
      </c>
      <c r="F8" s="162" t="s">
        <v>152</v>
      </c>
      <c r="G8" s="163" t="s">
        <v>153</v>
      </c>
      <c r="H8" s="161" t="s">
        <v>160</v>
      </c>
      <c r="I8" s="164" t="s">
        <v>162</v>
      </c>
      <c r="J8" s="165"/>
      <c r="K8" s="225" t="str">
        <f>CEILING(J8/(14.56/2), 0.25) &amp;  IF(CEILING(J8/(14.56/2), 0.25) &gt;1, " pounds", " pound")</f>
        <v>0 pound</v>
      </c>
    </row>
    <row r="9" spans="1:11" s="15" customFormat="1" ht="87.75" customHeight="1" x14ac:dyDescent="0.3">
      <c r="A9" s="152" t="s">
        <v>113</v>
      </c>
      <c r="B9" s="153"/>
      <c r="C9" s="45" t="s">
        <v>187</v>
      </c>
      <c r="D9" s="46" t="s">
        <v>150</v>
      </c>
      <c r="E9" s="47" t="s">
        <v>151</v>
      </c>
      <c r="F9" s="48" t="s">
        <v>152</v>
      </c>
      <c r="G9" s="154" t="s">
        <v>194</v>
      </c>
      <c r="H9" s="155" t="s">
        <v>201</v>
      </c>
      <c r="I9" s="156" t="s">
        <v>215</v>
      </c>
      <c r="J9" s="259"/>
      <c r="K9" s="226" t="str">
        <f>CEILING(J9/(5.52/2), 0.25) &amp;  IF(CEILING(J9/(5.52/2), 0.25) &gt; 1, " pounds", " pound")</f>
        <v>0 pound</v>
      </c>
    </row>
    <row r="10" spans="1:11" s="15" customFormat="1" ht="87.75" customHeight="1" x14ac:dyDescent="0.3">
      <c r="A10" s="37" t="s">
        <v>24</v>
      </c>
      <c r="B10" s="62"/>
      <c r="C10" s="38" t="s">
        <v>145</v>
      </c>
      <c r="D10" s="39" t="s">
        <v>212</v>
      </c>
      <c r="E10" s="40" t="s">
        <v>151</v>
      </c>
      <c r="F10" s="41" t="s">
        <v>152</v>
      </c>
      <c r="G10" s="42" t="s">
        <v>155</v>
      </c>
      <c r="H10" s="40" t="s">
        <v>162</v>
      </c>
      <c r="I10" s="141" t="s">
        <v>175</v>
      </c>
      <c r="J10" s="129"/>
      <c r="K10" s="43" t="str">
        <f>CEILING(J10/(7.2/2), 0.25) &amp;  IF(CEILING(J10/(7.2/2), 0.25) &gt; 1, " pounds", " pound")</f>
        <v>0 pound</v>
      </c>
    </row>
    <row r="11" spans="1:11" s="15" customFormat="1" ht="87.75" customHeight="1" x14ac:dyDescent="0.3">
      <c r="A11" s="90" t="s">
        <v>85</v>
      </c>
      <c r="B11" s="63"/>
      <c r="C11" s="45" t="s">
        <v>17</v>
      </c>
      <c r="D11" s="46" t="s">
        <v>212</v>
      </c>
      <c r="E11" s="47" t="s">
        <v>151</v>
      </c>
      <c r="F11" s="48" t="s">
        <v>152</v>
      </c>
      <c r="G11" s="49" t="s">
        <v>154</v>
      </c>
      <c r="H11" s="47" t="s">
        <v>163</v>
      </c>
      <c r="I11" s="142" t="s">
        <v>176</v>
      </c>
      <c r="J11" s="130"/>
      <c r="K11" s="50" t="str">
        <f>CEILING(J11/(11.9/2), 0.25) &amp;  IF(CEILING(J11/(11.9/2), 0.25) &gt;1, " pounds", " pound")</f>
        <v>0 pound</v>
      </c>
    </row>
    <row r="12" spans="1:11" s="15" customFormat="1" ht="87.75" customHeight="1" x14ac:dyDescent="0.3">
      <c r="A12" s="37" t="s">
        <v>92</v>
      </c>
      <c r="B12" s="62"/>
      <c r="C12" s="38" t="s">
        <v>17</v>
      </c>
      <c r="D12" s="39" t="s">
        <v>212</v>
      </c>
      <c r="E12" s="40" t="s">
        <v>151</v>
      </c>
      <c r="F12" s="41" t="s">
        <v>152</v>
      </c>
      <c r="G12" s="42" t="s">
        <v>154</v>
      </c>
      <c r="H12" s="40" t="s">
        <v>163</v>
      </c>
      <c r="I12" s="141" t="s">
        <v>176</v>
      </c>
      <c r="J12" s="129"/>
      <c r="K12" s="43" t="str">
        <f>CEILING(J12/(11.9/2), 0.25) &amp;  IF(CEILING(J12/(11.9/2), 0.25) &gt;1, " pounds", " pound")</f>
        <v>0 pound</v>
      </c>
    </row>
    <row r="13" spans="1:11" s="15" customFormat="1" ht="87.75" customHeight="1" x14ac:dyDescent="0.3">
      <c r="A13" s="44" t="s">
        <v>112</v>
      </c>
      <c r="B13" s="64"/>
      <c r="C13" s="51" t="s">
        <v>6</v>
      </c>
      <c r="D13" s="46" t="s">
        <v>212</v>
      </c>
      <c r="E13" s="47" t="s">
        <v>151</v>
      </c>
      <c r="F13" s="48" t="s">
        <v>152</v>
      </c>
      <c r="G13" s="49" t="s">
        <v>191</v>
      </c>
      <c r="H13" s="47" t="s">
        <v>156</v>
      </c>
      <c r="I13" s="142" t="s">
        <v>160</v>
      </c>
      <c r="J13" s="130"/>
      <c r="K13" s="50" t="str">
        <f>CEILING(J13/(28.8/2), 0.25) &amp; IF(CEILING(J13/(28.8/2), 0.25) &gt;1, " pounds", " pound")</f>
        <v>0 pound</v>
      </c>
    </row>
    <row r="14" spans="1:11" s="15" customFormat="1" ht="87.75" customHeight="1" x14ac:dyDescent="0.3">
      <c r="A14" s="37" t="s">
        <v>67</v>
      </c>
      <c r="B14" s="62"/>
      <c r="C14" s="38" t="s">
        <v>18</v>
      </c>
      <c r="D14" s="39" t="s">
        <v>212</v>
      </c>
      <c r="E14" s="40" t="s">
        <v>151</v>
      </c>
      <c r="F14" s="41" t="s">
        <v>152</v>
      </c>
      <c r="G14" s="42" t="s">
        <v>156</v>
      </c>
      <c r="H14" s="40" t="s">
        <v>164</v>
      </c>
      <c r="I14" s="141" t="s">
        <v>177</v>
      </c>
      <c r="J14" s="129"/>
      <c r="K14" s="43" t="str">
        <f>CEILING(J14/(5.73/2), 0.25) &amp;  IF(CEILING(J14/(5.73/2), 0.25) &gt;1, " pounds", " pound")</f>
        <v>0 pound</v>
      </c>
    </row>
    <row r="15" spans="1:11" s="15" customFormat="1" ht="87.75" customHeight="1" x14ac:dyDescent="0.3">
      <c r="A15" s="89" t="s">
        <v>25</v>
      </c>
      <c r="B15" s="64"/>
      <c r="C15" s="51" t="s">
        <v>6</v>
      </c>
      <c r="D15" s="46" t="s">
        <v>212</v>
      </c>
      <c r="E15" s="47" t="s">
        <v>151</v>
      </c>
      <c r="F15" s="48" t="s">
        <v>152</v>
      </c>
      <c r="G15" s="49" t="s">
        <v>154</v>
      </c>
      <c r="H15" s="47" t="s">
        <v>200</v>
      </c>
      <c r="I15" s="142" t="s">
        <v>171</v>
      </c>
      <c r="J15" s="130"/>
      <c r="K15" s="50" t="str">
        <f>CEILING(J15/(12.9/2), 0.25) &amp;  IF(CEILING(J15/(12.9/2), 0.25) &gt;1, " pounds", " pound")</f>
        <v>0 pound</v>
      </c>
    </row>
    <row r="16" spans="1:11" s="15" customFormat="1" ht="87.75" customHeight="1" x14ac:dyDescent="0.3">
      <c r="A16" s="37" t="s">
        <v>68</v>
      </c>
      <c r="B16" s="65"/>
      <c r="C16" s="52" t="s">
        <v>120</v>
      </c>
      <c r="D16" s="39" t="s">
        <v>212</v>
      </c>
      <c r="E16" s="40" t="s">
        <v>151</v>
      </c>
      <c r="F16" s="41" t="s">
        <v>152</v>
      </c>
      <c r="G16" s="42" t="s">
        <v>154</v>
      </c>
      <c r="H16" s="40" t="s">
        <v>172</v>
      </c>
      <c r="I16" s="141" t="s">
        <v>184</v>
      </c>
      <c r="J16" s="129"/>
      <c r="K16" s="43" t="str">
        <f>CEILING(J16/(10.3/2), 0.25) &amp;  IF(CEILING(J16/(10.3/2), 0.25) &gt;1, " pounds", " pound")</f>
        <v>0 pound</v>
      </c>
    </row>
    <row r="17" spans="1:12" s="15" customFormat="1" ht="87.75" customHeight="1" x14ac:dyDescent="0.3">
      <c r="A17" s="146" t="s">
        <v>114</v>
      </c>
      <c r="B17" s="147"/>
      <c r="C17" s="148" t="s">
        <v>110</v>
      </c>
      <c r="D17" s="46" t="s">
        <v>212</v>
      </c>
      <c r="E17" s="47" t="s">
        <v>151</v>
      </c>
      <c r="F17" s="48" t="s">
        <v>152</v>
      </c>
      <c r="G17" s="149" t="s">
        <v>153</v>
      </c>
      <c r="H17" s="150" t="s">
        <v>197</v>
      </c>
      <c r="I17" s="151" t="s">
        <v>166</v>
      </c>
      <c r="J17" s="145"/>
      <c r="K17" s="50" t="str">
        <f>CEILING(J17/(18.3/2), 0.25) &amp;  IF(CEILING(J17/(18.3/2), 0.25) &gt;1, " pounds", " pound")</f>
        <v>0 pound</v>
      </c>
      <c r="L17" s="136"/>
    </row>
    <row r="18" spans="1:12" s="15" customFormat="1" ht="87.75" customHeight="1" x14ac:dyDescent="0.3">
      <c r="A18" s="73" t="s">
        <v>26</v>
      </c>
      <c r="B18" s="65"/>
      <c r="C18" s="38" t="s">
        <v>210</v>
      </c>
      <c r="D18" s="39" t="s">
        <v>212</v>
      </c>
      <c r="E18" s="40" t="s">
        <v>151</v>
      </c>
      <c r="F18" s="41" t="s">
        <v>152</v>
      </c>
      <c r="G18" s="42" t="s">
        <v>154</v>
      </c>
      <c r="H18" s="40" t="s">
        <v>163</v>
      </c>
      <c r="I18" s="40" t="s">
        <v>173</v>
      </c>
      <c r="J18" s="129"/>
      <c r="K18" s="43" t="str">
        <f>CEILING(J18/(12.2/2), 0.25) &amp;  IF(CEILING(J18/(12.2/2), 0.25) &gt; 1, " pounds", " pound")</f>
        <v>0 pound</v>
      </c>
    </row>
    <row r="19" spans="1:12" s="15" customFormat="1" ht="87.75" customHeight="1" x14ac:dyDescent="0.3">
      <c r="A19" s="89" t="s">
        <v>69</v>
      </c>
      <c r="B19" s="64"/>
      <c r="C19" s="45" t="s">
        <v>30</v>
      </c>
      <c r="D19" s="46" t="s">
        <v>212</v>
      </c>
      <c r="E19" s="47" t="s">
        <v>151</v>
      </c>
      <c r="F19" s="48" t="s">
        <v>152</v>
      </c>
      <c r="G19" s="49" t="s">
        <v>154</v>
      </c>
      <c r="H19" s="47" t="s">
        <v>161</v>
      </c>
      <c r="I19" s="47" t="s">
        <v>201</v>
      </c>
      <c r="J19" s="130"/>
      <c r="K19" s="50" t="str">
        <f>CEILING(J19/(11/2), 0.25) &amp;  IF(CEILING(J19/(11/2), 0.25) &gt;1, " pounds", " pound")</f>
        <v>0 pound</v>
      </c>
    </row>
    <row r="20" spans="1:12" s="15" customFormat="1" ht="87.75" customHeight="1" x14ac:dyDescent="0.3">
      <c r="A20" s="73" t="s">
        <v>52</v>
      </c>
      <c r="B20" s="65"/>
      <c r="C20" s="38" t="s">
        <v>146</v>
      </c>
      <c r="D20" s="39" t="s">
        <v>212</v>
      </c>
      <c r="E20" s="40" t="s">
        <v>151</v>
      </c>
      <c r="F20" s="41" t="s">
        <v>152</v>
      </c>
      <c r="G20" s="42" t="s">
        <v>157</v>
      </c>
      <c r="H20" s="40" t="s">
        <v>165</v>
      </c>
      <c r="I20" s="40" t="s">
        <v>178</v>
      </c>
      <c r="J20" s="129"/>
      <c r="K20" s="43" t="str">
        <f>CEILING(J20/((6*(3/8)/(1/2))), 0.25) &amp;  IF(CEILING(J20/((6*(3/8)/(1/2))), 0.25) &gt;1, " pounds", " pound")</f>
        <v>0 pound</v>
      </c>
    </row>
    <row r="21" spans="1:12" s="15" customFormat="1" ht="87.75" customHeight="1" x14ac:dyDescent="0.3">
      <c r="A21" s="44" t="s">
        <v>109</v>
      </c>
      <c r="B21" s="64"/>
      <c r="C21" s="51" t="s">
        <v>7</v>
      </c>
      <c r="D21" s="46" t="s">
        <v>212</v>
      </c>
      <c r="E21" s="47" t="s">
        <v>151</v>
      </c>
      <c r="F21" s="48" t="s">
        <v>152</v>
      </c>
      <c r="G21" s="49" t="s">
        <v>159</v>
      </c>
      <c r="H21" s="47" t="s">
        <v>204</v>
      </c>
      <c r="I21" s="47" t="s">
        <v>216</v>
      </c>
      <c r="J21" s="130"/>
      <c r="K21" s="50" t="str">
        <f>CEILING(J21/(3.35/2), 0.25) &amp;  IF(CEILING(J21/(3.35/2), 0.25) &gt;1, " pounds", " pound")</f>
        <v>0 pound</v>
      </c>
    </row>
    <row r="22" spans="1:12" s="15" customFormat="1" ht="87.75" customHeight="1" x14ac:dyDescent="0.3">
      <c r="A22" s="73" t="s">
        <v>71</v>
      </c>
      <c r="B22" s="65"/>
      <c r="C22" s="38" t="s">
        <v>211</v>
      </c>
      <c r="D22" s="39" t="s">
        <v>212</v>
      </c>
      <c r="E22" s="40" t="s">
        <v>151</v>
      </c>
      <c r="F22" s="41" t="s">
        <v>152</v>
      </c>
      <c r="G22" s="42" t="s">
        <v>154</v>
      </c>
      <c r="H22" s="40" t="s">
        <v>163</v>
      </c>
      <c r="I22" s="40" t="s">
        <v>176</v>
      </c>
      <c r="J22" s="129"/>
      <c r="K22" s="43" t="str">
        <f>CEILING(J22/(11.8/2), 0.25) &amp;  IF(CEILING(J22/(11.8/2), 0.25) &gt;1, " pounds", " pound")</f>
        <v>0 pound</v>
      </c>
    </row>
    <row r="23" spans="1:12" s="15" customFormat="1" ht="87.75" customHeight="1" x14ac:dyDescent="0.3">
      <c r="A23" s="89" t="s">
        <v>55</v>
      </c>
      <c r="B23" s="64"/>
      <c r="C23" s="45" t="s">
        <v>30</v>
      </c>
      <c r="D23" s="46" t="s">
        <v>212</v>
      </c>
      <c r="E23" s="47" t="s">
        <v>151</v>
      </c>
      <c r="F23" s="48" t="s">
        <v>152</v>
      </c>
      <c r="G23" s="49" t="s">
        <v>157</v>
      </c>
      <c r="H23" s="47" t="s">
        <v>166</v>
      </c>
      <c r="I23" s="47" t="s">
        <v>179</v>
      </c>
      <c r="J23" s="130"/>
      <c r="K23" s="50" t="str">
        <f>CEILING(J23/(9.27/2), 0.25) &amp;  IF(CEILING(J23/(9.27/2), 0.25) &gt;1, " pounds", " pound")</f>
        <v>0 pound</v>
      </c>
    </row>
    <row r="24" spans="1:12" s="15" customFormat="1" ht="87.75" customHeight="1" x14ac:dyDescent="0.3">
      <c r="A24" s="73" t="s">
        <v>93</v>
      </c>
      <c r="B24" s="65"/>
      <c r="C24" s="38" t="s">
        <v>33</v>
      </c>
      <c r="D24" s="39" t="s">
        <v>212</v>
      </c>
      <c r="E24" s="40" t="s">
        <v>151</v>
      </c>
      <c r="F24" s="41" t="s">
        <v>152</v>
      </c>
      <c r="G24" s="42" t="s">
        <v>154</v>
      </c>
      <c r="H24" s="40" t="s">
        <v>161</v>
      </c>
      <c r="I24" s="40" t="s">
        <v>201</v>
      </c>
      <c r="J24" s="129"/>
      <c r="K24" s="43" t="str">
        <f>CEILING(J24/(11.1/2), 0.25) &amp;  IF(CEILING(J24/(11.1/2), 0.25) &gt;1, " pounds", " pound")</f>
        <v>0 pound</v>
      </c>
    </row>
    <row r="25" spans="1:12" s="15" customFormat="1" ht="87.75" customHeight="1" x14ac:dyDescent="0.3">
      <c r="A25" s="89" t="s">
        <v>72</v>
      </c>
      <c r="B25" s="64"/>
      <c r="C25" s="45" t="s">
        <v>32</v>
      </c>
      <c r="D25" s="46" t="s">
        <v>212</v>
      </c>
      <c r="E25" s="47" t="s">
        <v>151</v>
      </c>
      <c r="F25" s="48" t="s">
        <v>152</v>
      </c>
      <c r="G25" s="49" t="s">
        <v>158</v>
      </c>
      <c r="H25" s="47" t="s">
        <v>167</v>
      </c>
      <c r="I25" s="47" t="s">
        <v>180</v>
      </c>
      <c r="J25" s="130"/>
      <c r="K25" s="50" t="str">
        <f>CEILING(J25/(4.9/2), 0.25) &amp;   IF(CEILING(J25/(4.9/2), 0.25) &gt;1, " pounds", " pound")</f>
        <v>0 pound</v>
      </c>
    </row>
    <row r="26" spans="1:12" s="15" customFormat="1" ht="87.75" customHeight="1" x14ac:dyDescent="0.3">
      <c r="A26" s="73" t="s">
        <v>73</v>
      </c>
      <c r="B26" s="65"/>
      <c r="C26" s="38" t="s">
        <v>11</v>
      </c>
      <c r="D26" s="39" t="s">
        <v>213</v>
      </c>
      <c r="E26" s="40" t="s">
        <v>152</v>
      </c>
      <c r="F26" s="41" t="s">
        <v>214</v>
      </c>
      <c r="G26" s="42" t="s">
        <v>191</v>
      </c>
      <c r="H26" s="40" t="s">
        <v>158</v>
      </c>
      <c r="I26" s="40" t="s">
        <v>163</v>
      </c>
      <c r="J26" s="129"/>
      <c r="K26" s="43" t="str">
        <f>CEILING(J26/(48.8/4), 0.25) &amp;  IF(CEILING(J26/(48.8/4), 0.25) &gt;1, " pounds", " pound")</f>
        <v>0 pound</v>
      </c>
      <c r="L26" s="16"/>
    </row>
    <row r="27" spans="1:12" s="15" customFormat="1" ht="87.75" customHeight="1" x14ac:dyDescent="0.3">
      <c r="A27" s="89" t="s">
        <v>94</v>
      </c>
      <c r="B27" s="64"/>
      <c r="C27" s="45" t="s">
        <v>21</v>
      </c>
      <c r="D27" s="46" t="s">
        <v>213</v>
      </c>
      <c r="E27" s="47" t="s">
        <v>152</v>
      </c>
      <c r="F27" s="48" t="s">
        <v>214</v>
      </c>
      <c r="G27" s="49" t="s">
        <v>154</v>
      </c>
      <c r="H27" s="47" t="s">
        <v>161</v>
      </c>
      <c r="I27" s="47" t="s">
        <v>201</v>
      </c>
      <c r="J27" s="130"/>
      <c r="K27" s="50" t="str">
        <f>CEILING(J27/(21.7/4), 0.25) &amp;  IF(CEILING(J27/(21.7/4), 0.25) &gt;1, " pounds", " pound")</f>
        <v>0 pound</v>
      </c>
      <c r="L27" s="16"/>
    </row>
    <row r="28" spans="1:12" s="15" customFormat="1" ht="87.75" customHeight="1" x14ac:dyDescent="0.3">
      <c r="A28" s="73" t="s">
        <v>95</v>
      </c>
      <c r="B28" s="65"/>
      <c r="C28" s="38" t="s">
        <v>34</v>
      </c>
      <c r="D28" s="39" t="s">
        <v>212</v>
      </c>
      <c r="E28" s="40" t="s">
        <v>151</v>
      </c>
      <c r="F28" s="41" t="s">
        <v>152</v>
      </c>
      <c r="G28" s="42" t="s">
        <v>154</v>
      </c>
      <c r="H28" s="40" t="s">
        <v>161</v>
      </c>
      <c r="I28" s="40" t="s">
        <v>174</v>
      </c>
      <c r="J28" s="129"/>
      <c r="K28" s="43" t="str">
        <f>CEILING(J28/(10.7/2), 0.25) &amp;  IF(CEILING(J28/(10.7/2), 0.25) &gt;1, " pounds", " pound")</f>
        <v>0 pound</v>
      </c>
      <c r="L28" s="16"/>
    </row>
    <row r="29" spans="1:12" s="15" customFormat="1" ht="87.75" customHeight="1" x14ac:dyDescent="0.3">
      <c r="A29" s="44" t="s">
        <v>44</v>
      </c>
      <c r="B29" s="63"/>
      <c r="C29" s="45" t="s">
        <v>148</v>
      </c>
      <c r="D29" s="46" t="s">
        <v>212</v>
      </c>
      <c r="E29" s="47" t="s">
        <v>151</v>
      </c>
      <c r="F29" s="48" t="s">
        <v>152</v>
      </c>
      <c r="G29" s="49" t="s">
        <v>159</v>
      </c>
      <c r="H29" s="47" t="s">
        <v>168</v>
      </c>
      <c r="I29" s="47" t="s">
        <v>181</v>
      </c>
      <c r="J29" s="130"/>
      <c r="K29" s="50" t="str">
        <f>CEILING(J29/(3.5/2), 0.25) &amp;  IF(CEILING(J29/(3.5/2), 0.25) &gt;1, " pounds", " pound")</f>
        <v>0 pound</v>
      </c>
    </row>
    <row r="30" spans="1:12" s="16" customFormat="1" ht="87.75" customHeight="1" x14ac:dyDescent="0.3">
      <c r="A30" s="37" t="s">
        <v>87</v>
      </c>
      <c r="B30" s="62"/>
      <c r="C30" s="38" t="s">
        <v>46</v>
      </c>
      <c r="D30" s="39" t="s">
        <v>212</v>
      </c>
      <c r="E30" s="40" t="s">
        <v>151</v>
      </c>
      <c r="F30" s="41" t="s">
        <v>152</v>
      </c>
      <c r="G30" s="42" t="s">
        <v>154</v>
      </c>
      <c r="H30" s="40" t="s">
        <v>161</v>
      </c>
      <c r="I30" s="40" t="s">
        <v>174</v>
      </c>
      <c r="J30" s="129"/>
      <c r="K30" s="43" t="str">
        <f>CEILING(J30/(10.7/2), 0.25) &amp;  IF(CEILING(J30/(10.7/2), 0.25) &gt;1, " pounds", " pound")</f>
        <v>0 pound</v>
      </c>
    </row>
    <row r="31" spans="1:12" s="15" customFormat="1" ht="87.75" customHeight="1" x14ac:dyDescent="0.3">
      <c r="A31" s="44" t="s">
        <v>76</v>
      </c>
      <c r="B31" s="63"/>
      <c r="C31" s="45" t="s">
        <v>47</v>
      </c>
      <c r="D31" s="46" t="s">
        <v>212</v>
      </c>
      <c r="E31" s="47" t="s">
        <v>151</v>
      </c>
      <c r="F31" s="48" t="s">
        <v>152</v>
      </c>
      <c r="G31" s="49" t="s">
        <v>155</v>
      </c>
      <c r="H31" s="47" t="s">
        <v>169</v>
      </c>
      <c r="I31" s="47" t="s">
        <v>182</v>
      </c>
      <c r="J31" s="130"/>
      <c r="K31" s="50" t="str">
        <f>CEILING(J31/(7.9/2), 0.25) &amp;  IF(CEILING(J31/(7.9/2), 0.25) &gt;1, " pounds", " pound")</f>
        <v>0 pound</v>
      </c>
    </row>
    <row r="32" spans="1:12" s="15" customFormat="1" ht="87.75" customHeight="1" x14ac:dyDescent="0.3">
      <c r="A32" s="37" t="s">
        <v>96</v>
      </c>
      <c r="B32" s="65"/>
      <c r="C32" s="52" t="s">
        <v>8</v>
      </c>
      <c r="D32" s="39" t="s">
        <v>212</v>
      </c>
      <c r="E32" s="40" t="s">
        <v>151</v>
      </c>
      <c r="F32" s="41" t="s">
        <v>152</v>
      </c>
      <c r="G32" s="42" t="s">
        <v>153</v>
      </c>
      <c r="H32" s="40" t="s">
        <v>160</v>
      </c>
      <c r="I32" s="40" t="s">
        <v>162</v>
      </c>
      <c r="J32" s="129"/>
      <c r="K32" s="43" t="str">
        <f>CEILING(J32/(14.7/2), 0.25) &amp;  IF(CEILING(J32/(14.7/2), 0.25) &gt;1, " pounds", " pound")</f>
        <v>0 pound</v>
      </c>
    </row>
    <row r="33" spans="1:12" s="15" customFormat="1" ht="87.75" customHeight="1" x14ac:dyDescent="0.3">
      <c r="A33" s="44" t="s">
        <v>56</v>
      </c>
      <c r="B33" s="64"/>
      <c r="C33" s="51" t="s">
        <v>50</v>
      </c>
      <c r="D33" s="46" t="s">
        <v>212</v>
      </c>
      <c r="E33" s="47" t="s">
        <v>151</v>
      </c>
      <c r="F33" s="48" t="s">
        <v>152</v>
      </c>
      <c r="G33" s="49" t="s">
        <v>156</v>
      </c>
      <c r="H33" s="47" t="s">
        <v>171</v>
      </c>
      <c r="I33" s="47" t="s">
        <v>183</v>
      </c>
      <c r="J33" s="130"/>
      <c r="K33" s="50" t="str">
        <f>CEILING(J33/(6.4/2), 0.25) &amp;  IF(CEILING(J33/(6.4/2), 0.25) &gt;1, " pounds", " pound")</f>
        <v>0 pound</v>
      </c>
    </row>
    <row r="34" spans="1:12" s="15" customFormat="1" ht="87.75" customHeight="1" x14ac:dyDescent="0.3">
      <c r="A34" s="67" t="s">
        <v>97</v>
      </c>
      <c r="B34" s="65"/>
      <c r="C34" s="52" t="s">
        <v>35</v>
      </c>
      <c r="D34" s="39" t="s">
        <v>212</v>
      </c>
      <c r="E34" s="40" t="s">
        <v>151</v>
      </c>
      <c r="F34" s="41" t="s">
        <v>152</v>
      </c>
      <c r="G34" s="42" t="s">
        <v>154</v>
      </c>
      <c r="H34" s="40" t="s">
        <v>161</v>
      </c>
      <c r="I34" s="40" t="s">
        <v>174</v>
      </c>
      <c r="J34" s="129"/>
      <c r="K34" s="43" t="str">
        <f>CEILING(J34/(10.7/2), 0.25) &amp;  IF(CEILING(J34/(10.7/2), 0.25) &gt;1, " pounds", " pound")</f>
        <v>0 pound</v>
      </c>
    </row>
    <row r="35" spans="1:12" s="15" customFormat="1" ht="87.75" customHeight="1" x14ac:dyDescent="0.3">
      <c r="A35" s="90" t="s">
        <v>98</v>
      </c>
      <c r="B35" s="64"/>
      <c r="C35" s="51" t="s">
        <v>17</v>
      </c>
      <c r="D35" s="46" t="s">
        <v>212</v>
      </c>
      <c r="E35" s="47" t="s">
        <v>151</v>
      </c>
      <c r="F35" s="48" t="s">
        <v>152</v>
      </c>
      <c r="G35" s="49" t="s">
        <v>154</v>
      </c>
      <c r="H35" s="47" t="s">
        <v>163</v>
      </c>
      <c r="I35" s="47" t="s">
        <v>176</v>
      </c>
      <c r="J35" s="130"/>
      <c r="K35" s="50" t="str">
        <f>CEILING(J35/(12.1/2), 0.25) &amp;  IF(CEILING(J35/(12.1/2), 0.25) &gt;1, " pounds", " pound")</f>
        <v>0 pound</v>
      </c>
    </row>
    <row r="36" spans="1:12" s="15" customFormat="1" ht="87.75" customHeight="1" x14ac:dyDescent="0.3">
      <c r="A36" s="67" t="s">
        <v>101</v>
      </c>
      <c r="B36" s="62"/>
      <c r="C36" s="38" t="s">
        <v>6</v>
      </c>
      <c r="D36" s="39" t="s">
        <v>212</v>
      </c>
      <c r="E36" s="40" t="s">
        <v>151</v>
      </c>
      <c r="F36" s="41" t="s">
        <v>152</v>
      </c>
      <c r="G36" s="42" t="s">
        <v>154</v>
      </c>
      <c r="H36" s="40" t="s">
        <v>193</v>
      </c>
      <c r="I36" s="40" t="s">
        <v>217</v>
      </c>
      <c r="J36" s="129"/>
      <c r="K36" s="43" t="str">
        <f>CEILING(J36/(11.4/2), 0.25) &amp;  IF(CEILING(J36/(11.4/2), 0.25) &gt;1, " pounds", " pound")</f>
        <v>0 pound</v>
      </c>
    </row>
    <row r="37" spans="1:12" s="15" customFormat="1" ht="87.75" customHeight="1" x14ac:dyDescent="0.3">
      <c r="A37" s="90" t="s">
        <v>81</v>
      </c>
      <c r="B37" s="63"/>
      <c r="C37" s="45" t="s">
        <v>46</v>
      </c>
      <c r="D37" s="46" t="s">
        <v>212</v>
      </c>
      <c r="E37" s="47" t="s">
        <v>151</v>
      </c>
      <c r="F37" s="48" t="s">
        <v>152</v>
      </c>
      <c r="G37" s="49" t="s">
        <v>154</v>
      </c>
      <c r="H37" s="47" t="s">
        <v>172</v>
      </c>
      <c r="I37" s="47" t="s">
        <v>184</v>
      </c>
      <c r="J37" s="130"/>
      <c r="K37" s="50" t="str">
        <f>CEILING(J37/(10.5/2),0.25)&amp;IF(CEILING(J37/(10.5/2),0.25)&gt;1," pounds"," pound")</f>
        <v>0 pound</v>
      </c>
    </row>
    <row r="38" spans="1:12" s="15" customFormat="1" ht="87.75" customHeight="1" x14ac:dyDescent="0.3">
      <c r="A38" s="91" t="s">
        <v>99</v>
      </c>
      <c r="B38" s="92"/>
      <c r="C38" s="93" t="s">
        <v>36</v>
      </c>
      <c r="D38" s="94" t="s">
        <v>212</v>
      </c>
      <c r="E38" s="95" t="s">
        <v>151</v>
      </c>
      <c r="F38" s="96" t="s">
        <v>152</v>
      </c>
      <c r="G38" s="97" t="s">
        <v>156</v>
      </c>
      <c r="H38" s="95" t="s">
        <v>205</v>
      </c>
      <c r="I38" s="95" t="s">
        <v>218</v>
      </c>
      <c r="J38" s="131"/>
      <c r="K38" s="98" t="str">
        <f>CEILING(J38/(6.6/2), 0.25) &amp;  IF(CEILING(J38/(6.6/2), 0.25) &gt;1, " pounds", " pound")</f>
        <v>0 pound</v>
      </c>
    </row>
    <row r="39" spans="1:12" s="15" customFormat="1" ht="87.75" customHeight="1" x14ac:dyDescent="0.3">
      <c r="A39" s="113" t="s">
        <v>60</v>
      </c>
      <c r="B39" s="76"/>
      <c r="C39" s="77" t="s">
        <v>149</v>
      </c>
      <c r="D39" s="78" t="s">
        <v>212</v>
      </c>
      <c r="E39" s="79" t="s">
        <v>151</v>
      </c>
      <c r="F39" s="80" t="s">
        <v>152</v>
      </c>
      <c r="G39" s="81" t="s">
        <v>154</v>
      </c>
      <c r="H39" s="79" t="s">
        <v>172</v>
      </c>
      <c r="I39" s="79" t="s">
        <v>185</v>
      </c>
      <c r="J39" s="132"/>
      <c r="K39" s="75" t="str">
        <f>CEILING(J39/5, 0.25) &amp;  IF(CEILING(J39/5, 0.25) &gt;1, " pounds", " pound")</f>
        <v>0 pound</v>
      </c>
    </row>
    <row r="40" spans="1:12" s="15" customFormat="1" ht="87.75" customHeight="1" x14ac:dyDescent="0.3">
      <c r="A40" s="91" t="s">
        <v>83</v>
      </c>
      <c r="B40" s="92"/>
      <c r="C40" s="93" t="s">
        <v>23</v>
      </c>
      <c r="D40" s="94" t="s">
        <v>212</v>
      </c>
      <c r="E40" s="95" t="s">
        <v>151</v>
      </c>
      <c r="F40" s="96" t="s">
        <v>152</v>
      </c>
      <c r="G40" s="97" t="s">
        <v>156</v>
      </c>
      <c r="H40" s="95" t="s">
        <v>173</v>
      </c>
      <c r="I40" s="95" t="s">
        <v>186</v>
      </c>
      <c r="J40" s="131"/>
      <c r="K40" s="98" t="str">
        <f>CEILING(J40/(6.1/2), 0.25) &amp;  IF(CEILING(J40/(6.1/2), 0.25) &gt;1, " pounds", " pound")</f>
        <v>0 pound</v>
      </c>
    </row>
    <row r="41" spans="1:12" s="15" customFormat="1" ht="87.75" customHeight="1" thickBot="1" x14ac:dyDescent="0.35">
      <c r="A41" s="120" t="s">
        <v>84</v>
      </c>
      <c r="B41" s="114"/>
      <c r="C41" s="115" t="s">
        <v>122</v>
      </c>
      <c r="D41" s="116" t="s">
        <v>212</v>
      </c>
      <c r="E41" s="117" t="s">
        <v>151</v>
      </c>
      <c r="F41" s="118" t="s">
        <v>152</v>
      </c>
      <c r="G41" s="119" t="s">
        <v>154</v>
      </c>
      <c r="H41" s="117" t="s">
        <v>163</v>
      </c>
      <c r="I41" s="117" t="s">
        <v>176</v>
      </c>
      <c r="J41" s="133"/>
      <c r="K41" s="112" t="str">
        <f>CEILING(J41/(11.9/2), 0.25) &amp; IF(CEILING(J41/(11.9/2), 0.25) &gt;1, " pounds", " pound")</f>
        <v>0 pound</v>
      </c>
    </row>
    <row r="43" spans="1:12" ht="68.400000000000006" customHeight="1" x14ac:dyDescent="0.3">
      <c r="A43" s="280" t="s">
        <v>220</v>
      </c>
      <c r="B43" s="280"/>
      <c r="C43" s="280"/>
      <c r="D43" s="280"/>
      <c r="E43" s="280"/>
      <c r="F43" s="280"/>
      <c r="G43" s="280"/>
      <c r="H43" s="280"/>
      <c r="I43" s="280"/>
      <c r="J43" s="280"/>
      <c r="K43" s="280"/>
    </row>
    <row r="44" spans="1:12" ht="40.950000000000003" customHeight="1" x14ac:dyDescent="0.6">
      <c r="A44" s="270" t="s">
        <v>129</v>
      </c>
      <c r="B44" s="273" t="s">
        <v>219</v>
      </c>
      <c r="C44" s="273"/>
      <c r="D44" s="273"/>
      <c r="E44" s="273"/>
      <c r="F44" s="273"/>
      <c r="G44" s="273"/>
      <c r="H44" s="273"/>
      <c r="I44" s="273"/>
      <c r="J44" s="273"/>
      <c r="K44" s="273"/>
      <c r="L44" s="66"/>
    </row>
    <row r="45" spans="1:12" ht="40.950000000000003" customHeight="1" x14ac:dyDescent="0.6">
      <c r="A45" s="274" t="s">
        <v>223</v>
      </c>
      <c r="B45" s="274"/>
      <c r="C45" s="274"/>
      <c r="D45" s="274"/>
      <c r="E45" s="274"/>
      <c r="F45" s="274"/>
      <c r="G45" s="274"/>
      <c r="H45" s="274"/>
      <c r="I45" s="274"/>
      <c r="J45" s="274"/>
      <c r="K45" s="274"/>
    </row>
    <row r="46" spans="1:12" ht="40.950000000000003" customHeight="1" x14ac:dyDescent="0.6">
      <c r="A46" s="274" t="s">
        <v>135</v>
      </c>
      <c r="B46" s="274"/>
      <c r="C46" s="274"/>
      <c r="D46" s="274"/>
      <c r="E46" s="274"/>
      <c r="F46" s="274"/>
      <c r="G46" s="274"/>
      <c r="H46" s="274"/>
      <c r="I46" s="274"/>
      <c r="J46" s="274"/>
      <c r="K46" s="274"/>
    </row>
    <row r="47" spans="1:12" ht="40.950000000000003" customHeight="1" x14ac:dyDescent="0.6">
      <c r="A47" s="274" t="s">
        <v>133</v>
      </c>
      <c r="B47" s="274"/>
      <c r="C47" s="274"/>
      <c r="D47" s="274"/>
      <c r="E47" s="274"/>
      <c r="F47" s="274"/>
      <c r="G47" s="274"/>
      <c r="H47" s="274"/>
      <c r="I47" s="274"/>
      <c r="J47" s="274"/>
      <c r="K47" s="274"/>
    </row>
    <row r="48" spans="1:12" ht="40.950000000000003" customHeight="1" x14ac:dyDescent="0.6">
      <c r="A48" s="274" t="s">
        <v>136</v>
      </c>
      <c r="B48" s="274"/>
      <c r="C48" s="274"/>
      <c r="D48" s="274"/>
      <c r="E48" s="274"/>
      <c r="F48" s="274"/>
      <c r="G48" s="274"/>
      <c r="H48" s="274"/>
      <c r="I48" s="274"/>
      <c r="J48" s="274"/>
      <c r="K48" s="274"/>
    </row>
    <row r="49" spans="1:11" ht="40.950000000000003" customHeight="1" x14ac:dyDescent="0.6">
      <c r="A49" s="273" t="s">
        <v>126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73"/>
    </row>
    <row r="50" spans="1:11" ht="40.950000000000003" customHeight="1" x14ac:dyDescent="0.6">
      <c r="A50" s="271" t="s">
        <v>127</v>
      </c>
      <c r="B50" s="271"/>
      <c r="C50" s="271"/>
      <c r="D50" s="271"/>
      <c r="E50" s="271"/>
      <c r="F50" s="271"/>
      <c r="G50" s="271"/>
      <c r="H50" s="271"/>
      <c r="I50" s="271"/>
      <c r="J50" s="271"/>
      <c r="K50" s="271"/>
    </row>
  </sheetData>
  <sheetProtection algorithmName="SHA-512" hashValue="DtmY1hFPkDjviMMHxnX0ht4kwc1DMjyIeAovguJ+iBf2zqk+c0GIp3vnGy/gqaN5v4SZrby3+Fn3vRXRB8Bk0w==" saltValue="nb8WDwCWAyCmNnGEfZl4yA==" spinCount="100000" sheet="1" objects="1" scenarios="1"/>
  <mergeCells count="14">
    <mergeCell ref="A49:K49"/>
    <mergeCell ref="A1:K1"/>
    <mergeCell ref="A2:K2"/>
    <mergeCell ref="A3:K3"/>
    <mergeCell ref="A4:K4"/>
    <mergeCell ref="G6:K6"/>
    <mergeCell ref="D6:F6"/>
    <mergeCell ref="B6:C6"/>
    <mergeCell ref="B44:K44"/>
    <mergeCell ref="A46:K46"/>
    <mergeCell ref="A43:K43"/>
    <mergeCell ref="A45:K45"/>
    <mergeCell ref="A47:K47"/>
    <mergeCell ref="A48:K48"/>
  </mergeCells>
  <phoneticPr fontId="16" type="noConversion"/>
  <hyperlinks>
    <hyperlink ref="B44:K44" r:id="rId1" display="For seasonal produce, see What’s in Season? North Carolina Fruit and Vegetable Availability." xr:uid="{8FF5C8AA-24A1-4534-94F7-9A77464552C4}"/>
    <hyperlink ref="A49:B49" r:id="rId2" display="Source: Food Buying Guide for Child Nutrition Programs " xr:uid="{F4223493-E9AA-45A8-AF23-01D4BBB3D444}"/>
    <hyperlink ref="A50" r:id="rId3" xr:uid="{C4F44CA0-9C49-42C8-82BC-51046F86F9E3}"/>
  </hyperlinks>
  <pageMargins left="0.7" right="0.7" top="0.75" bottom="0.75" header="0.3" footer="0.3"/>
  <pageSetup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C09B41AB7DC4A977AEE3A22FF7710" ma:contentTypeVersion="10" ma:contentTypeDescription="Create a new document." ma:contentTypeScope="" ma:versionID="4c8521bb8f48838ebb5ca8fcfc785260">
  <xsd:schema xmlns:xsd="http://www.w3.org/2001/XMLSchema" xmlns:xs="http://www.w3.org/2001/XMLSchema" xmlns:p="http://schemas.microsoft.com/office/2006/metadata/properties" xmlns:ns2="d90c57f2-4cbc-4c4c-9605-2ca2391b8555" xmlns:ns3="e8f8b462-19c7-40a8-8257-545e82983fc1" targetNamespace="http://schemas.microsoft.com/office/2006/metadata/properties" ma:root="true" ma:fieldsID="cc3b156aef65802edd9d4ee951b978e0" ns2:_="" ns3:_="">
    <xsd:import namespace="d90c57f2-4cbc-4c4c-9605-2ca2391b8555"/>
    <xsd:import namespace="e8f8b462-19c7-40a8-8257-545e82983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c57f2-4cbc-4c4c-9605-2ca2391b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8b462-19c7-40a8-8257-545e82983fc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633e8da-daf2-4396-8f01-4cd8f25d3cbe}" ma:internalName="TaxCatchAll" ma:showField="CatchAllData" ma:web="e8f8b462-19c7-40a8-8257-545e82983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0c57f2-4cbc-4c4c-9605-2ca2391b8555">
      <Terms xmlns="http://schemas.microsoft.com/office/infopath/2007/PartnerControls"/>
    </lcf76f155ced4ddcb4097134ff3c332f>
    <TaxCatchAll xmlns="e8f8b462-19c7-40a8-8257-545e82983fc1" xsi:nil="true"/>
  </documentManagement>
</p:properties>
</file>

<file path=customXml/itemProps1.xml><?xml version="1.0" encoding="utf-8"?>
<ds:datastoreItem xmlns:ds="http://schemas.openxmlformats.org/officeDocument/2006/customXml" ds:itemID="{1ED84E5C-5BEE-4973-B22B-A323F05C1654}"/>
</file>

<file path=customXml/itemProps2.xml><?xml version="1.0" encoding="utf-8"?>
<ds:datastoreItem xmlns:ds="http://schemas.openxmlformats.org/officeDocument/2006/customXml" ds:itemID="{86D0C09A-5CA0-4E80-B62E-319E4DD5A672}"/>
</file>

<file path=customXml/itemProps3.xml><?xml version="1.0" encoding="utf-8"?>
<ds:datastoreItem xmlns:ds="http://schemas.openxmlformats.org/officeDocument/2006/customXml" ds:itemID="{B3B1A28A-680C-439F-BA0E-A5880CE015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Breakfast</vt:lpstr>
      <vt:lpstr>Lunch-Supper</vt:lpstr>
      <vt:lpstr>Snack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Mita, Satoko Chika</dc:creator>
  <cp:lastModifiedBy>Munoz, Katherin P</cp:lastModifiedBy>
  <cp:lastPrinted>2020-01-30T17:47:10Z</cp:lastPrinted>
  <dcterms:created xsi:type="dcterms:W3CDTF">2019-12-12T19:02:13Z</dcterms:created>
  <dcterms:modified xsi:type="dcterms:W3CDTF">2022-05-05T15:11:16Z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0x010100F12C09B41AB7DC4A977AEE3A22FF7710</vt:lpwstr>
  </property>
</Properties>
</file>