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SB\Training\CACFP\Website Updates\Website Change to DCFW.gov\Meal Patterns &amp; Nutrition Resources Page\"/>
    </mc:Choice>
  </mc:AlternateContent>
  <xr:revisionPtr revIDLastSave="0" documentId="8_{7415C7F4-336F-4FB1-955D-745FDA5EBBED}" xr6:coauthVersionLast="47" xr6:coauthVersionMax="47" xr10:uidLastSave="{00000000-0000-0000-0000-000000000000}"/>
  <bookViews>
    <workbookView xWindow="3240" yWindow="3240" windowWidth="17280" windowHeight="8964" xr2:uid="{C2C03D8C-3432-467B-8F11-D2373109FD25}"/>
  </bookViews>
  <sheets>
    <sheet name="Breakfast" sheetId="3" r:id="rId1"/>
    <sheet name="Lunch-Supper" sheetId="1" r:id="rId2"/>
    <sheet name="Snack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6" i="5" l="1"/>
  <c r="R45" i="1"/>
  <c r="K17" i="5" l="1"/>
  <c r="R23" i="1"/>
  <c r="K9" i="5" l="1"/>
  <c r="R10" i="1"/>
  <c r="R22" i="1" l="1"/>
  <c r="R53" i="1" l="1"/>
  <c r="K41" i="5" l="1"/>
  <c r="K40" i="5"/>
  <c r="K39" i="5"/>
  <c r="K38" i="5"/>
  <c r="K37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6" i="5"/>
  <c r="K15" i="5"/>
  <c r="K14" i="5"/>
  <c r="K13" i="5"/>
  <c r="K12" i="5"/>
  <c r="K11" i="5"/>
  <c r="K10" i="5"/>
  <c r="K8" i="5"/>
  <c r="R55" i="1" l="1"/>
  <c r="R54" i="1"/>
  <c r="R51" i="1"/>
  <c r="R50" i="1"/>
  <c r="R49" i="1"/>
  <c r="R47" i="1"/>
  <c r="R46" i="1"/>
  <c r="R44" i="1"/>
  <c r="R43" i="1"/>
  <c r="R40" i="1"/>
  <c r="R36" i="1"/>
  <c r="R35" i="1"/>
  <c r="R33" i="1"/>
  <c r="R31" i="1"/>
  <c r="R29" i="1"/>
  <c r="R28" i="1"/>
  <c r="R27" i="1"/>
  <c r="R25" i="1"/>
  <c r="R24" i="1"/>
  <c r="R21" i="1"/>
  <c r="R20" i="1"/>
  <c r="R19" i="1"/>
  <c r="R17" i="1"/>
  <c r="R16" i="1"/>
  <c r="R15" i="1"/>
  <c r="R14" i="1"/>
  <c r="R12" i="1"/>
  <c r="R52" i="1"/>
  <c r="R48" i="1"/>
  <c r="R42" i="1"/>
  <c r="R41" i="1"/>
  <c r="R39" i="1"/>
  <c r="R38" i="1"/>
  <c r="R37" i="1"/>
  <c r="R34" i="1"/>
  <c r="R32" i="1"/>
  <c r="R30" i="1"/>
  <c r="R26" i="1"/>
  <c r="R18" i="1"/>
  <c r="R13" i="1"/>
  <c r="R11" i="1"/>
  <c r="R9" i="1"/>
  <c r="K28" i="3" l="1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</calcChain>
</file>

<file path=xl/sharedStrings.xml><?xml version="1.0" encoding="utf-8"?>
<sst xmlns="http://schemas.openxmlformats.org/spreadsheetml/2006/main" count="1093" uniqueCount="260">
  <si>
    <t>FOOD ITEM</t>
  </si>
  <si>
    <t>AMOUNT TO PURCHASE</t>
  </si>
  <si>
    <t>BREAKFAST</t>
  </si>
  <si>
    <t>LUNCH</t>
  </si>
  <si>
    <t>SNACK</t>
  </si>
  <si>
    <t>PREPARATION</t>
  </si>
  <si>
    <t>ENTER SERVINGS</t>
  </si>
  <si>
    <t xml:space="preserve">RAW </t>
  </si>
  <si>
    <t>RAW</t>
  </si>
  <si>
    <t xml:space="preserve">COOKED  </t>
  </si>
  <si>
    <t>RAW, STRIPS</t>
  </si>
  <si>
    <t>COOKED, PARED, DICED</t>
  </si>
  <si>
    <t xml:space="preserve">COOKED, DRAINED </t>
  </si>
  <si>
    <t>RAW, CHOPPED</t>
  </si>
  <si>
    <t>UNPEELED, CORED, SLICED</t>
  </si>
  <si>
    <t xml:space="preserve">DICED, NO RIND </t>
  </si>
  <si>
    <t xml:space="preserve">CUBED OR DICED </t>
  </si>
  <si>
    <t xml:space="preserve">COOKED, DRAINED, SLICED </t>
  </si>
  <si>
    <t xml:space="preserve">UNPEELED, CORED, SLICED </t>
  </si>
  <si>
    <t>WHOLE</t>
  </si>
  <si>
    <t>CUBED OR DICED</t>
  </si>
  <si>
    <t xml:space="preserve"> </t>
  </si>
  <si>
    <t>COOKED, TRIMMED</t>
  </si>
  <si>
    <t>RAW, PIECES</t>
  </si>
  <si>
    <t>COOKED, MASHED</t>
  </si>
  <si>
    <t xml:space="preserve">DICED, WITHOUT RIND </t>
  </si>
  <si>
    <r>
      <rPr>
        <b/>
        <sz val="24"/>
        <rFont val="Calibri"/>
        <family val="2"/>
        <scheme val="minor"/>
      </rPr>
      <t>BANANAS</t>
    </r>
    <r>
      <rPr>
        <sz val="24"/>
        <rFont val="Calibri"/>
        <family val="2"/>
        <scheme val="minor"/>
      </rPr>
      <t xml:space="preserve"> (7" to 7-7/8")</t>
    </r>
  </si>
  <si>
    <r>
      <rPr>
        <b/>
        <sz val="24"/>
        <rFont val="Calibri"/>
        <family val="2"/>
        <scheme val="minor"/>
      </rPr>
      <t>CARROTS</t>
    </r>
    <r>
      <rPr>
        <sz val="24"/>
        <rFont val="Calibri"/>
        <family val="2"/>
        <scheme val="minor"/>
      </rPr>
      <t xml:space="preserve"> (BABY, READY-TO-USE)</t>
    </r>
  </si>
  <si>
    <r>
      <rPr>
        <b/>
        <sz val="24"/>
        <rFont val="Calibri"/>
        <family val="2"/>
        <scheme val="minor"/>
      </rPr>
      <t>CELERY</t>
    </r>
    <r>
      <rPr>
        <sz val="24"/>
        <rFont val="Calibri"/>
        <family val="2"/>
        <scheme val="minor"/>
      </rPr>
      <t xml:space="preserve"> (TRIMMED)</t>
    </r>
  </si>
  <si>
    <r>
      <rPr>
        <b/>
        <sz val="24"/>
        <rFont val="Calibri"/>
        <family val="2"/>
        <scheme val="minor"/>
      </rPr>
      <t>BANANAS</t>
    </r>
    <r>
      <rPr>
        <sz val="24"/>
        <rFont val="Calibri"/>
        <family val="2"/>
        <scheme val="minor"/>
      </rPr>
      <t xml:space="preserve"> (7" to 7-7/8" LENGTH)</t>
    </r>
  </si>
  <si>
    <t>FRESH PRODUCE PURCHASING &amp; PREP GUIDE</t>
  </si>
  <si>
    <t>AMOUNT TO PREPARE</t>
  </si>
  <si>
    <t>HALVES</t>
  </si>
  <si>
    <t xml:space="preserve">CUBES  </t>
  </si>
  <si>
    <t xml:space="preserve">CUBES </t>
  </si>
  <si>
    <t>WHOLE, COOKED</t>
  </si>
  <si>
    <t>UNPEELED, DICED</t>
  </si>
  <si>
    <t xml:space="preserve">QUARTERED </t>
  </si>
  <si>
    <t>BAKED</t>
  </si>
  <si>
    <t>CUBES</t>
  </si>
  <si>
    <t>QUARTERED</t>
  </si>
  <si>
    <t xml:space="preserve">DICED </t>
  </si>
  <si>
    <t xml:space="preserve">SLICED, COOKED  </t>
  </si>
  <si>
    <t>COOKED, DRAINED, PARED, CUBED</t>
  </si>
  <si>
    <t xml:space="preserve">COOKED, DRAINED, LEAVES </t>
  </si>
  <si>
    <t>COOKED, PIECES</t>
  </si>
  <si>
    <r>
      <rPr>
        <b/>
        <sz val="24"/>
        <rFont val="Calibri"/>
        <family val="2"/>
        <scheme val="minor"/>
      </rPr>
      <t>ORANGES</t>
    </r>
    <r>
      <rPr>
        <sz val="24"/>
        <rFont val="Calibri"/>
        <family val="2"/>
        <scheme val="minor"/>
      </rPr>
      <t xml:space="preserve"> (ALL SIZES)</t>
    </r>
  </si>
  <si>
    <t>SEEDED, UNPEELED, HALVES</t>
  </si>
  <si>
    <t>SLICED</t>
  </si>
  <si>
    <t>PARED, SLICED</t>
  </si>
  <si>
    <t>UNPEELED, WEDGES</t>
  </si>
  <si>
    <t>CUBED</t>
  </si>
  <si>
    <t xml:space="preserve"> CUBED</t>
  </si>
  <si>
    <r>
      <t>APRICOTS</t>
    </r>
    <r>
      <rPr>
        <sz val="24"/>
        <rFont val="Calibri"/>
        <family val="2"/>
        <scheme val="minor"/>
      </rPr>
      <t xml:space="preserve"> (MEDIUM, APPROX. 1-3/8" DIAMETER, WHOLE)</t>
    </r>
  </si>
  <si>
    <r>
      <rPr>
        <b/>
        <sz val="24"/>
        <rFont val="Calibri"/>
        <family val="2"/>
        <scheme val="minor"/>
      </rPr>
      <t>CLEMENTINES</t>
    </r>
    <r>
      <rPr>
        <sz val="24"/>
        <rFont val="Calibri"/>
        <family val="2"/>
        <scheme val="minor"/>
      </rPr>
      <t xml:space="preserve"> </t>
    </r>
  </si>
  <si>
    <r>
      <rPr>
        <b/>
        <sz val="24"/>
        <rFont val="Calibri"/>
        <family val="2"/>
        <scheme val="minor"/>
      </rPr>
      <t>GRAPES</t>
    </r>
    <r>
      <rPr>
        <sz val="24"/>
        <rFont val="Calibri"/>
        <family val="2"/>
        <scheme val="minor"/>
      </rPr>
      <t xml:space="preserve"> (SEEDLESS, WHOLE, WITH STEM)</t>
    </r>
  </si>
  <si>
    <r>
      <rPr>
        <b/>
        <sz val="24"/>
        <rFont val="Calibri"/>
        <family val="2"/>
        <scheme val="minor"/>
      </rPr>
      <t>KIWI</t>
    </r>
    <r>
      <rPr>
        <sz val="24"/>
        <rFont val="Calibri"/>
        <family val="2"/>
        <scheme val="minor"/>
      </rPr>
      <t xml:space="preserve">  </t>
    </r>
  </si>
  <si>
    <r>
      <rPr>
        <b/>
        <sz val="24"/>
        <rFont val="Calibri"/>
        <family val="2"/>
        <scheme val="minor"/>
      </rPr>
      <t>GRAPES</t>
    </r>
    <r>
      <rPr>
        <sz val="24"/>
        <rFont val="Calibri"/>
        <family val="2"/>
        <scheme val="minor"/>
      </rPr>
      <t xml:space="preserve"> (SEEDLESS, WITH STEM)</t>
    </r>
  </si>
  <si>
    <r>
      <rPr>
        <b/>
        <sz val="24"/>
        <rFont val="Calibri"/>
        <family val="2"/>
        <scheme val="minor"/>
      </rPr>
      <t>PINEAPPLE</t>
    </r>
    <r>
      <rPr>
        <sz val="24"/>
        <rFont val="Calibri"/>
        <family val="2"/>
        <scheme val="minor"/>
      </rPr>
      <t xml:space="preserve"> (WHOLE)</t>
    </r>
  </si>
  <si>
    <r>
      <rPr>
        <b/>
        <sz val="24"/>
        <rFont val="Calibri"/>
        <family val="2"/>
        <scheme val="minor"/>
      </rPr>
      <t>CLEMENTINES</t>
    </r>
    <r>
      <rPr>
        <sz val="24"/>
        <rFont val="Calibri"/>
        <family val="2"/>
        <scheme val="minor"/>
      </rPr>
      <t xml:space="preserve">  </t>
    </r>
  </si>
  <si>
    <t>SLICED, COOKED, DRAINED</t>
  </si>
  <si>
    <r>
      <rPr>
        <b/>
        <sz val="24"/>
        <rFont val="Calibri"/>
        <family val="2"/>
        <scheme val="minor"/>
      </rPr>
      <t>TANGERINES</t>
    </r>
    <r>
      <rPr>
        <sz val="24"/>
        <rFont val="Calibri"/>
        <family val="2"/>
        <scheme val="minor"/>
      </rPr>
      <t xml:space="preserve">  </t>
    </r>
  </si>
  <si>
    <t>TANGERINES</t>
  </si>
  <si>
    <r>
      <t>APPLES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</si>
  <si>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rPr>
        <b/>
        <sz val="24"/>
        <rFont val="Calibri"/>
        <family val="2"/>
        <scheme val="minor"/>
      </rPr>
      <t>BEETS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(WITHOUT TOPS)</t>
    </r>
  </si>
  <si>
    <r>
      <t>BLUEBERRIES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</si>
  <si>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rPr>
        <b/>
        <sz val="24"/>
        <rFont val="Calibri"/>
        <family val="2"/>
        <scheme val="minor"/>
      </rPr>
      <t>BROCCOLI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(FLORETS)</t>
    </r>
  </si>
  <si>
    <r>
      <rPr>
        <b/>
        <sz val="24"/>
        <rFont val="Calibri"/>
        <family val="2"/>
        <scheme val="minor"/>
      </rPr>
      <t>BUTTERNUT, SQUASH, WINTER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(WHOLE)</t>
    </r>
  </si>
  <si>
    <r>
      <rPr>
        <b/>
        <sz val="24"/>
        <rFont val="Calibri"/>
        <family val="2"/>
        <scheme val="minor"/>
      </rPr>
      <t>CABBAGE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(GREEN, UNTRIMMED, WHOLE)</t>
    </r>
  </si>
  <si>
    <r>
      <rPr>
        <b/>
        <sz val="24"/>
        <rFont val="Calibri"/>
        <family val="2"/>
        <scheme val="minor"/>
      </rPr>
      <t>CANTALOUPE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(WHOLE, 5" DIAMETER)</t>
    </r>
  </si>
  <si>
    <r>
      <rPr>
        <b/>
        <sz val="24"/>
        <rFont val="Calibri"/>
        <family val="2"/>
        <scheme val="minor"/>
      </rPr>
      <t>CARROTS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(WITHOUT TOPS)</t>
    </r>
  </si>
  <si>
    <r>
      <rPr>
        <b/>
        <sz val="24"/>
        <rFont val="Calibri"/>
        <family val="2"/>
        <scheme val="minor"/>
      </rPr>
      <t>CHERRY TOMATOES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(WITHOUT STEM)</t>
    </r>
  </si>
  <si>
    <r>
      <rPr>
        <b/>
        <sz val="24"/>
        <rFont val="Calibri"/>
        <family val="2"/>
        <scheme val="minor"/>
      </rPr>
      <t>COLLARD GREENS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(UNTRIMMED)</t>
    </r>
  </si>
  <si>
    <r>
      <rPr>
        <b/>
        <sz val="24"/>
        <rFont val="Calibri"/>
        <family val="2"/>
        <scheme val="minor"/>
      </rPr>
      <t>CUCUMBERS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(WHOLE, UNPARED)</t>
    </r>
  </si>
  <si>
    <r>
      <rPr>
        <b/>
        <sz val="24"/>
        <rFont val="Calibri"/>
        <family val="2"/>
        <scheme val="minor"/>
      </rPr>
      <t>HONEYDEW MELON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(WHOLE)</t>
    </r>
  </si>
  <si>
    <r>
      <rPr>
        <b/>
        <sz val="24"/>
        <rFont val="Calibri"/>
        <family val="2"/>
        <scheme val="minor"/>
      </rPr>
      <t>KALE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(TRIMMED, WITHOUT STEM)</t>
    </r>
  </si>
  <si>
    <r>
      <rPr>
        <b/>
        <sz val="24"/>
        <rFont val="Calibri"/>
        <family val="2"/>
        <scheme val="minor"/>
      </rPr>
      <t>LETTUCE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(DARK GREEN LEAFY, UNTRIMMED)</t>
    </r>
  </si>
  <si>
    <r>
      <rPr>
        <b/>
        <sz val="24"/>
        <rFont val="Calibri"/>
        <family val="2"/>
        <scheme val="minor"/>
      </rPr>
      <t>PEACHES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color theme="4" tint="-0.249977111117893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(SIZE 80)</t>
    </r>
  </si>
  <si>
    <r>
      <rPr>
        <b/>
        <sz val="24"/>
        <rFont val="Calibri"/>
        <family val="2"/>
        <scheme val="minor"/>
      </rPr>
      <t>PEARS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(ALL SIZES)</t>
    </r>
  </si>
  <si>
    <r>
      <rPr>
        <b/>
        <sz val="24"/>
        <rFont val="Calibri"/>
        <family val="2"/>
        <scheme val="minor"/>
      </rPr>
      <t>PEPPERS, BELL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(GREEN, YELLOW, ORANGE, OR RED, MEDIUM OR LARGE, WHOLE) </t>
    </r>
  </si>
  <si>
    <r>
      <t>PLUMS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b/>
        <sz val="24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(PURPLE, RED, OR BLACK 2" DIAMETER)</t>
    </r>
  </si>
  <si>
    <r>
      <rPr>
        <b/>
        <sz val="24"/>
        <rFont val="Calibri"/>
        <family val="2"/>
        <scheme val="minor"/>
      </rPr>
      <t>ROMAINE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(UNTRIMMED)</t>
    </r>
  </si>
  <si>
    <r>
      <rPr>
        <b/>
        <sz val="24"/>
        <rFont val="Calibri"/>
        <family val="2"/>
        <scheme val="minor"/>
      </rPr>
      <t>SPINACH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(PARTLY TRIMMED)</t>
    </r>
  </si>
  <si>
    <r>
      <t>STRAWBERRIES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</si>
  <si>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t>SWEET POTATOES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</si>
  <si>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rPr>
        <b/>
        <sz val="24"/>
        <rFont val="Calibri"/>
        <family val="2"/>
        <scheme val="minor"/>
      </rPr>
      <t>WATERMELON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(WHOLE)</t>
    </r>
  </si>
  <si>
    <r>
      <t>ZUCCHINI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</si>
  <si>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t>BLACKBERRIES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</si>
  <si>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t>NECTARINES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b/>
        <sz val="24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(ALL SIZES)</t>
    </r>
  </si>
  <si>
    <r>
      <rPr>
        <b/>
        <sz val="24"/>
        <rFont val="Calibri"/>
        <family val="2"/>
        <scheme val="minor"/>
      </rPr>
      <t>PEACHES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(SIZE 80)</t>
    </r>
  </si>
  <si>
    <r>
      <rPr>
        <b/>
        <sz val="24"/>
        <rFont val="Calibri"/>
        <family val="2"/>
        <scheme val="minor"/>
      </rPr>
      <t>PERSIMMONS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b/>
        <sz val="24"/>
        <rFont val="Calibri"/>
        <family val="2"/>
        <scheme val="minor"/>
      </rPr>
      <t>, JAPANESE, FUYU</t>
    </r>
    <r>
      <rPr>
        <sz val="24"/>
        <rFont val="Calibri"/>
        <family val="2"/>
        <scheme val="minor"/>
      </rPr>
      <t xml:space="preserve"> </t>
    </r>
  </si>
  <si>
    <r>
      <rPr>
        <b/>
        <sz val="24"/>
        <rFont val="Calibri"/>
        <family val="2"/>
        <scheme val="minor"/>
      </rPr>
      <t>PLUMS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vertAlign val="superscript"/>
        <sz val="24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(PURPLE, RED, OR BLACK 2" DIAMETER)</t>
    </r>
  </si>
  <si>
    <r>
      <rPr>
        <b/>
        <sz val="24"/>
        <rFont val="Calibri"/>
        <family val="2"/>
        <scheme val="minor"/>
      </rPr>
      <t>STRAWBERRIES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</t>
    </r>
  </si>
  <si>
    <r>
      <t>WATERMELON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</si>
  <si>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rPr>
        <b/>
        <sz val="24"/>
        <rFont val="Calibri"/>
        <family val="2"/>
        <scheme val="minor"/>
      </rPr>
      <t>BLUEBERRIES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 </t>
    </r>
  </si>
  <si>
    <r>
      <rPr>
        <b/>
        <sz val="24"/>
        <rFont val="Calibri"/>
        <family val="2"/>
        <scheme val="minor"/>
      </rPr>
      <t>GREEN BEANS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(WHOLE, UNTRIMMED)</t>
    </r>
  </si>
  <si>
    <r>
      <rPr>
        <b/>
        <sz val="24"/>
        <rFont val="Calibri"/>
        <family val="2"/>
        <scheme val="minor"/>
      </rPr>
      <t>LETTUCE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vertAlign val="superscript"/>
        <sz val="24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(DARK GREEN LEAFY, UNTRIMMED)</t>
    </r>
  </si>
  <si>
    <r>
      <rPr>
        <b/>
        <sz val="24"/>
        <rFont val="Calibri"/>
        <family val="2"/>
        <scheme val="minor"/>
      </rPr>
      <t>NECTARINES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color theme="4" tint="-0.249977111117893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(ALL SIZES)</t>
    </r>
  </si>
  <si>
    <r>
      <rPr>
        <b/>
        <sz val="24"/>
        <rFont val="Calibri"/>
        <family val="2"/>
        <scheme val="minor"/>
      </rPr>
      <t>PEPPERS, BELL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(GREEN, YELLOW, ORANGE, OR RED, MEDIUM OR LARGE, WHOLE)</t>
    </r>
  </si>
  <si>
    <r>
      <t>PLUMS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(PURPLE, RED, OR BLACK 2" DIAMETER)</t>
    </r>
  </si>
  <si>
    <r>
      <t>RASPBERRIES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</si>
  <si>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rPr>
        <b/>
        <sz val="24"/>
        <rFont val="Calibri"/>
        <family val="2"/>
        <scheme val="minor"/>
      </rPr>
      <t>SWEET POTATOES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 </t>
    </r>
  </si>
  <si>
    <r>
      <rPr>
        <b/>
        <sz val="24"/>
        <rFont val="Calibri"/>
        <family val="2"/>
        <scheme val="minor"/>
      </rPr>
      <t xml:space="preserve">BROCCOLI </t>
    </r>
    <r>
      <rPr>
        <sz val="24"/>
        <rFont val="Calibri"/>
        <family val="2"/>
        <scheme val="minor"/>
      </rPr>
      <t xml:space="preserve">(FLORETS, TRIMMED, READY-TO-USE) </t>
    </r>
  </si>
  <si>
    <r>
      <t>SNOW PEAS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</si>
  <si>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t>SNOW PEAS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b/>
        <sz val="24"/>
        <rFont val="Calibri"/>
        <family val="2"/>
        <scheme val="minor"/>
      </rPr>
      <t xml:space="preserve"> </t>
    </r>
  </si>
  <si>
    <r>
      <rPr>
        <b/>
        <sz val="24"/>
        <rFont val="Calibri"/>
        <family val="2"/>
        <scheme val="minor"/>
      </rPr>
      <t>CANTALOUPE</t>
    </r>
    <r>
      <rPr>
        <b/>
        <vertAlign val="superscript"/>
        <sz val="24"/>
        <color theme="4" tint="-0.249977111117893"/>
        <rFont val="Calibri"/>
        <family val="2"/>
        <scheme val="minor"/>
      </rPr>
      <t xml:space="preserve">NC </t>
    </r>
    <r>
      <rPr>
        <sz val="24"/>
        <rFont val="Calibri"/>
        <family val="2"/>
        <scheme val="minor"/>
      </rPr>
      <t xml:space="preserve"> (WHOLE, 5" DIAMETER)</t>
    </r>
  </si>
  <si>
    <r>
      <rPr>
        <b/>
        <sz val="24"/>
        <rFont val="Calibri"/>
        <family val="2"/>
        <scheme val="minor"/>
      </rPr>
      <t>RASPBERRIES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</si>
  <si>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t>ONIONS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b/>
        <sz val="24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(WHOLE, ALL SIZES)</t>
    </r>
  </si>
  <si>
    <r>
      <rPr>
        <b/>
        <sz val="24"/>
        <rFont val="Calibri"/>
        <family val="2"/>
        <scheme val="minor"/>
      </rPr>
      <t>POTATOES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color theme="4" tint="-0.249977111117893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(WHOLE, WHITE OR RUSSET, ALL SIZES)</t>
    </r>
  </si>
  <si>
    <r>
      <rPr>
        <b/>
        <sz val="24"/>
        <rFont val="Calibri"/>
        <family val="2"/>
        <scheme val="minor"/>
      </rPr>
      <t>TOMATOES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(WHOLE, ALL SIZES)</t>
    </r>
  </si>
  <si>
    <t>Vegetables</t>
  </si>
  <si>
    <t xml:space="preserve">COOKED, DRAINED, FLORETS </t>
  </si>
  <si>
    <r>
      <rPr>
        <b/>
        <sz val="24"/>
        <rFont val="Calibri"/>
        <family val="2"/>
        <scheme val="minor"/>
      </rPr>
      <t>CORN ON THE COB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(WITH HUSKS, 5" to 6" LENGTH)</t>
    </r>
  </si>
  <si>
    <t>RAW, FLORETS</t>
  </si>
  <si>
    <r>
      <rPr>
        <b/>
        <sz val="24"/>
        <rFont val="Calibri"/>
        <family val="2"/>
      </rPr>
      <t>YELLOW SQUASH</t>
    </r>
    <r>
      <rPr>
        <b/>
        <vertAlign val="superscript"/>
        <sz val="24"/>
        <color theme="4" tint="-0.249977111117893"/>
        <rFont val="Calibri"/>
        <family val="2"/>
      </rPr>
      <t>NC</t>
    </r>
  </si>
  <si>
    <r>
      <rPr>
        <b/>
        <sz val="24"/>
        <rFont val="Calibri"/>
        <family val="2"/>
        <scheme val="minor"/>
      </rPr>
      <t>BROCCOLI</t>
    </r>
    <r>
      <rPr>
        <sz val="24"/>
        <rFont val="Calibri"/>
        <family val="2"/>
        <scheme val="minor"/>
      </rPr>
      <t xml:space="preserve"> (FLORETS, TRIMMED, READY-TO-USE)</t>
    </r>
  </si>
  <si>
    <r>
      <t>AVOCADOS</t>
    </r>
    <r>
      <rPr>
        <sz val="24"/>
        <rFont val="Calibri"/>
        <family val="2"/>
        <scheme val="minor"/>
      </rPr>
      <t xml:space="preserve"> (APPROX. 2.5" WIDTH by 3.5" LENGTH, WHOLE)</t>
    </r>
  </si>
  <si>
    <r>
      <t xml:space="preserve">CAULIFLOWER </t>
    </r>
    <r>
      <rPr>
        <sz val="24"/>
        <rFont val="Calibri"/>
        <family val="2"/>
      </rPr>
      <t>(FLORETS, READY-TO-USE)</t>
    </r>
  </si>
  <si>
    <r>
      <t xml:space="preserve">CAULIFLOWER </t>
    </r>
    <r>
      <rPr>
        <sz val="24"/>
        <rFont val="Calibri"/>
        <family val="2"/>
      </rPr>
      <t>(WHOLE, TRIMMED)</t>
    </r>
  </si>
  <si>
    <t>(1 serving of vegetable or fruit = 1/2 cup)</t>
  </si>
  <si>
    <t>(1/2 cup serving of vegetable) + (1/4 cup serving of fruit or 2nd vegetable)</t>
  </si>
  <si>
    <t>1 serving of vegetable or fruit = 3/4 cup</t>
  </si>
  <si>
    <t>FOR PROGRAMS SERVING 6 - 18 YEAR OLDS*</t>
  </si>
  <si>
    <r>
      <rPr>
        <b/>
        <sz val="24"/>
        <color theme="4" tint="-0.249977111117893"/>
        <rFont val="Calibri"/>
        <family val="2"/>
        <scheme val="minor"/>
      </rPr>
      <t>NC</t>
    </r>
    <r>
      <rPr>
        <b/>
        <sz val="24"/>
        <color theme="1"/>
        <rFont val="Calibri"/>
        <family val="2"/>
        <scheme val="minor"/>
      </rPr>
      <t xml:space="preserve">  </t>
    </r>
    <r>
      <rPr>
        <sz val="24"/>
        <color theme="1"/>
        <rFont val="Calibri"/>
        <family val="2"/>
        <scheme val="minor"/>
      </rPr>
      <t xml:space="preserve">= Grown in North Carolina </t>
    </r>
  </si>
  <si>
    <r>
      <t xml:space="preserve">Source: </t>
    </r>
    <r>
      <rPr>
        <b/>
        <u/>
        <sz val="24"/>
        <color theme="10"/>
        <rFont val="Calibri"/>
        <family val="2"/>
        <scheme val="minor"/>
      </rPr>
      <t xml:space="preserve">Food Buying Guide for Child Nutrition Programs </t>
    </r>
  </si>
  <si>
    <t xml:space="preserve">USDA Child Meal Pattern </t>
  </si>
  <si>
    <r>
      <rPr>
        <b/>
        <sz val="24"/>
        <color theme="4" tint="-0.249977111117893"/>
        <rFont val="Calibri"/>
        <family val="2"/>
        <scheme val="minor"/>
      </rPr>
      <t>NC</t>
    </r>
    <r>
      <rPr>
        <b/>
        <sz val="24"/>
        <color theme="1"/>
        <rFont val="Calibri"/>
        <family val="2"/>
        <scheme val="minor"/>
      </rPr>
      <t xml:space="preserve"> </t>
    </r>
    <r>
      <rPr>
        <sz val="24"/>
        <color theme="1"/>
        <rFont val="Calibri"/>
        <family val="2"/>
        <scheme val="minor"/>
      </rPr>
      <t xml:space="preserve"> = Grown in North Carolina </t>
    </r>
  </si>
  <si>
    <r>
      <rPr>
        <b/>
        <sz val="24"/>
        <color theme="4" tint="-0.249977111117893"/>
        <rFont val="Calibri"/>
        <family val="2"/>
        <scheme val="minor"/>
      </rPr>
      <t xml:space="preserve">NC </t>
    </r>
    <r>
      <rPr>
        <sz val="24"/>
        <color theme="1"/>
        <rFont val="Calibri"/>
        <family val="2"/>
        <scheme val="minor"/>
      </rPr>
      <t xml:space="preserve"> = Grown in North Carolina </t>
    </r>
  </si>
  <si>
    <t>RAW, STRIPS (4" by ½")</t>
  </si>
  <si>
    <t xml:space="preserve">UNPARED, STICKS (3" by ¾") </t>
  </si>
  <si>
    <t xml:space="preserve">RAW, STICKS (½" by 3") </t>
  </si>
  <si>
    <t>Amounts are rounded up to the nearest 0.25 pound.</t>
  </si>
  <si>
    <t>One cup of raw (uncooked) leafy greens (kale, lettuce, romaine, spinach) counts as ½ cup of vegetables.</t>
  </si>
  <si>
    <t>One cup of raw (uncooked) leafy greens (kale, lettuce) counts as ½ cup of vegetables.</t>
  </si>
  <si>
    <t>WHOLE OR SLICED
(1 banana = ½ cup)</t>
  </si>
  <si>
    <t>1 WHOLE, PEELED CLEMENTINE
(ABOUT ⅜ cup)</t>
  </si>
  <si>
    <t>PEELED, SLICED 
(¼" SLICES)</t>
  </si>
  <si>
    <t>SECTIONS, MEMBRANE 
REMOVED, DRAINED</t>
  </si>
  <si>
    <t>1 WHOLE, PEELED TANGERINE 
(ABOUT ½ cup)</t>
  </si>
  <si>
    <t>2 ½
cups</t>
  </si>
  <si>
    <t>12 ½
cups</t>
  </si>
  <si>
    <t>12 ½ 
cups</t>
  </si>
  <si>
    <t>25
cups</t>
  </si>
  <si>
    <t>0.75
pound</t>
  </si>
  <si>
    <t>1
pound</t>
  </si>
  <si>
    <t>1.5
pounds</t>
  </si>
  <si>
    <t>1.75
pounds</t>
  </si>
  <si>
    <t>1.25
pounds</t>
  </si>
  <si>
    <t>2.25
pounds</t>
  </si>
  <si>
    <t>3
pounds</t>
  </si>
  <si>
    <t>For 5 
servings</t>
  </si>
  <si>
    <t>For 25 
servings</t>
  </si>
  <si>
    <t>For 50 
servings</t>
  </si>
  <si>
    <t xml:space="preserve">For 5 
servings  </t>
  </si>
  <si>
    <t xml:space="preserve">For 25 
servings  </t>
  </si>
  <si>
    <t xml:space="preserve">For 50 
servings </t>
  </si>
  <si>
    <t>ENTER 
SERVINGS</t>
  </si>
  <si>
    <t>AMOUNT TO 
PURCHASE</t>
  </si>
  <si>
    <t>3.5
pounds</t>
  </si>
  <si>
    <t>4.75
pounds</t>
  </si>
  <si>
    <t>7
pounds</t>
  </si>
  <si>
    <t>4.25
pounds</t>
  </si>
  <si>
    <t>8.75
pounds</t>
  </si>
  <si>
    <t>5.75
pounds</t>
  </si>
  <si>
    <t>5.5
pounds</t>
  </si>
  <si>
    <t>10.25
pounds</t>
  </si>
  <si>
    <t>14.5
pounds</t>
  </si>
  <si>
    <t>6.5
pounds</t>
  </si>
  <si>
    <t>3.25
pounds</t>
  </si>
  <si>
    <t>8
pounds</t>
  </si>
  <si>
    <t>5
pounds</t>
  </si>
  <si>
    <t>8.25
pounds</t>
  </si>
  <si>
    <t>9.5
pounds</t>
  </si>
  <si>
    <t>14
pounds</t>
  </si>
  <si>
    <t>8.5
pounds</t>
  </si>
  <si>
    <t>17.5
pounds</t>
  </si>
  <si>
    <t>11.25
pounds</t>
  </si>
  <si>
    <t>11
pounds</t>
  </si>
  <si>
    <t>20.5
pounds</t>
  </si>
  <si>
    <t>28.75
pounds</t>
  </si>
  <si>
    <t>12.75
pounds</t>
  </si>
  <si>
    <t>15.75
pounds</t>
  </si>
  <si>
    <t>9.75
pounds</t>
  </si>
  <si>
    <t>10
pounds</t>
  </si>
  <si>
    <t>16.5
pounds</t>
  </si>
  <si>
    <t xml:space="preserve">For 5 
servings </t>
  </si>
  <si>
    <t xml:space="preserve">ENTER
SERVINGS </t>
  </si>
  <si>
    <t xml:space="preserve">AMOUNT TO 
PURCHASE </t>
  </si>
  <si>
    <t>PEELED, SLICED
(⅜" by 3 ½" SLICES)</t>
  </si>
  <si>
    <t>RAW, STRIPS
(4" by ½")</t>
  </si>
  <si>
    <t xml:space="preserve">RAW,  STICKS OR STRIPS
(½ " by 4") </t>
  </si>
  <si>
    <t>UNPARED, STICKS
(3" by ¾")</t>
  </si>
  <si>
    <t>3 ¾
cups</t>
  </si>
  <si>
    <t>7 ½
cups</t>
  </si>
  <si>
    <t>18 ¾
cups</t>
  </si>
  <si>
    <t>37 ½
cups</t>
  </si>
  <si>
    <t>75
cups</t>
  </si>
  <si>
    <t>2.75
pounds</t>
  </si>
  <si>
    <t>4.5
pounds</t>
  </si>
  <si>
    <t>2
pounds</t>
  </si>
  <si>
    <t>2.5
pounds</t>
  </si>
  <si>
    <t>5.25
pounds</t>
  </si>
  <si>
    <t>13.75
pounds</t>
  </si>
  <si>
    <t>10.5
pounds</t>
  </si>
  <si>
    <t>13.25
pounds</t>
  </si>
  <si>
    <t>6
pounds</t>
  </si>
  <si>
    <t>7.5
pounds</t>
  </si>
  <si>
    <t>6.25
pounds</t>
  </si>
  <si>
    <t>22.5
pounds</t>
  </si>
  <si>
    <t>15.5
pounds</t>
  </si>
  <si>
    <t>7.25
pounds</t>
  </si>
  <si>
    <t>21.5
pounds</t>
  </si>
  <si>
    <t>11.75
pounds</t>
  </si>
  <si>
    <t>6.75
pounds</t>
  </si>
  <si>
    <t>11.5
pounds</t>
  </si>
  <si>
    <t>12.5
pounds</t>
  </si>
  <si>
    <t>27.25
pounds</t>
  </si>
  <si>
    <t>21
pounds</t>
  </si>
  <si>
    <t>26.25
pounds</t>
  </si>
  <si>
    <t>14.75
pounds</t>
  </si>
  <si>
    <t>16.75
pounds</t>
  </si>
  <si>
    <t>45
pounds</t>
  </si>
  <si>
    <t>16.25
pounds</t>
  </si>
  <si>
    <t>30.75
pounds</t>
  </si>
  <si>
    <t>14.25
pounds</t>
  </si>
  <si>
    <t>43
pounds</t>
  </si>
  <si>
    <t>19
pounds</t>
  </si>
  <si>
    <t>23.5
pounds</t>
  </si>
  <si>
    <t>22.75
pounds</t>
  </si>
  <si>
    <t>15
pounds</t>
  </si>
  <si>
    <t>24.75
pounds</t>
  </si>
  <si>
    <t xml:space="preserve">RAW, STICKS OR STRIPS
(½" by 4") </t>
  </si>
  <si>
    <t>RAW, STICKS 
(½" by 3")</t>
  </si>
  <si>
    <t>For 25
servings</t>
  </si>
  <si>
    <t>For 50
servings</t>
  </si>
  <si>
    <t>For 5
servings</t>
  </si>
  <si>
    <t>Vegetable
(1 serving = 1/2 cup)</t>
  </si>
  <si>
    <t>Fruit or 2nd Vegetable
(1 serving = 1/4 cup)</t>
  </si>
  <si>
    <t>Fruit or
2nd Vegetable</t>
  </si>
  <si>
    <t>5
cups</t>
  </si>
  <si>
    <t>2 ½ 
cups</t>
  </si>
  <si>
    <t>50
cups</t>
  </si>
  <si>
    <t>1 ¼
cups</t>
  </si>
  <si>
    <t>6 ¼
cups</t>
  </si>
  <si>
    <t>0.5
pound</t>
  </si>
  <si>
    <t>9.25
pounds</t>
  </si>
  <si>
    <t>4
pounds</t>
  </si>
  <si>
    <t>7.75
pounds</t>
  </si>
  <si>
    <t>18.25
pounds</t>
  </si>
  <si>
    <t>13
pounds</t>
  </si>
  <si>
    <t>13.5
pounds</t>
  </si>
  <si>
    <t>30
pounds</t>
  </si>
  <si>
    <t>9
pounds</t>
  </si>
  <si>
    <t>15.25
pounds</t>
  </si>
  <si>
    <t>12
pounds</t>
  </si>
  <si>
    <t>0.25
pound</t>
  </si>
  <si>
    <r>
      <t xml:space="preserve">For seasonal produce, see </t>
    </r>
    <r>
      <rPr>
        <b/>
        <u/>
        <sz val="24"/>
        <color theme="10"/>
        <rFont val="Calibri"/>
        <family val="2"/>
        <scheme val="minor"/>
      </rPr>
      <t>What’s in Season? North Carolina Fruit and Vegetable Availability.</t>
    </r>
  </si>
  <si>
    <t>NC Farm to Preschool Network – Fresh Produce Purchasing &amp; Prep Guide for Programs Serving 6-18 year olds (2/2021)</t>
  </si>
  <si>
    <r>
      <rPr>
        <b/>
        <sz val="24"/>
        <color theme="1"/>
        <rFont val="Calibri"/>
        <family val="2"/>
        <scheme val="minor"/>
      </rPr>
      <t xml:space="preserve">*Note: </t>
    </r>
    <r>
      <rPr>
        <sz val="24"/>
        <color theme="1"/>
        <rFont val="Calibri"/>
        <family val="2"/>
        <scheme val="minor"/>
      </rPr>
      <t>Amounts are calculated for 6 - 18 year olds and represent minimum serving sizes to meet the USDA Child Meal Patterns.</t>
    </r>
  </si>
  <si>
    <r>
      <rPr>
        <b/>
        <sz val="24"/>
        <color theme="1"/>
        <rFont val="Calibri"/>
        <family val="2"/>
        <scheme val="minor"/>
      </rPr>
      <t>*Note:</t>
    </r>
    <r>
      <rPr>
        <sz val="24"/>
        <color theme="1"/>
        <rFont val="Calibri"/>
        <family val="2"/>
        <scheme val="minor"/>
      </rPr>
      <t xml:space="preserve"> Amounts are calculated for 6 - 18 year olds and represent minimum serving sizes to meet the USDA Child Meal Patterns.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</si>
</sst>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8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24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i/>
      <sz val="22"/>
      <name val="Calibri"/>
      <family val="2"/>
      <scheme val="minor"/>
    </font>
    <font>
      <b/>
      <i/>
      <sz val="18"/>
      <name val="Calibri"/>
      <family val="2"/>
      <scheme val="minor"/>
    </font>
    <font>
      <b/>
      <sz val="24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24"/>
      <name val="Calibri"/>
      <family val="2"/>
      <scheme val="minor"/>
    </font>
    <font>
      <b/>
      <vertAlign val="superscript"/>
      <sz val="24"/>
      <color theme="4" tint="-0.249977111117893"/>
      <name val="Calibri"/>
      <family val="2"/>
      <scheme val="minor"/>
    </font>
    <font>
      <sz val="24"/>
      <color theme="4" tint="-0.249977111117893"/>
      <name val="Calibri"/>
      <family val="2"/>
      <scheme val="minor"/>
    </font>
    <font>
      <b/>
      <sz val="24"/>
      <color theme="4" tint="-0.249977111117893"/>
      <name val="Calibri"/>
      <family val="2"/>
      <scheme val="minor"/>
    </font>
    <font>
      <b/>
      <i/>
      <sz val="20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4"/>
      <color rgb="FFFF0000"/>
      <name val="Calibri"/>
      <family val="2"/>
    </font>
    <font>
      <b/>
      <vertAlign val="superscript"/>
      <sz val="24"/>
      <color theme="4" tint="-0.249977111117893"/>
      <name val="Calibri"/>
      <family val="2"/>
    </font>
    <font>
      <sz val="18"/>
      <color rgb="FFFF0000"/>
      <name val="Calibri"/>
      <family val="2"/>
    </font>
    <font>
      <sz val="24"/>
      <color rgb="FFFF0000"/>
      <name val="Calibri"/>
      <family val="2"/>
    </font>
    <font>
      <sz val="24"/>
      <color theme="1"/>
      <name val="Calibri"/>
      <family val="2"/>
    </font>
    <font>
      <b/>
      <sz val="24"/>
      <name val="Calibri"/>
      <family val="2"/>
    </font>
    <font>
      <sz val="24"/>
      <name val="Calibri"/>
      <family val="2"/>
    </font>
    <font>
      <u/>
      <sz val="11"/>
      <color theme="10"/>
      <name val="Calibri"/>
      <family val="2"/>
      <scheme val="minor"/>
    </font>
    <font>
      <u/>
      <sz val="24"/>
      <color theme="10"/>
      <name val="Calibri"/>
      <family val="2"/>
      <scheme val="minor"/>
    </font>
    <font>
      <b/>
      <u/>
      <sz val="24"/>
      <color theme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darkGray">
        <bgColor theme="7" tint="0.59999389629810485"/>
      </patternFill>
    </fill>
    <fill>
      <patternFill patternType="darkGray">
        <bgColor theme="7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darkGray">
        <bgColor theme="7" tint="0.39997558519241921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darkGray">
        <bgColor theme="7" tint="0.79995117038483843"/>
      </patternFill>
    </fill>
    <fill>
      <patternFill patternType="darkGray">
        <bgColor theme="7" tint="0.79989013336588644"/>
      </patternFill>
    </fill>
  </fills>
  <borders count="7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2"/>
      </right>
      <top style="medium">
        <color indexed="64"/>
      </top>
      <bottom style="thin">
        <color indexed="64"/>
      </bottom>
      <diagonal/>
    </border>
    <border>
      <left style="thin">
        <color theme="2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30" fillId="0" borderId="0" applyNumberFormat="0" applyFill="0" applyBorder="0" applyAlignment="0" applyProtection="0"/>
  </cellStyleXfs>
  <cellXfs count="3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Border="1"/>
    <xf numFmtId="0" fontId="5" fillId="0" borderId="0" xfId="0" applyFont="1"/>
    <xf numFmtId="0" fontId="7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2" fontId="11" fillId="10" borderId="6" xfId="1" applyNumberFormat="1" applyFont="1" applyFill="1" applyBorder="1" applyAlignment="1">
      <alignment horizontal="center" vertical="center" wrapText="1"/>
    </xf>
    <xf numFmtId="0" fontId="11" fillId="10" borderId="5" xfId="1" applyFont="1" applyFill="1" applyBorder="1" applyAlignment="1">
      <alignment horizontal="center" vertical="center" wrapText="1"/>
    </xf>
    <xf numFmtId="0" fontId="11" fillId="10" borderId="7" xfId="1" applyFont="1" applyFill="1" applyBorder="1" applyAlignment="1">
      <alignment horizontal="center" vertical="center" wrapText="1"/>
    </xf>
    <xf numFmtId="2" fontId="11" fillId="9" borderId="6" xfId="1" applyNumberFormat="1" applyFont="1" applyFill="1" applyBorder="1" applyAlignment="1">
      <alignment horizontal="center" vertical="center" wrapText="1"/>
    </xf>
    <xf numFmtId="0" fontId="11" fillId="9" borderId="5" xfId="1" applyFont="1" applyFill="1" applyBorder="1" applyAlignment="1">
      <alignment horizontal="center" vertical="center" wrapText="1"/>
    </xf>
    <xf numFmtId="0" fontId="11" fillId="9" borderId="7" xfId="1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wrapText="1"/>
    </xf>
    <xf numFmtId="0" fontId="6" fillId="0" borderId="0" xfId="0" applyFont="1" applyAlignment="1">
      <alignment vertical="center"/>
    </xf>
    <xf numFmtId="0" fontId="11" fillId="7" borderId="6" xfId="1" applyFont="1" applyFill="1" applyBorder="1" applyAlignment="1">
      <alignment horizontal="center" vertical="center" wrapText="1"/>
    </xf>
    <xf numFmtId="0" fontId="11" fillId="7" borderId="5" xfId="1" applyFont="1" applyFill="1" applyBorder="1" applyAlignment="1">
      <alignment horizontal="center" vertical="center" wrapText="1"/>
    </xf>
    <xf numFmtId="0" fontId="11" fillId="7" borderId="7" xfId="1" applyFont="1" applyFill="1" applyBorder="1" applyAlignment="1">
      <alignment horizontal="center" vertical="center" wrapText="1"/>
    </xf>
    <xf numFmtId="164" fontId="11" fillId="7" borderId="8" xfId="0" applyNumberFormat="1" applyFont="1" applyFill="1" applyBorder="1" applyAlignment="1">
      <alignment horizontal="center" vertical="center" wrapText="1"/>
    </xf>
    <xf numFmtId="164" fontId="11" fillId="7" borderId="5" xfId="1" applyNumberFormat="1" applyFont="1" applyFill="1" applyBorder="1" applyAlignment="1">
      <alignment horizontal="center" vertical="center" wrapText="1"/>
    </xf>
    <xf numFmtId="0" fontId="11" fillId="6" borderId="6" xfId="1" applyFont="1" applyFill="1" applyBorder="1" applyAlignment="1">
      <alignment horizontal="center" vertical="center" wrapText="1"/>
    </xf>
    <xf numFmtId="0" fontId="11" fillId="6" borderId="5" xfId="1" applyFont="1" applyFill="1" applyBorder="1" applyAlignment="1">
      <alignment horizontal="center" vertical="center" wrapText="1"/>
    </xf>
    <xf numFmtId="0" fontId="11" fillId="6" borderId="7" xfId="1" applyFont="1" applyFill="1" applyBorder="1" applyAlignment="1">
      <alignment horizontal="center" vertical="center" wrapText="1"/>
    </xf>
    <xf numFmtId="164" fontId="11" fillId="6" borderId="8" xfId="0" applyNumberFormat="1" applyFont="1" applyFill="1" applyBorder="1" applyAlignment="1">
      <alignment horizontal="center" vertical="center" wrapText="1"/>
    </xf>
    <xf numFmtId="164" fontId="11" fillId="6" borderId="5" xfId="1" applyNumberFormat="1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vertical="center" wrapText="1"/>
    </xf>
    <xf numFmtId="0" fontId="11" fillId="11" borderId="9" xfId="0" applyFont="1" applyFill="1" applyBorder="1" applyAlignment="1">
      <alignment vertical="center" wrapText="1"/>
    </xf>
    <xf numFmtId="0" fontId="11" fillId="11" borderId="6" xfId="1" applyFont="1" applyFill="1" applyBorder="1" applyAlignment="1">
      <alignment horizontal="center" vertical="center" wrapText="1"/>
    </xf>
    <xf numFmtId="0" fontId="11" fillId="11" borderId="5" xfId="1" applyFont="1" applyFill="1" applyBorder="1" applyAlignment="1">
      <alignment horizontal="center" vertical="center" wrapText="1"/>
    </xf>
    <xf numFmtId="0" fontId="11" fillId="11" borderId="7" xfId="1" applyFont="1" applyFill="1" applyBorder="1" applyAlignment="1">
      <alignment horizontal="center" vertical="center" wrapText="1"/>
    </xf>
    <xf numFmtId="2" fontId="11" fillId="11" borderId="8" xfId="0" applyNumberFormat="1" applyFont="1" applyFill="1" applyBorder="1" applyAlignment="1">
      <alignment horizontal="center" vertical="center" wrapText="1"/>
    </xf>
    <xf numFmtId="0" fontId="11" fillId="14" borderId="9" xfId="3" applyFont="1" applyFill="1" applyBorder="1" applyAlignment="1">
      <alignment horizontal="center" vertical="center"/>
    </xf>
    <xf numFmtId="0" fontId="11" fillId="12" borderId="16" xfId="0" applyFont="1" applyFill="1" applyBorder="1" applyAlignment="1">
      <alignment vertical="center" wrapText="1"/>
    </xf>
    <xf numFmtId="0" fontId="11" fillId="12" borderId="9" xfId="0" applyFont="1" applyFill="1" applyBorder="1" applyAlignment="1">
      <alignment vertical="center" wrapText="1"/>
    </xf>
    <xf numFmtId="0" fontId="11" fillId="12" borderId="6" xfId="1" applyFont="1" applyFill="1" applyBorder="1" applyAlignment="1">
      <alignment horizontal="center" vertical="center" wrapText="1"/>
    </xf>
    <xf numFmtId="0" fontId="11" fillId="12" borderId="5" xfId="1" applyFont="1" applyFill="1" applyBorder="1" applyAlignment="1">
      <alignment horizontal="center" vertical="center" wrapText="1"/>
    </xf>
    <xf numFmtId="0" fontId="11" fillId="12" borderId="7" xfId="1" applyFont="1" applyFill="1" applyBorder="1" applyAlignment="1">
      <alignment horizontal="center" vertical="center" wrapText="1"/>
    </xf>
    <xf numFmtId="2" fontId="11" fillId="12" borderId="8" xfId="0" applyNumberFormat="1" applyFont="1" applyFill="1" applyBorder="1" applyAlignment="1">
      <alignment horizontal="center" vertical="center" wrapText="1"/>
    </xf>
    <xf numFmtId="0" fontId="11" fillId="11" borderId="9" xfId="3" applyFont="1" applyFill="1" applyBorder="1" applyAlignment="1">
      <alignment horizontal="center" vertical="center"/>
    </xf>
    <xf numFmtId="0" fontId="11" fillId="12" borderId="9" xfId="0" applyFont="1" applyFill="1" applyBorder="1" applyAlignment="1">
      <alignment vertical="center"/>
    </xf>
    <xf numFmtId="0" fontId="11" fillId="11" borderId="9" xfId="0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9" fillId="9" borderId="18" xfId="0" applyFont="1" applyFill="1" applyBorder="1" applyAlignment="1">
      <alignment vertical="center"/>
    </xf>
    <xf numFmtId="0" fontId="9" fillId="10" borderId="18" xfId="0" applyFont="1" applyFill="1" applyBorder="1" applyAlignment="1">
      <alignment vertical="center"/>
    </xf>
    <xf numFmtId="0" fontId="11" fillId="9" borderId="9" xfId="0" applyFont="1" applyFill="1" applyBorder="1" applyAlignment="1">
      <alignment vertical="center" wrapText="1"/>
    </xf>
    <xf numFmtId="0" fontId="11" fillId="10" borderId="9" xfId="0" applyFont="1" applyFill="1" applyBorder="1" applyAlignment="1">
      <alignment vertical="center" wrapText="1"/>
    </xf>
    <xf numFmtId="0" fontId="11" fillId="7" borderId="9" xfId="0" applyFont="1" applyFill="1" applyBorder="1" applyAlignment="1">
      <alignment vertical="center" wrapText="1"/>
    </xf>
    <xf numFmtId="0" fontId="11" fillId="6" borderId="9" xfId="0" applyFont="1" applyFill="1" applyBorder="1" applyAlignment="1">
      <alignment vertical="center" wrapText="1"/>
    </xf>
    <xf numFmtId="0" fontId="11" fillId="7" borderId="18" xfId="0" applyFont="1" applyFill="1" applyBorder="1" applyAlignment="1">
      <alignment vertical="center" wrapText="1"/>
    </xf>
    <xf numFmtId="0" fontId="11" fillId="6" borderId="18" xfId="0" applyFont="1" applyFill="1" applyBorder="1" applyAlignment="1">
      <alignment vertical="center" wrapText="1"/>
    </xf>
    <xf numFmtId="0" fontId="11" fillId="11" borderId="19" xfId="0" applyFont="1" applyFill="1" applyBorder="1" applyAlignment="1">
      <alignment vertical="center" wrapText="1"/>
    </xf>
    <xf numFmtId="0" fontId="11" fillId="12" borderId="19" xfId="0" applyFont="1" applyFill="1" applyBorder="1" applyAlignment="1">
      <alignment vertical="center" wrapText="1"/>
    </xf>
    <xf numFmtId="0" fontId="11" fillId="12" borderId="19" xfId="0" applyFont="1" applyFill="1" applyBorder="1" applyAlignment="1">
      <alignment vertical="center"/>
    </xf>
    <xf numFmtId="0" fontId="11" fillId="11" borderId="19" xfId="0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15" fillId="11" borderId="16" xfId="0" applyFont="1" applyFill="1" applyBorder="1" applyAlignment="1">
      <alignment vertical="center" wrapText="1"/>
    </xf>
    <xf numFmtId="0" fontId="15" fillId="9" borderId="16" xfId="0" applyFont="1" applyFill="1" applyBorder="1" applyAlignment="1">
      <alignment vertical="center" wrapText="1"/>
    </xf>
    <xf numFmtId="0" fontId="11" fillId="10" borderId="16" xfId="0" applyFont="1" applyFill="1" applyBorder="1" applyAlignment="1">
      <alignment vertical="center" wrapText="1"/>
    </xf>
    <xf numFmtId="0" fontId="11" fillId="9" borderId="16" xfId="0" applyFont="1" applyFill="1" applyBorder="1" applyAlignment="1">
      <alignment vertical="center" wrapText="1"/>
    </xf>
    <xf numFmtId="2" fontId="11" fillId="6" borderId="5" xfId="1" applyNumberFormat="1" applyFont="1" applyFill="1" applyBorder="1" applyAlignment="1">
      <alignment horizontal="center" vertical="center" wrapText="1"/>
    </xf>
    <xf numFmtId="0" fontId="15" fillId="10" borderId="16" xfId="0" applyFont="1" applyFill="1" applyBorder="1" applyAlignment="1">
      <alignment vertical="center" wrapText="1"/>
    </xf>
    <xf numFmtId="0" fontId="11" fillId="11" borderId="16" xfId="0" applyFont="1" applyFill="1" applyBorder="1" applyAlignment="1">
      <alignment vertical="center"/>
    </xf>
    <xf numFmtId="0" fontId="9" fillId="10" borderId="18" xfId="0" applyFont="1" applyFill="1" applyBorder="1" applyAlignment="1">
      <alignment vertical="center" wrapText="1"/>
    </xf>
    <xf numFmtId="0" fontId="11" fillId="11" borderId="22" xfId="3" applyFont="1" applyFill="1" applyBorder="1" applyAlignment="1">
      <alignment horizontal="center" vertical="center"/>
    </xf>
    <xf numFmtId="0" fontId="11" fillId="12" borderId="28" xfId="0" applyFont="1" applyFill="1" applyBorder="1" applyAlignment="1">
      <alignment vertical="center" wrapText="1"/>
    </xf>
    <xf numFmtId="0" fontId="11" fillId="12" borderId="22" xfId="0" applyFont="1" applyFill="1" applyBorder="1" applyAlignment="1">
      <alignment vertical="center" wrapText="1"/>
    </xf>
    <xf numFmtId="0" fontId="11" fillId="12" borderId="23" xfId="1" applyFont="1" applyFill="1" applyBorder="1" applyAlignment="1">
      <alignment horizontal="center" vertical="center" wrapText="1"/>
    </xf>
    <xf numFmtId="0" fontId="11" fillId="12" borderId="24" xfId="1" applyFont="1" applyFill="1" applyBorder="1" applyAlignment="1">
      <alignment horizontal="center" vertical="center" wrapText="1"/>
    </xf>
    <xf numFmtId="0" fontId="11" fillId="12" borderId="25" xfId="1" applyFont="1" applyFill="1" applyBorder="1" applyAlignment="1">
      <alignment horizontal="center" vertical="center" wrapText="1"/>
    </xf>
    <xf numFmtId="0" fontId="11" fillId="9" borderId="27" xfId="0" applyFont="1" applyFill="1" applyBorder="1" applyAlignment="1">
      <alignment vertical="center" wrapText="1"/>
    </xf>
    <xf numFmtId="0" fontId="9" fillId="9" borderId="21" xfId="0" applyFont="1" applyFill="1" applyBorder="1" applyAlignment="1">
      <alignment vertical="center"/>
    </xf>
    <xf numFmtId="0" fontId="11" fillId="9" borderId="22" xfId="0" applyFont="1" applyFill="1" applyBorder="1" applyAlignment="1">
      <alignment vertical="center" wrapText="1"/>
    </xf>
    <xf numFmtId="2" fontId="11" fillId="9" borderId="23" xfId="1" applyNumberFormat="1" applyFont="1" applyFill="1" applyBorder="1" applyAlignment="1">
      <alignment horizontal="center" vertical="center" wrapText="1"/>
    </xf>
    <xf numFmtId="0" fontId="11" fillId="9" borderId="24" xfId="1" applyFont="1" applyFill="1" applyBorder="1" applyAlignment="1">
      <alignment horizontal="center" vertical="center" wrapText="1"/>
    </xf>
    <xf numFmtId="0" fontId="11" fillId="9" borderId="25" xfId="1" applyFont="1" applyFill="1" applyBorder="1" applyAlignment="1">
      <alignment horizontal="center" vertical="center" wrapText="1"/>
    </xf>
    <xf numFmtId="2" fontId="11" fillId="7" borderId="5" xfId="1" applyNumberFormat="1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vertical="center"/>
    </xf>
    <xf numFmtId="0" fontId="15" fillId="12" borderId="16" xfId="0" applyFont="1" applyFill="1" applyBorder="1" applyAlignment="1">
      <alignment vertical="center" wrapText="1"/>
    </xf>
    <xf numFmtId="0" fontId="11" fillId="11" borderId="27" xfId="0" applyFont="1" applyFill="1" applyBorder="1" applyAlignment="1">
      <alignment vertical="center" wrapText="1"/>
    </xf>
    <xf numFmtId="0" fontId="11" fillId="11" borderId="28" xfId="0" applyFont="1" applyFill="1" applyBorder="1" applyAlignment="1">
      <alignment vertical="center" wrapText="1"/>
    </xf>
    <xf numFmtId="0" fontId="11" fillId="11" borderId="22" xfId="0" applyFont="1" applyFill="1" applyBorder="1" applyAlignment="1">
      <alignment vertical="center" wrapText="1"/>
    </xf>
    <xf numFmtId="0" fontId="11" fillId="11" borderId="23" xfId="1" applyFont="1" applyFill="1" applyBorder="1" applyAlignment="1">
      <alignment horizontal="center" vertical="center" wrapText="1"/>
    </xf>
    <xf numFmtId="0" fontId="11" fillId="11" borderId="24" xfId="1" applyFont="1" applyFill="1" applyBorder="1" applyAlignment="1">
      <alignment horizontal="center" vertical="center" wrapText="1"/>
    </xf>
    <xf numFmtId="0" fontId="11" fillId="11" borderId="25" xfId="1" applyFont="1" applyFill="1" applyBorder="1" applyAlignment="1">
      <alignment horizontal="center" vertical="center" wrapText="1"/>
    </xf>
    <xf numFmtId="2" fontId="11" fillId="11" borderId="26" xfId="0" applyNumberFormat="1" applyFont="1" applyFill="1" applyBorder="1" applyAlignment="1">
      <alignment horizontal="center" vertical="center" wrapText="1"/>
    </xf>
    <xf numFmtId="0" fontId="11" fillId="14" borderId="22" xfId="3" applyFont="1" applyFill="1" applyBorder="1" applyAlignment="1">
      <alignment horizontal="center" vertical="center"/>
    </xf>
    <xf numFmtId="0" fontId="11" fillId="10" borderId="27" xfId="0" applyFont="1" applyFill="1" applyBorder="1" applyAlignment="1">
      <alignment vertical="center" wrapText="1"/>
    </xf>
    <xf numFmtId="0" fontId="9" fillId="10" borderId="21" xfId="0" applyFont="1" applyFill="1" applyBorder="1" applyAlignment="1">
      <alignment vertical="center"/>
    </xf>
    <xf numFmtId="0" fontId="11" fillId="10" borderId="22" xfId="0" applyFont="1" applyFill="1" applyBorder="1" applyAlignment="1">
      <alignment vertical="center" wrapText="1"/>
    </xf>
    <xf numFmtId="2" fontId="11" fillId="10" borderId="23" xfId="1" applyNumberFormat="1" applyFont="1" applyFill="1" applyBorder="1" applyAlignment="1">
      <alignment horizontal="center" vertical="center" wrapText="1"/>
    </xf>
    <xf numFmtId="0" fontId="11" fillId="10" borderId="24" xfId="1" applyFont="1" applyFill="1" applyBorder="1" applyAlignment="1">
      <alignment horizontal="center" vertical="center" wrapText="1"/>
    </xf>
    <xf numFmtId="0" fontId="11" fillId="10" borderId="25" xfId="1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vertical="center" wrapText="1"/>
    </xf>
    <xf numFmtId="0" fontId="11" fillId="7" borderId="22" xfId="0" applyFont="1" applyFill="1" applyBorder="1" applyAlignment="1">
      <alignment vertical="center" wrapText="1"/>
    </xf>
    <xf numFmtId="0" fontId="11" fillId="7" borderId="23" xfId="1" applyFont="1" applyFill="1" applyBorder="1" applyAlignment="1">
      <alignment horizontal="center" vertical="center" wrapText="1"/>
    </xf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164" fontId="11" fillId="7" borderId="26" xfId="0" applyNumberFormat="1" applyFont="1" applyFill="1" applyBorder="1" applyAlignment="1">
      <alignment horizontal="center" vertical="center" wrapText="1"/>
    </xf>
    <xf numFmtId="164" fontId="11" fillId="7" borderId="24" xfId="1" applyNumberFormat="1" applyFont="1" applyFill="1" applyBorder="1" applyAlignment="1">
      <alignment horizontal="center" vertical="center" wrapText="1"/>
    </xf>
    <xf numFmtId="0" fontId="11" fillId="11" borderId="37" xfId="3" applyFont="1" applyFill="1" applyBorder="1" applyAlignment="1">
      <alignment horizontal="center" vertical="center"/>
    </xf>
    <xf numFmtId="0" fontId="15" fillId="12" borderId="27" xfId="0" applyFont="1" applyFill="1" applyBorder="1" applyAlignment="1">
      <alignment vertical="center" wrapText="1"/>
    </xf>
    <xf numFmtId="0" fontId="11" fillId="12" borderId="36" xfId="0" applyFont="1" applyFill="1" applyBorder="1" applyAlignment="1">
      <alignment vertical="center" wrapText="1"/>
    </xf>
    <xf numFmtId="0" fontId="11" fillId="12" borderId="37" xfId="0" applyFont="1" applyFill="1" applyBorder="1" applyAlignment="1">
      <alignment vertical="center" wrapText="1"/>
    </xf>
    <xf numFmtId="0" fontId="11" fillId="12" borderId="38" xfId="1" applyFont="1" applyFill="1" applyBorder="1" applyAlignment="1">
      <alignment horizontal="center" vertical="center" wrapText="1"/>
    </xf>
    <xf numFmtId="0" fontId="11" fillId="12" borderId="39" xfId="1" applyFont="1" applyFill="1" applyBorder="1" applyAlignment="1">
      <alignment horizontal="center" vertical="center" wrapText="1"/>
    </xf>
    <xf numFmtId="0" fontId="11" fillId="12" borderId="40" xfId="1" applyFont="1" applyFill="1" applyBorder="1" applyAlignment="1">
      <alignment horizontal="center" vertical="center" wrapText="1"/>
    </xf>
    <xf numFmtId="2" fontId="11" fillId="12" borderId="41" xfId="0" applyNumberFormat="1" applyFont="1" applyFill="1" applyBorder="1" applyAlignment="1">
      <alignment horizontal="center" vertical="center" wrapText="1"/>
    </xf>
    <xf numFmtId="0" fontId="15" fillId="12" borderId="35" xfId="0" applyFont="1" applyFill="1" applyBorder="1" applyAlignment="1">
      <alignment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1" fillId="10" borderId="23" xfId="0" applyFont="1" applyFill="1" applyBorder="1" applyAlignment="1">
      <alignment horizontal="center" vertical="center" wrapText="1"/>
    </xf>
    <xf numFmtId="0" fontId="11" fillId="10" borderId="24" xfId="0" applyFont="1" applyFill="1" applyBorder="1" applyAlignment="1">
      <alignment horizontal="center" vertical="center" wrapText="1"/>
    </xf>
    <xf numFmtId="0" fontId="11" fillId="10" borderId="25" xfId="0" applyFont="1" applyFill="1" applyBorder="1" applyAlignment="1">
      <alignment horizontal="center" vertical="center" wrapText="1"/>
    </xf>
    <xf numFmtId="0" fontId="11" fillId="9" borderId="23" xfId="0" applyFont="1" applyFill="1" applyBorder="1" applyAlignment="1">
      <alignment horizontal="center" vertical="center" wrapText="1"/>
    </xf>
    <xf numFmtId="0" fontId="11" fillId="9" borderId="24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0" fontId="11" fillId="14" borderId="6" xfId="1" applyFont="1" applyFill="1" applyBorder="1" applyAlignment="1" applyProtection="1">
      <alignment horizontal="center" vertical="center"/>
      <protection locked="0"/>
    </xf>
    <xf numFmtId="0" fontId="11" fillId="11" borderId="6" xfId="1" applyFont="1" applyFill="1" applyBorder="1" applyAlignment="1" applyProtection="1">
      <alignment horizontal="center" vertical="center"/>
      <protection locked="0"/>
    </xf>
    <xf numFmtId="0" fontId="11" fillId="14" borderId="23" xfId="1" applyFont="1" applyFill="1" applyBorder="1" applyAlignment="1" applyProtection="1">
      <alignment horizontal="center" vertical="center"/>
      <protection locked="0"/>
    </xf>
    <xf numFmtId="0" fontId="11" fillId="11" borderId="23" xfId="1" applyFont="1" applyFill="1" applyBorder="1" applyAlignment="1" applyProtection="1">
      <alignment horizontal="center" vertical="center"/>
      <protection locked="0"/>
    </xf>
    <xf numFmtId="0" fontId="11" fillId="11" borderId="38" xfId="1" applyFont="1" applyFill="1" applyBorder="1" applyAlignment="1" applyProtection="1">
      <alignment horizontal="center" vertical="center"/>
      <protection locked="0"/>
    </xf>
    <xf numFmtId="0" fontId="15" fillId="9" borderId="27" xfId="0" applyFont="1" applyFill="1" applyBorder="1" applyAlignment="1">
      <alignment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17" borderId="19" xfId="0" applyFont="1" applyFill="1" applyBorder="1" applyAlignment="1">
      <alignment horizontal="center" vertical="center" wrapText="1"/>
    </xf>
    <xf numFmtId="0" fontId="21" fillId="19" borderId="46" xfId="2" applyFont="1" applyFill="1" applyBorder="1" applyAlignment="1">
      <alignment wrapText="1"/>
    </xf>
    <xf numFmtId="0" fontId="21" fillId="19" borderId="0" xfId="2" applyFont="1" applyFill="1" applyBorder="1" applyAlignment="1">
      <alignment wrapText="1"/>
    </xf>
    <xf numFmtId="0" fontId="21" fillId="19" borderId="47" xfId="2" applyFont="1" applyFill="1" applyBorder="1" applyAlignment="1">
      <alignment wrapText="1"/>
    </xf>
    <xf numFmtId="0" fontId="11" fillId="15" borderId="7" xfId="3" applyFont="1" applyFill="1" applyBorder="1" applyAlignment="1">
      <alignment horizontal="center" vertical="center" wrapText="1"/>
    </xf>
    <xf numFmtId="0" fontId="11" fillId="15" borderId="5" xfId="1" applyFont="1" applyFill="1" applyBorder="1" applyAlignment="1" applyProtection="1">
      <alignment horizontal="center" vertical="center"/>
      <protection locked="0"/>
    </xf>
    <xf numFmtId="0" fontId="11" fillId="9" borderId="5" xfId="1" applyFont="1" applyFill="1" applyBorder="1" applyAlignment="1" applyProtection="1">
      <alignment horizontal="center" vertical="center"/>
      <protection locked="0"/>
    </xf>
    <xf numFmtId="0" fontId="11" fillId="15" borderId="24" xfId="1" applyFont="1" applyFill="1" applyBorder="1" applyAlignment="1" applyProtection="1">
      <alignment horizontal="center" vertical="center"/>
      <protection locked="0"/>
    </xf>
    <xf numFmtId="0" fontId="11" fillId="9" borderId="24" xfId="1" applyFont="1" applyFill="1" applyBorder="1" applyAlignment="1" applyProtection="1">
      <alignment horizontal="center" vertical="center"/>
      <protection locked="0"/>
    </xf>
    <xf numFmtId="0" fontId="11" fillId="9" borderId="28" xfId="0" applyFont="1" applyFill="1" applyBorder="1" applyAlignment="1" applyProtection="1">
      <alignment horizontal="center" vertical="center" wrapText="1"/>
      <protection locked="0"/>
    </xf>
    <xf numFmtId="0" fontId="11" fillId="9" borderId="19" xfId="0" applyFont="1" applyFill="1" applyBorder="1" applyAlignment="1" applyProtection="1">
      <alignment horizontal="center" vertical="center" wrapText="1"/>
      <protection locked="0"/>
    </xf>
    <xf numFmtId="0" fontId="11" fillId="15" borderId="19" xfId="0" applyFont="1" applyFill="1" applyBorder="1" applyAlignment="1" applyProtection="1">
      <alignment horizontal="center" vertical="center" wrapText="1"/>
      <protection locked="0"/>
    </xf>
    <xf numFmtId="0" fontId="11" fillId="20" borderId="19" xfId="0" applyFont="1" applyFill="1" applyBorder="1" applyAlignment="1">
      <alignment horizontal="center" vertical="center" wrapText="1"/>
    </xf>
    <xf numFmtId="0" fontId="11" fillId="15" borderId="28" xfId="0" applyFont="1" applyFill="1" applyBorder="1" applyAlignment="1" applyProtection="1">
      <alignment horizontal="center" vertical="center" wrapText="1"/>
      <protection locked="0"/>
    </xf>
    <xf numFmtId="0" fontId="11" fillId="20" borderId="28" xfId="0" applyFont="1" applyFill="1" applyBorder="1" applyAlignment="1">
      <alignment horizontal="center" vertical="center" wrapText="1"/>
    </xf>
    <xf numFmtId="0" fontId="11" fillId="9" borderId="7" xfId="3" applyFont="1" applyFill="1" applyBorder="1" applyAlignment="1">
      <alignment horizontal="center" vertical="center" wrapText="1"/>
    </xf>
    <xf numFmtId="2" fontId="11" fillId="12" borderId="26" xfId="0" applyNumberFormat="1" applyFont="1" applyFill="1" applyBorder="1" applyAlignment="1">
      <alignment horizontal="center" vertical="center" wrapText="1"/>
    </xf>
    <xf numFmtId="0" fontId="11" fillId="9" borderId="6" xfId="1" applyFont="1" applyFill="1" applyBorder="1" applyAlignment="1">
      <alignment horizontal="center" vertical="center" wrapText="1"/>
    </xf>
    <xf numFmtId="0" fontId="11" fillId="10" borderId="6" xfId="1" applyFont="1" applyFill="1" applyBorder="1" applyAlignment="1">
      <alignment horizontal="center" vertical="center" wrapText="1"/>
    </xf>
    <xf numFmtId="0" fontId="11" fillId="9" borderId="23" xfId="1" applyFont="1" applyFill="1" applyBorder="1" applyAlignment="1">
      <alignment horizontal="center" vertical="center" wrapText="1"/>
    </xf>
    <xf numFmtId="0" fontId="11" fillId="15" borderId="25" xfId="3" applyFont="1" applyFill="1" applyBorder="1" applyAlignment="1">
      <alignment horizontal="center" vertical="center" wrapText="1"/>
    </xf>
    <xf numFmtId="0" fontId="11" fillId="10" borderId="23" xfId="1" applyFont="1" applyFill="1" applyBorder="1" applyAlignment="1">
      <alignment horizontal="center" vertical="center" wrapText="1"/>
    </xf>
    <xf numFmtId="0" fontId="11" fillId="9" borderId="25" xfId="3" applyFont="1" applyFill="1" applyBorder="1" applyAlignment="1">
      <alignment horizontal="center" vertical="center" wrapText="1"/>
    </xf>
    <xf numFmtId="2" fontId="11" fillId="10" borderId="13" xfId="1" applyNumberFormat="1" applyFont="1" applyFill="1" applyBorder="1" applyAlignment="1">
      <alignment horizontal="center" vertical="center" wrapText="1"/>
    </xf>
    <xf numFmtId="0" fontId="11" fillId="10" borderId="12" xfId="1" applyFont="1" applyFill="1" applyBorder="1" applyAlignment="1">
      <alignment horizontal="center" vertical="center" wrapText="1"/>
    </xf>
    <xf numFmtId="0" fontId="11" fillId="10" borderId="14" xfId="1" applyFont="1" applyFill="1" applyBorder="1" applyAlignment="1">
      <alignment horizontal="center" vertical="center" wrapText="1"/>
    </xf>
    <xf numFmtId="0" fontId="11" fillId="9" borderId="14" xfId="3" applyFont="1" applyFill="1" applyBorder="1" applyAlignment="1">
      <alignment horizontal="center" vertical="center" wrapText="1"/>
    </xf>
    <xf numFmtId="0" fontId="27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11" fillId="11" borderId="10" xfId="1" applyFont="1" applyFill="1" applyBorder="1" applyAlignment="1">
      <alignment horizontal="center" vertical="center" wrapText="1"/>
    </xf>
    <xf numFmtId="0" fontId="29" fillId="21" borderId="6" xfId="0" applyFont="1" applyFill="1" applyBorder="1" applyAlignment="1" applyProtection="1">
      <alignment horizontal="center" vertical="center" wrapText="1"/>
      <protection locked="0"/>
    </xf>
    <xf numFmtId="0" fontId="28" fillId="22" borderId="16" xfId="0" applyFont="1" applyFill="1" applyBorder="1" applyAlignment="1">
      <alignment vertical="center" wrapText="1"/>
    </xf>
    <xf numFmtId="0" fontId="26" fillId="22" borderId="18" xfId="0" applyFont="1" applyFill="1" applyBorder="1" applyAlignment="1">
      <alignment vertical="center"/>
    </xf>
    <xf numFmtId="0" fontId="29" fillId="22" borderId="9" xfId="0" applyFont="1" applyFill="1" applyBorder="1" applyAlignment="1">
      <alignment vertical="center" wrapText="1"/>
    </xf>
    <xf numFmtId="0" fontId="29" fillId="22" borderId="6" xfId="1" applyFont="1" applyFill="1" applyBorder="1" applyAlignment="1">
      <alignment horizontal="center" vertical="center" wrapText="1"/>
    </xf>
    <xf numFmtId="0" fontId="29" fillId="22" borderId="5" xfId="1" applyFont="1" applyFill="1" applyBorder="1" applyAlignment="1">
      <alignment horizontal="center" vertical="center" wrapText="1"/>
    </xf>
    <xf numFmtId="0" fontId="29" fillId="22" borderId="10" xfId="1" applyFont="1" applyFill="1" applyBorder="1" applyAlignment="1">
      <alignment horizontal="center" vertical="center" wrapText="1"/>
    </xf>
    <xf numFmtId="0" fontId="11" fillId="12" borderId="10" xfId="1" applyFont="1" applyFill="1" applyBorder="1" applyAlignment="1">
      <alignment horizontal="center" vertical="center" wrapText="1"/>
    </xf>
    <xf numFmtId="0" fontId="15" fillId="12" borderId="19" xfId="0" applyFont="1" applyFill="1" applyBorder="1" applyAlignment="1">
      <alignment vertical="center" wrapText="1"/>
    </xf>
    <xf numFmtId="0" fontId="22" fillId="12" borderId="18" xfId="0" applyFont="1" applyFill="1" applyBorder="1" applyAlignment="1">
      <alignment vertical="center" wrapText="1"/>
    </xf>
    <xf numFmtId="164" fontId="11" fillId="12" borderId="8" xfId="0" applyNumberFormat="1" applyFont="1" applyFill="1" applyBorder="1" applyAlignment="1">
      <alignment horizontal="center" vertical="center" wrapText="1"/>
    </xf>
    <xf numFmtId="164" fontId="11" fillId="12" borderId="5" xfId="1" applyNumberFormat="1" applyFont="1" applyFill="1" applyBorder="1" applyAlignment="1">
      <alignment horizontal="center" vertical="center" wrapText="1"/>
    </xf>
    <xf numFmtId="164" fontId="11" fillId="12" borderId="10" xfId="1" applyNumberFormat="1" applyFont="1" applyFill="1" applyBorder="1" applyAlignment="1">
      <alignment horizontal="center" vertical="center" wrapText="1"/>
    </xf>
    <xf numFmtId="0" fontId="15" fillId="11" borderId="48" xfId="0" applyFont="1" applyFill="1" applyBorder="1" applyAlignment="1">
      <alignment vertical="center" wrapText="1"/>
    </xf>
    <xf numFmtId="0" fontId="11" fillId="11" borderId="4" xfId="0" applyFont="1" applyFill="1" applyBorder="1" applyAlignment="1">
      <alignment vertical="center" wrapText="1"/>
    </xf>
    <xf numFmtId="0" fontId="11" fillId="11" borderId="17" xfId="0" applyFont="1" applyFill="1" applyBorder="1" applyAlignment="1">
      <alignment vertical="center" wrapText="1"/>
    </xf>
    <xf numFmtId="0" fontId="11" fillId="11" borderId="13" xfId="1" applyFont="1" applyFill="1" applyBorder="1" applyAlignment="1">
      <alignment horizontal="center" vertical="center" wrapText="1"/>
    </xf>
    <xf numFmtId="0" fontId="11" fillId="11" borderId="12" xfId="1" applyFont="1" applyFill="1" applyBorder="1" applyAlignment="1">
      <alignment horizontal="center" vertical="center" wrapText="1"/>
    </xf>
    <xf numFmtId="0" fontId="11" fillId="11" borderId="14" xfId="1" applyFont="1" applyFill="1" applyBorder="1" applyAlignment="1">
      <alignment horizontal="center" vertical="center" wrapText="1"/>
    </xf>
    <xf numFmtId="2" fontId="11" fillId="11" borderId="15" xfId="0" applyNumberFormat="1" applyFont="1" applyFill="1" applyBorder="1" applyAlignment="1">
      <alignment horizontal="center" vertical="center" wrapText="1"/>
    </xf>
    <xf numFmtId="0" fontId="11" fillId="11" borderId="11" xfId="1" applyFont="1" applyFill="1" applyBorder="1" applyAlignment="1">
      <alignment horizontal="center" vertical="center" wrapText="1"/>
    </xf>
    <xf numFmtId="0" fontId="11" fillId="14" borderId="13" xfId="1" applyFont="1" applyFill="1" applyBorder="1" applyAlignment="1" applyProtection="1">
      <alignment horizontal="center" vertical="center"/>
      <protection locked="0"/>
    </xf>
    <xf numFmtId="0" fontId="11" fillId="14" borderId="17" xfId="3" applyFont="1" applyFill="1" applyBorder="1" applyAlignment="1">
      <alignment horizontal="center" vertical="center"/>
    </xf>
    <xf numFmtId="0" fontId="13" fillId="8" borderId="53" xfId="2" applyFont="1" applyFill="1" applyBorder="1" applyAlignment="1">
      <alignment horizontal="center" vertical="center" wrapText="1"/>
    </xf>
    <xf numFmtId="0" fontId="13" fillId="8" borderId="54" xfId="3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vertical="center" wrapText="1"/>
    </xf>
    <xf numFmtId="0" fontId="11" fillId="6" borderId="17" xfId="0" applyFont="1" applyFill="1" applyBorder="1" applyAlignment="1">
      <alignment vertical="center" wrapText="1"/>
    </xf>
    <xf numFmtId="0" fontId="11" fillId="6" borderId="13" xfId="1" applyFont="1" applyFill="1" applyBorder="1" applyAlignment="1">
      <alignment horizontal="center" vertical="center" wrapText="1"/>
    </xf>
    <xf numFmtId="0" fontId="11" fillId="6" borderId="12" xfId="1" applyFont="1" applyFill="1" applyBorder="1" applyAlignment="1">
      <alignment horizontal="center" vertical="center" wrapText="1"/>
    </xf>
    <xf numFmtId="0" fontId="11" fillId="6" borderId="14" xfId="1" applyFont="1" applyFill="1" applyBorder="1" applyAlignment="1">
      <alignment horizontal="center" vertical="center" wrapText="1"/>
    </xf>
    <xf numFmtId="164" fontId="11" fillId="6" borderId="15" xfId="0" applyNumberFormat="1" applyFont="1" applyFill="1" applyBorder="1" applyAlignment="1">
      <alignment horizontal="center" vertical="center" wrapText="1"/>
    </xf>
    <xf numFmtId="164" fontId="11" fillId="6" borderId="12" xfId="1" applyNumberFormat="1" applyFont="1" applyFill="1" applyBorder="1" applyAlignment="1">
      <alignment horizontal="center" vertical="center" wrapText="1"/>
    </xf>
    <xf numFmtId="0" fontId="14" fillId="8" borderId="59" xfId="2" applyFont="1" applyFill="1" applyBorder="1" applyAlignment="1">
      <alignment horizontal="center" vertical="center" wrapText="1"/>
    </xf>
    <xf numFmtId="0" fontId="13" fillId="8" borderId="1" xfId="2" applyFont="1" applyFill="1" applyBorder="1" applyAlignment="1">
      <alignment horizontal="center" vertical="center" wrapText="1"/>
    </xf>
    <xf numFmtId="0" fontId="13" fillId="8" borderId="60" xfId="2" applyFont="1" applyFill="1" applyBorder="1" applyAlignment="1">
      <alignment horizontal="center" vertical="center" wrapText="1"/>
    </xf>
    <xf numFmtId="0" fontId="13" fillId="8" borderId="58" xfId="2" applyFont="1" applyFill="1" applyBorder="1" applyAlignment="1">
      <alignment horizontal="center" vertical="center" wrapText="1"/>
    </xf>
    <xf numFmtId="0" fontId="13" fillId="8" borderId="61" xfId="2" applyFont="1" applyFill="1" applyBorder="1" applyAlignment="1">
      <alignment horizontal="center" vertical="center" wrapText="1"/>
    </xf>
    <xf numFmtId="164" fontId="13" fillId="8" borderId="2" xfId="2" applyNumberFormat="1" applyFont="1" applyFill="1" applyBorder="1" applyAlignment="1">
      <alignment horizontal="center" vertical="center" wrapText="1"/>
    </xf>
    <xf numFmtId="164" fontId="13" fillId="8" borderId="58" xfId="2" applyNumberFormat="1" applyFont="1" applyFill="1" applyBorder="1" applyAlignment="1">
      <alignment horizontal="center" vertical="center" wrapText="1"/>
    </xf>
    <xf numFmtId="0" fontId="15" fillId="9" borderId="19" xfId="0" applyFont="1" applyFill="1" applyBorder="1" applyAlignment="1">
      <alignment vertical="center" wrapText="1"/>
    </xf>
    <xf numFmtId="0" fontId="22" fillId="9" borderId="18" xfId="0" applyFont="1" applyFill="1" applyBorder="1" applyAlignment="1">
      <alignment vertical="center" wrapText="1"/>
    </xf>
    <xf numFmtId="164" fontId="11" fillId="9" borderId="5" xfId="1" applyNumberFormat="1" applyFont="1" applyFill="1" applyBorder="1" applyAlignment="1">
      <alignment horizontal="center" vertical="center" wrapText="1"/>
    </xf>
    <xf numFmtId="0" fontId="28" fillId="23" borderId="16" xfId="0" applyFont="1" applyFill="1" applyBorder="1" applyAlignment="1">
      <alignment vertical="center" wrapText="1"/>
    </xf>
    <xf numFmtId="0" fontId="25" fillId="23" borderId="18" xfId="0" applyFont="1" applyFill="1" applyBorder="1" applyAlignment="1">
      <alignment vertical="center"/>
    </xf>
    <xf numFmtId="0" fontId="29" fillId="23" borderId="9" xfId="0" applyFont="1" applyFill="1" applyBorder="1" applyAlignment="1">
      <alignment vertical="center" wrapText="1"/>
    </xf>
    <xf numFmtId="2" fontId="29" fillId="23" borderId="6" xfId="1" applyNumberFormat="1" applyFont="1" applyFill="1" applyBorder="1" applyAlignment="1">
      <alignment horizontal="center" vertical="center" wrapText="1"/>
    </xf>
    <xf numFmtId="0" fontId="29" fillId="23" borderId="5" xfId="1" applyFont="1" applyFill="1" applyBorder="1" applyAlignment="1">
      <alignment horizontal="center" vertical="center" wrapText="1"/>
    </xf>
    <xf numFmtId="0" fontId="29" fillId="23" borderId="7" xfId="1" applyFont="1" applyFill="1" applyBorder="1" applyAlignment="1">
      <alignment horizontal="center" vertical="center" wrapText="1"/>
    </xf>
    <xf numFmtId="0" fontId="29" fillId="23" borderId="6" xfId="1" applyFont="1" applyFill="1" applyBorder="1" applyAlignment="1">
      <alignment horizontal="center" vertical="center" wrapText="1"/>
    </xf>
    <xf numFmtId="0" fontId="28" fillId="24" borderId="16" xfId="0" applyFont="1" applyFill="1" applyBorder="1" applyAlignment="1">
      <alignment vertical="center" wrapText="1"/>
    </xf>
    <xf numFmtId="0" fontId="26" fillId="24" borderId="18" xfId="0" applyFont="1" applyFill="1" applyBorder="1" applyAlignment="1">
      <alignment vertical="center"/>
    </xf>
    <xf numFmtId="0" fontId="29" fillId="24" borderId="9" xfId="0" applyFont="1" applyFill="1" applyBorder="1" applyAlignment="1">
      <alignment vertical="center" wrapText="1"/>
    </xf>
    <xf numFmtId="2" fontId="29" fillId="24" borderId="6" xfId="1" applyNumberFormat="1" applyFont="1" applyFill="1" applyBorder="1" applyAlignment="1">
      <alignment horizontal="center" vertical="center" wrapText="1"/>
    </xf>
    <xf numFmtId="0" fontId="29" fillId="24" borderId="5" xfId="1" applyFont="1" applyFill="1" applyBorder="1" applyAlignment="1">
      <alignment horizontal="center" vertical="center" wrapText="1"/>
    </xf>
    <xf numFmtId="0" fontId="29" fillId="24" borderId="7" xfId="1" applyFont="1" applyFill="1" applyBorder="1" applyAlignment="1">
      <alignment horizontal="center" vertical="center" wrapText="1"/>
    </xf>
    <xf numFmtId="0" fontId="29" fillId="24" borderId="6" xfId="1" applyFont="1" applyFill="1" applyBorder="1" applyAlignment="1">
      <alignment horizontal="center" vertical="center" wrapText="1"/>
    </xf>
    <xf numFmtId="0" fontId="11" fillId="17" borderId="62" xfId="1" applyFont="1" applyFill="1" applyBorder="1" applyAlignment="1">
      <alignment horizontal="center" vertical="center" wrapText="1"/>
    </xf>
    <xf numFmtId="0" fontId="11" fillId="9" borderId="63" xfId="1" applyFont="1" applyFill="1" applyBorder="1" applyAlignment="1" applyProtection="1">
      <alignment horizontal="center" vertical="center"/>
      <protection locked="0"/>
    </xf>
    <xf numFmtId="0" fontId="11" fillId="17" borderId="6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 applyProtection="1">
      <alignment horizontal="center" vertical="center" wrapText="1"/>
      <protection locked="0"/>
    </xf>
    <xf numFmtId="0" fontId="29" fillId="9" borderId="6" xfId="0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horizontal="center" vertical="center" wrapText="1"/>
    </xf>
    <xf numFmtId="0" fontId="15" fillId="10" borderId="48" xfId="0" applyFont="1" applyFill="1" applyBorder="1" applyAlignment="1">
      <alignment vertical="center" wrapText="1"/>
    </xf>
    <xf numFmtId="0" fontId="9" fillId="10" borderId="20" xfId="0" applyFont="1" applyFill="1" applyBorder="1" applyAlignment="1">
      <alignment vertical="center"/>
    </xf>
    <xf numFmtId="0" fontId="11" fillId="10" borderId="17" xfId="0" applyFont="1" applyFill="1" applyBorder="1" applyAlignment="1">
      <alignment vertical="center" wrapText="1"/>
    </xf>
    <xf numFmtId="0" fontId="11" fillId="15" borderId="6" xfId="0" applyFont="1" applyFill="1" applyBorder="1" applyAlignment="1" applyProtection="1">
      <alignment horizontal="center" vertical="center" wrapText="1"/>
      <protection locked="0"/>
    </xf>
    <xf numFmtId="0" fontId="11" fillId="20" borderId="6" xfId="0" applyFont="1" applyFill="1" applyBorder="1" applyAlignment="1">
      <alignment horizontal="center" vertical="center" wrapText="1"/>
    </xf>
    <xf numFmtId="0" fontId="10" fillId="8" borderId="50" xfId="2" applyFont="1" applyFill="1" applyBorder="1" applyAlignment="1">
      <alignment wrapText="1"/>
    </xf>
    <xf numFmtId="0" fontId="10" fillId="8" borderId="56" xfId="2" applyFont="1" applyFill="1" applyBorder="1" applyAlignment="1">
      <alignment wrapText="1"/>
    </xf>
    <xf numFmtId="0" fontId="10" fillId="8" borderId="51" xfId="2" applyFont="1" applyFill="1" applyBorder="1" applyAlignment="1">
      <alignment wrapText="1"/>
    </xf>
    <xf numFmtId="2" fontId="12" fillId="8" borderId="52" xfId="2" applyNumberFormat="1" applyFont="1" applyFill="1" applyBorder="1" applyAlignment="1">
      <alignment horizontal="center" vertical="center" wrapText="1"/>
    </xf>
    <xf numFmtId="0" fontId="12" fillId="8" borderId="53" xfId="2" applyFont="1" applyFill="1" applyBorder="1" applyAlignment="1">
      <alignment horizontal="center" vertical="center" wrapText="1"/>
    </xf>
    <xf numFmtId="0" fontId="12" fillId="8" borderId="54" xfId="2" applyFont="1" applyFill="1" applyBorder="1" applyAlignment="1">
      <alignment horizontal="center" vertical="center" wrapText="1"/>
    </xf>
    <xf numFmtId="0" fontId="12" fillId="8" borderId="52" xfId="2" applyFont="1" applyFill="1" applyBorder="1" applyAlignment="1">
      <alignment horizontal="center" vertical="center" wrapText="1"/>
    </xf>
    <xf numFmtId="0" fontId="12" fillId="8" borderId="57" xfId="2" applyFont="1" applyFill="1" applyBorder="1" applyAlignment="1">
      <alignment horizontal="center" vertical="center" wrapText="1"/>
    </xf>
    <xf numFmtId="0" fontId="14" fillId="8" borderId="50" xfId="2" applyFont="1" applyFill="1" applyBorder="1" applyAlignment="1">
      <alignment vertical="center" wrapText="1"/>
    </xf>
    <xf numFmtId="0" fontId="13" fillId="8" borderId="51" xfId="2" applyFont="1" applyFill="1" applyBorder="1" applyAlignment="1">
      <alignment horizontal="center" vertical="center" wrapText="1"/>
    </xf>
    <xf numFmtId="2" fontId="11" fillId="9" borderId="13" xfId="1" applyNumberFormat="1" applyFont="1" applyFill="1" applyBorder="1" applyAlignment="1">
      <alignment horizontal="center" vertical="center" wrapText="1"/>
    </xf>
    <xf numFmtId="0" fontId="11" fillId="9" borderId="12" xfId="1" applyFont="1" applyFill="1" applyBorder="1" applyAlignment="1">
      <alignment horizontal="center" vertical="center" wrapText="1"/>
    </xf>
    <xf numFmtId="0" fontId="11" fillId="9" borderId="14" xfId="1" applyFont="1" applyFill="1" applyBorder="1" applyAlignment="1">
      <alignment horizontal="center" vertical="center" wrapText="1"/>
    </xf>
    <xf numFmtId="0" fontId="11" fillId="9" borderId="13" xfId="1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vertical="center" wrapText="1"/>
    </xf>
    <xf numFmtId="0" fontId="25" fillId="24" borderId="18" xfId="0" applyFont="1" applyFill="1" applyBorder="1" applyAlignment="1">
      <alignment vertical="center"/>
    </xf>
    <xf numFmtId="0" fontId="15" fillId="10" borderId="29" xfId="0" applyFont="1" applyFill="1" applyBorder="1" applyAlignment="1">
      <alignment vertical="center" wrapText="1"/>
    </xf>
    <xf numFmtId="0" fontId="9" fillId="10" borderId="30" xfId="0" applyFont="1" applyFill="1" applyBorder="1" applyAlignment="1">
      <alignment vertical="center"/>
    </xf>
    <xf numFmtId="0" fontId="11" fillId="10" borderId="31" xfId="0" applyFont="1" applyFill="1" applyBorder="1" applyAlignment="1">
      <alignment vertical="center" wrapText="1"/>
    </xf>
    <xf numFmtId="2" fontId="11" fillId="10" borderId="32" xfId="1" applyNumberFormat="1" applyFont="1" applyFill="1" applyBorder="1" applyAlignment="1">
      <alignment horizontal="center" vertical="center" wrapText="1"/>
    </xf>
    <xf numFmtId="0" fontId="11" fillId="10" borderId="33" xfId="1" applyFont="1" applyFill="1" applyBorder="1" applyAlignment="1">
      <alignment horizontal="center" vertical="center" wrapText="1"/>
    </xf>
    <xf numFmtId="0" fontId="11" fillId="10" borderId="34" xfId="1" applyFont="1" applyFill="1" applyBorder="1" applyAlignment="1">
      <alignment horizontal="center" vertical="center" wrapText="1"/>
    </xf>
    <xf numFmtId="0" fontId="11" fillId="10" borderId="32" xfId="1" applyFont="1" applyFill="1" applyBorder="1" applyAlignment="1">
      <alignment horizontal="center" vertical="center" wrapText="1"/>
    </xf>
    <xf numFmtId="0" fontId="11" fillId="10" borderId="32" xfId="0" applyFont="1" applyFill="1" applyBorder="1" applyAlignment="1">
      <alignment horizontal="center" vertical="center" wrapText="1"/>
    </xf>
    <xf numFmtId="0" fontId="11" fillId="10" borderId="33" xfId="0" applyFont="1" applyFill="1" applyBorder="1" applyAlignment="1">
      <alignment horizontal="center" vertical="center" wrapText="1"/>
    </xf>
    <xf numFmtId="0" fontId="11" fillId="10" borderId="34" xfId="0" applyFont="1" applyFill="1" applyBorder="1" applyAlignment="1">
      <alignment horizontal="center" vertical="center" wrapText="1"/>
    </xf>
    <xf numFmtId="0" fontId="11" fillId="15" borderId="4" xfId="0" applyFont="1" applyFill="1" applyBorder="1" applyAlignment="1" applyProtection="1">
      <alignment horizontal="center" vertical="center" wrapText="1"/>
      <protection locked="0"/>
    </xf>
    <xf numFmtId="0" fontId="11" fillId="15" borderId="12" xfId="1" applyFont="1" applyFill="1" applyBorder="1" applyAlignment="1" applyProtection="1">
      <alignment horizontal="center" vertical="center"/>
      <protection locked="0"/>
    </xf>
    <xf numFmtId="0" fontId="11" fillId="15" borderId="14" xfId="3" applyFont="1" applyFill="1" applyBorder="1" applyAlignment="1">
      <alignment horizontal="center" vertical="center" wrapText="1"/>
    </xf>
    <xf numFmtId="0" fontId="11" fillId="9" borderId="3" xfId="0" applyFont="1" applyFill="1" applyBorder="1" applyAlignment="1" applyProtection="1">
      <alignment horizontal="center" vertical="center" wrapText="1"/>
      <protection locked="0"/>
    </xf>
    <xf numFmtId="0" fontId="11" fillId="9" borderId="33" xfId="1" applyFont="1" applyFill="1" applyBorder="1" applyAlignment="1" applyProtection="1">
      <alignment horizontal="center" vertical="center"/>
      <protection locked="0"/>
    </xf>
    <xf numFmtId="0" fontId="11" fillId="9" borderId="34" xfId="3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13" fillId="8" borderId="67" xfId="3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vertical="center" wrapText="1"/>
    </xf>
    <xf numFmtId="0" fontId="11" fillId="16" borderId="17" xfId="3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vertical="center" wrapText="1"/>
    </xf>
    <xf numFmtId="0" fontId="11" fillId="6" borderId="9" xfId="3" applyFont="1" applyFill="1" applyBorder="1" applyAlignment="1">
      <alignment horizontal="center" vertical="center" wrapText="1"/>
    </xf>
    <xf numFmtId="0" fontId="11" fillId="16" borderId="9" xfId="3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vertical="center" wrapText="1"/>
    </xf>
    <xf numFmtId="0" fontId="11" fillId="6" borderId="22" xfId="3" applyFont="1" applyFill="1" applyBorder="1" applyAlignment="1">
      <alignment horizontal="center" vertical="center" wrapText="1"/>
    </xf>
    <xf numFmtId="0" fontId="15" fillId="6" borderId="68" xfId="0" applyFont="1" applyFill="1" applyBorder="1" applyAlignment="1">
      <alignment vertical="center" wrapText="1"/>
    </xf>
    <xf numFmtId="0" fontId="11" fillId="6" borderId="68" xfId="0" applyFont="1" applyFill="1" applyBorder="1" applyAlignment="1">
      <alignment vertical="center" wrapText="1"/>
    </xf>
    <xf numFmtId="0" fontId="11" fillId="6" borderId="37" xfId="0" applyFont="1" applyFill="1" applyBorder="1" applyAlignment="1">
      <alignment vertical="center" wrapText="1"/>
    </xf>
    <xf numFmtId="0" fontId="11" fillId="6" borderId="38" xfId="1" applyFont="1" applyFill="1" applyBorder="1" applyAlignment="1">
      <alignment horizontal="center" vertical="center" wrapText="1"/>
    </xf>
    <xf numFmtId="0" fontId="11" fillId="6" borderId="39" xfId="1" applyFont="1" applyFill="1" applyBorder="1" applyAlignment="1">
      <alignment horizontal="center" vertical="center" wrapText="1"/>
    </xf>
    <xf numFmtId="0" fontId="11" fillId="6" borderId="40" xfId="1" applyFont="1" applyFill="1" applyBorder="1" applyAlignment="1">
      <alignment horizontal="center" vertical="center" wrapText="1"/>
    </xf>
    <xf numFmtId="164" fontId="11" fillId="6" borderId="41" xfId="0" applyNumberFormat="1" applyFont="1" applyFill="1" applyBorder="1" applyAlignment="1">
      <alignment horizontal="center" vertical="center" wrapText="1"/>
    </xf>
    <xf numFmtId="164" fontId="11" fillId="6" borderId="39" xfId="1" applyNumberFormat="1" applyFont="1" applyFill="1" applyBorder="1" applyAlignment="1">
      <alignment horizontal="center" vertical="center" wrapText="1"/>
    </xf>
    <xf numFmtId="0" fontId="11" fillId="16" borderId="37" xfId="3" applyFont="1" applyFill="1" applyBorder="1" applyAlignment="1">
      <alignment horizontal="center" vertical="center" wrapText="1"/>
    </xf>
    <xf numFmtId="2" fontId="11" fillId="17" borderId="18" xfId="1" applyNumberFormat="1" applyFont="1" applyFill="1" applyBorder="1" applyAlignment="1">
      <alignment horizontal="center" vertical="center" wrapText="1"/>
    </xf>
    <xf numFmtId="0" fontId="11" fillId="17" borderId="19" xfId="1" applyFont="1" applyFill="1" applyBorder="1" applyAlignment="1">
      <alignment horizontal="center" vertical="center" wrapText="1"/>
    </xf>
    <xf numFmtId="0" fontId="11" fillId="17" borderId="9" xfId="1" applyFont="1" applyFill="1" applyBorder="1" applyAlignment="1">
      <alignment horizontal="center" vertical="center" wrapText="1"/>
    </xf>
    <xf numFmtId="0" fontId="11" fillId="17" borderId="18" xfId="1" applyFont="1" applyFill="1" applyBorder="1" applyAlignment="1">
      <alignment horizontal="center" vertical="center" wrapText="1"/>
    </xf>
    <xf numFmtId="2" fontId="11" fillId="18" borderId="18" xfId="1" applyNumberFormat="1" applyFont="1" applyFill="1" applyBorder="1" applyAlignment="1">
      <alignment horizontal="center" vertical="center" wrapText="1"/>
    </xf>
    <xf numFmtId="0" fontId="11" fillId="18" borderId="19" xfId="1" applyFont="1" applyFill="1" applyBorder="1" applyAlignment="1">
      <alignment horizontal="center" vertical="center" wrapText="1"/>
    </xf>
    <xf numFmtId="0" fontId="11" fillId="18" borderId="9" xfId="1" applyFont="1" applyFill="1" applyBorder="1" applyAlignment="1">
      <alignment horizontal="center" vertical="center" wrapText="1"/>
    </xf>
    <xf numFmtId="0" fontId="11" fillId="18" borderId="18" xfId="1" applyFont="1" applyFill="1" applyBorder="1" applyAlignment="1">
      <alignment horizontal="center" vertical="center" wrapText="1"/>
    </xf>
    <xf numFmtId="2" fontId="11" fillId="25" borderId="18" xfId="1" applyNumberFormat="1" applyFont="1" applyFill="1" applyBorder="1" applyAlignment="1">
      <alignment horizontal="center" vertical="center" wrapText="1"/>
    </xf>
    <xf numFmtId="0" fontId="11" fillId="25" borderId="19" xfId="1" applyFont="1" applyFill="1" applyBorder="1" applyAlignment="1">
      <alignment horizontal="center" vertical="center" wrapText="1"/>
    </xf>
    <xf numFmtId="0" fontId="11" fillId="25" borderId="9" xfId="1" applyFont="1" applyFill="1" applyBorder="1" applyAlignment="1">
      <alignment horizontal="center" vertical="center" wrapText="1"/>
    </xf>
    <xf numFmtId="0" fontId="13" fillId="8" borderId="74" xfId="2" applyFont="1" applyFill="1" applyBorder="1" applyAlignment="1">
      <alignment horizontal="center" vertical="center" wrapText="1"/>
    </xf>
    <xf numFmtId="0" fontId="13" fillId="8" borderId="75" xfId="2" applyFont="1" applyFill="1" applyBorder="1" applyAlignment="1">
      <alignment horizontal="center" vertical="center" wrapText="1"/>
    </xf>
    <xf numFmtId="0" fontId="13" fillId="8" borderId="76" xfId="2" applyFont="1" applyFill="1" applyBorder="1" applyAlignment="1">
      <alignment horizontal="center" vertical="center" wrapText="1"/>
    </xf>
    <xf numFmtId="2" fontId="13" fillId="8" borderId="77" xfId="2" applyNumberFormat="1" applyFont="1" applyFill="1" applyBorder="1" applyAlignment="1">
      <alignment horizontal="center" vertical="center" wrapText="1"/>
    </xf>
    <xf numFmtId="0" fontId="13" fillId="8" borderId="51" xfId="3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13" fillId="19" borderId="14" xfId="3" applyFont="1" applyFill="1" applyBorder="1" applyAlignment="1">
      <alignment horizontal="center" vertical="center" wrapText="1"/>
    </xf>
    <xf numFmtId="164" fontId="11" fillId="9" borderId="6" xfId="0" applyNumberFormat="1" applyFont="1" applyFill="1" applyBorder="1" applyAlignment="1">
      <alignment horizontal="center" vertical="center" wrapText="1"/>
    </xf>
    <xf numFmtId="164" fontId="11" fillId="9" borderId="7" xfId="1" applyNumberFormat="1" applyFont="1" applyFill="1" applyBorder="1" applyAlignment="1">
      <alignment horizontal="center" vertical="center" wrapText="1"/>
    </xf>
    <xf numFmtId="0" fontId="11" fillId="18" borderId="69" xfId="1" applyFont="1" applyFill="1" applyBorder="1" applyAlignment="1">
      <alignment horizontal="center" vertical="center" wrapText="1"/>
    </xf>
    <xf numFmtId="0" fontId="11" fillId="10" borderId="62" xfId="0" applyFont="1" applyFill="1" applyBorder="1" applyAlignment="1">
      <alignment horizontal="center" vertical="center" wrapText="1"/>
    </xf>
    <xf numFmtId="0" fontId="11" fillId="10" borderId="63" xfId="1" applyFont="1" applyFill="1" applyBorder="1" applyAlignment="1">
      <alignment horizontal="center" vertical="center" wrapText="1"/>
    </xf>
    <xf numFmtId="0" fontId="11" fillId="10" borderId="78" xfId="1" applyFont="1" applyFill="1" applyBorder="1" applyAlignment="1">
      <alignment horizontal="center" vertical="center" wrapText="1"/>
    </xf>
    <xf numFmtId="0" fontId="29" fillId="9" borderId="7" xfId="0" applyFont="1" applyFill="1" applyBorder="1" applyAlignment="1">
      <alignment horizontal="center" vertical="center" wrapText="1"/>
    </xf>
    <xf numFmtId="0" fontId="29" fillId="10" borderId="6" xfId="0" applyFont="1" applyFill="1" applyBorder="1" applyAlignment="1">
      <alignment horizontal="center" vertical="center" wrapText="1"/>
    </xf>
    <xf numFmtId="0" fontId="29" fillId="10" borderId="5" xfId="0" applyFont="1" applyFill="1" applyBorder="1" applyAlignment="1">
      <alignment horizontal="center" vertical="center" wrapText="1"/>
    </xf>
    <xf numFmtId="0" fontId="29" fillId="10" borderId="7" xfId="0" applyFont="1" applyFill="1" applyBorder="1" applyAlignment="1">
      <alignment horizontal="center" vertical="center" wrapText="1"/>
    </xf>
    <xf numFmtId="0" fontId="11" fillId="16" borderId="13" xfId="1" applyFont="1" applyFill="1" applyBorder="1" applyAlignment="1" applyProtection="1">
      <alignment horizontal="center" vertical="center" wrapText="1"/>
      <protection locked="0"/>
    </xf>
    <xf numFmtId="0" fontId="11" fillId="6" borderId="6" xfId="1" applyFont="1" applyFill="1" applyBorder="1" applyAlignment="1" applyProtection="1">
      <alignment horizontal="center" vertical="center" wrapText="1"/>
      <protection locked="0"/>
    </xf>
    <xf numFmtId="0" fontId="11" fillId="16" borderId="6" xfId="1" applyFont="1" applyFill="1" applyBorder="1" applyAlignment="1" applyProtection="1">
      <alignment horizontal="center" vertical="center" wrapText="1"/>
      <protection locked="0"/>
    </xf>
    <xf numFmtId="0" fontId="11" fillId="6" borderId="23" xfId="1" applyFont="1" applyFill="1" applyBorder="1" applyAlignment="1" applyProtection="1">
      <alignment horizontal="center" vertical="center" wrapText="1"/>
      <protection locked="0"/>
    </xf>
    <xf numFmtId="0" fontId="11" fillId="16" borderId="38" xfId="1" applyFont="1" applyFill="1" applyBorder="1" applyAlignment="1" applyProtection="1">
      <alignment horizontal="center" vertical="center" wrapText="1"/>
      <protection locked="0"/>
    </xf>
    <xf numFmtId="0" fontId="11" fillId="11" borderId="6" xfId="1" applyFont="1" applyFill="1" applyBorder="1" applyAlignment="1" applyProtection="1">
      <alignment horizontal="center" vertical="center" wrapText="1"/>
      <protection locked="0"/>
    </xf>
    <xf numFmtId="0" fontId="11" fillId="15" borderId="5" xfId="0" applyFont="1" applyFill="1" applyBorder="1" applyAlignment="1" applyProtection="1">
      <alignment horizontal="center" vertical="center"/>
      <protection locked="0"/>
    </xf>
    <xf numFmtId="0" fontId="29" fillId="15" borderId="5" xfId="0" applyFont="1" applyFill="1" applyBorder="1" applyAlignment="1" applyProtection="1">
      <alignment horizontal="center" vertical="center" wrapText="1"/>
      <protection locked="0"/>
    </xf>
    <xf numFmtId="0" fontId="29" fillId="9" borderId="5" xfId="0" applyFont="1" applyFill="1" applyBorder="1" applyAlignment="1" applyProtection="1">
      <alignment horizontal="center" vertical="center" wrapText="1"/>
      <protection locked="0"/>
    </xf>
    <xf numFmtId="0" fontId="11" fillId="15" borderId="6" xfId="0" applyFont="1" applyFill="1" applyBorder="1" applyAlignment="1" applyProtection="1">
      <alignment horizontal="center" vertical="center"/>
      <protection locked="0"/>
    </xf>
    <xf numFmtId="0" fontId="29" fillId="15" borderId="6" xfId="0" applyFont="1" applyFill="1" applyBorder="1" applyAlignment="1" applyProtection="1">
      <alignment horizontal="center" vertical="center" wrapText="1"/>
      <protection locked="0"/>
    </xf>
    <xf numFmtId="0" fontId="29" fillId="9" borderId="6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wrapText="1"/>
    </xf>
    <xf numFmtId="0" fontId="31" fillId="13" borderId="0" xfId="4" applyFont="1" applyFill="1" applyAlignment="1" applyProtection="1">
      <alignment wrapText="1"/>
    </xf>
    <xf numFmtId="0" fontId="32" fillId="13" borderId="0" xfId="4" applyFont="1" applyFill="1" applyAlignment="1" applyProtection="1">
      <alignment wrapText="1"/>
    </xf>
    <xf numFmtId="2" fontId="11" fillId="26" borderId="69" xfId="1" applyNumberFormat="1" applyFont="1" applyFill="1" applyBorder="1" applyAlignment="1">
      <alignment horizontal="center" vertical="center" wrapText="1"/>
    </xf>
    <xf numFmtId="0" fontId="11" fillId="26" borderId="70" xfId="1" applyFont="1" applyFill="1" applyBorder="1" applyAlignment="1">
      <alignment horizontal="center" vertical="center" wrapText="1"/>
    </xf>
    <xf numFmtId="0" fontId="11" fillId="26" borderId="71" xfId="1" applyFont="1" applyFill="1" applyBorder="1" applyAlignment="1">
      <alignment horizontal="center" vertical="center" wrapText="1"/>
    </xf>
    <xf numFmtId="0" fontId="11" fillId="18" borderId="70" xfId="1" applyFont="1" applyFill="1" applyBorder="1" applyAlignment="1">
      <alignment horizontal="center" vertical="center" wrapText="1"/>
    </xf>
    <xf numFmtId="0" fontId="11" fillId="18" borderId="71" xfId="1" applyFont="1" applyFill="1" applyBorder="1" applyAlignment="1">
      <alignment horizontal="center" vertical="center" wrapText="1"/>
    </xf>
    <xf numFmtId="0" fontId="5" fillId="13" borderId="0" xfId="0" applyFont="1" applyFill="1" applyAlignment="1" applyProtection="1">
      <alignment horizontal="left" wrapText="1"/>
    </xf>
    <xf numFmtId="0" fontId="4" fillId="4" borderId="57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4" fillId="4" borderId="66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 wrapText="1"/>
    </xf>
    <xf numFmtId="0" fontId="31" fillId="13" borderId="0" xfId="4" applyFont="1" applyFill="1" applyAlignment="1" applyProtection="1">
      <alignment horizontal="left" wrapText="1"/>
    </xf>
    <xf numFmtId="0" fontId="7" fillId="13" borderId="0" xfId="0" applyFont="1" applyFill="1" applyAlignment="1">
      <alignment horizontal="center" wrapText="1"/>
    </xf>
    <xf numFmtId="0" fontId="8" fillId="13" borderId="0" xfId="0" applyFont="1" applyFill="1" applyAlignment="1">
      <alignment horizontal="center" wrapText="1"/>
    </xf>
    <xf numFmtId="0" fontId="5" fillId="13" borderId="0" xfId="0" applyFont="1" applyFill="1" applyAlignment="1">
      <alignment horizontal="center" wrapText="1"/>
    </xf>
    <xf numFmtId="0" fontId="6" fillId="13" borderId="0" xfId="0" applyFont="1" applyFill="1" applyAlignment="1">
      <alignment horizontal="center" wrapText="1"/>
    </xf>
    <xf numFmtId="0" fontId="4" fillId="4" borderId="64" xfId="0" applyFont="1" applyFill="1" applyBorder="1" applyAlignment="1">
      <alignment horizontal="center" vertical="center" wrapText="1"/>
    </xf>
    <xf numFmtId="0" fontId="8" fillId="13" borderId="0" xfId="0" applyFont="1" applyFill="1" applyAlignment="1" applyProtection="1">
      <alignment horizontal="center" vertical="center" wrapText="1"/>
    </xf>
    <xf numFmtId="2" fontId="4" fillId="4" borderId="72" xfId="0" applyNumberFormat="1" applyFont="1" applyFill="1" applyBorder="1" applyAlignment="1">
      <alignment horizontal="center" vertical="center"/>
    </xf>
    <xf numFmtId="2" fontId="4" fillId="4" borderId="44" xfId="0" applyNumberFormat="1" applyFont="1" applyFill="1" applyBorder="1" applyAlignment="1">
      <alignment horizontal="center" vertical="center"/>
    </xf>
    <xf numFmtId="2" fontId="4" fillId="4" borderId="73" xfId="0" applyNumberFormat="1" applyFont="1" applyFill="1" applyBorder="1" applyAlignment="1">
      <alignment horizontal="center" vertical="center"/>
    </xf>
    <xf numFmtId="0" fontId="4" fillId="4" borderId="72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4" borderId="72" xfId="0" applyFont="1" applyFill="1" applyBorder="1" applyAlignment="1">
      <alignment horizontal="center" vertical="center" wrapText="1"/>
    </xf>
    <xf numFmtId="0" fontId="4" fillId="4" borderId="73" xfId="0" applyFont="1" applyFill="1" applyBorder="1" applyAlignment="1">
      <alignment horizontal="center" vertical="center" wrapText="1"/>
    </xf>
    <xf numFmtId="0" fontId="32" fillId="13" borderId="0" xfId="4" applyFont="1" applyFill="1" applyAlignment="1" applyProtection="1">
      <alignment horizontal="left" wrapText="1"/>
    </xf>
    <xf numFmtId="0" fontId="13" fillId="19" borderId="30" xfId="2" applyFont="1" applyFill="1" applyBorder="1" applyAlignment="1">
      <alignment horizontal="center" vertical="center" wrapText="1"/>
    </xf>
    <xf numFmtId="0" fontId="13" fillId="19" borderId="42" xfId="2" applyFont="1" applyFill="1" applyBorder="1" applyAlignment="1">
      <alignment horizontal="center" vertical="center" wrapText="1"/>
    </xf>
    <xf numFmtId="2" fontId="13" fillId="19" borderId="30" xfId="2" applyNumberFormat="1" applyFont="1" applyFill="1" applyBorder="1" applyAlignment="1">
      <alignment horizontal="center" vertical="center" wrapText="1"/>
    </xf>
    <xf numFmtId="2" fontId="13" fillId="19" borderId="3" xfId="2" applyNumberFormat="1" applyFont="1" applyFill="1" applyBorder="1" applyAlignment="1">
      <alignment horizontal="center" vertical="center" wrapText="1"/>
    </xf>
    <xf numFmtId="2" fontId="13" fillId="19" borderId="31" xfId="2" applyNumberFormat="1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</cellXfs>
  <cellStyles count="5">
    <cellStyle name="20% - Accent3" xfId="1" builtinId="38"/>
    <cellStyle name="40% - Accent3" xfId="3" builtinId="39"/>
    <cellStyle name="60% - Accent3" xfId="2" builtinId="40"/>
    <cellStyle name="Hyperlink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7.jpeg"/><Relationship Id="rId18" Type="http://schemas.openxmlformats.org/officeDocument/2006/relationships/image" Target="../media/image27.jpeg"/><Relationship Id="rId26" Type="http://schemas.openxmlformats.org/officeDocument/2006/relationships/image" Target="../media/image35.jpeg"/><Relationship Id="rId39" Type="http://schemas.openxmlformats.org/officeDocument/2006/relationships/image" Target="../media/image48.jpeg"/><Relationship Id="rId3" Type="http://schemas.openxmlformats.org/officeDocument/2006/relationships/image" Target="../media/image5.jpeg"/><Relationship Id="rId21" Type="http://schemas.openxmlformats.org/officeDocument/2006/relationships/image" Target="../media/image30.jpeg"/><Relationship Id="rId34" Type="http://schemas.openxmlformats.org/officeDocument/2006/relationships/image" Target="../media/image43.jpeg"/><Relationship Id="rId42" Type="http://schemas.openxmlformats.org/officeDocument/2006/relationships/image" Target="../media/image51.jpeg"/><Relationship Id="rId47" Type="http://schemas.openxmlformats.org/officeDocument/2006/relationships/image" Target="../media/image56.jpeg"/><Relationship Id="rId7" Type="http://schemas.openxmlformats.org/officeDocument/2006/relationships/image" Target="../media/image9.jpeg"/><Relationship Id="rId12" Type="http://schemas.openxmlformats.org/officeDocument/2006/relationships/image" Target="../media/image23.jpeg"/><Relationship Id="rId17" Type="http://schemas.openxmlformats.org/officeDocument/2006/relationships/image" Target="../media/image26.jpeg"/><Relationship Id="rId25" Type="http://schemas.openxmlformats.org/officeDocument/2006/relationships/image" Target="../media/image34.jpeg"/><Relationship Id="rId33" Type="http://schemas.openxmlformats.org/officeDocument/2006/relationships/image" Target="../media/image42.jpeg"/><Relationship Id="rId38" Type="http://schemas.openxmlformats.org/officeDocument/2006/relationships/image" Target="../media/image47.jpeg"/><Relationship Id="rId46" Type="http://schemas.openxmlformats.org/officeDocument/2006/relationships/image" Target="../media/image55.jpeg"/><Relationship Id="rId2" Type="http://schemas.openxmlformats.org/officeDocument/2006/relationships/image" Target="../media/image3.jpeg"/><Relationship Id="rId16" Type="http://schemas.openxmlformats.org/officeDocument/2006/relationships/image" Target="../media/image25.jpeg"/><Relationship Id="rId20" Type="http://schemas.openxmlformats.org/officeDocument/2006/relationships/image" Target="../media/image29.jpeg"/><Relationship Id="rId29" Type="http://schemas.openxmlformats.org/officeDocument/2006/relationships/image" Target="../media/image38.jpeg"/><Relationship Id="rId41" Type="http://schemas.openxmlformats.org/officeDocument/2006/relationships/image" Target="../media/image50.jpeg"/><Relationship Id="rId1" Type="http://schemas.openxmlformats.org/officeDocument/2006/relationships/image" Target="../media/image1.jpeg"/><Relationship Id="rId6" Type="http://schemas.openxmlformats.org/officeDocument/2006/relationships/image" Target="../media/image8.jpeg"/><Relationship Id="rId11" Type="http://schemas.openxmlformats.org/officeDocument/2006/relationships/image" Target="../media/image14.jpeg"/><Relationship Id="rId24" Type="http://schemas.openxmlformats.org/officeDocument/2006/relationships/image" Target="../media/image33.jpeg"/><Relationship Id="rId32" Type="http://schemas.openxmlformats.org/officeDocument/2006/relationships/image" Target="../media/image41.jpeg"/><Relationship Id="rId37" Type="http://schemas.openxmlformats.org/officeDocument/2006/relationships/image" Target="../media/image46.jpeg"/><Relationship Id="rId40" Type="http://schemas.openxmlformats.org/officeDocument/2006/relationships/image" Target="../media/image49.jpeg"/><Relationship Id="rId45" Type="http://schemas.openxmlformats.org/officeDocument/2006/relationships/image" Target="../media/image54.jpeg"/><Relationship Id="rId5" Type="http://schemas.openxmlformats.org/officeDocument/2006/relationships/image" Target="../media/image7.jpeg"/><Relationship Id="rId15" Type="http://schemas.openxmlformats.org/officeDocument/2006/relationships/image" Target="../media/image21.jpeg"/><Relationship Id="rId23" Type="http://schemas.openxmlformats.org/officeDocument/2006/relationships/image" Target="../media/image32.jpeg"/><Relationship Id="rId28" Type="http://schemas.openxmlformats.org/officeDocument/2006/relationships/image" Target="../media/image37.jpeg"/><Relationship Id="rId36" Type="http://schemas.openxmlformats.org/officeDocument/2006/relationships/image" Target="../media/image45.jpeg"/><Relationship Id="rId10" Type="http://schemas.openxmlformats.org/officeDocument/2006/relationships/image" Target="../media/image13.jpeg"/><Relationship Id="rId19" Type="http://schemas.openxmlformats.org/officeDocument/2006/relationships/image" Target="../media/image28.jpeg"/><Relationship Id="rId31" Type="http://schemas.openxmlformats.org/officeDocument/2006/relationships/image" Target="../media/image40.jpeg"/><Relationship Id="rId44" Type="http://schemas.openxmlformats.org/officeDocument/2006/relationships/image" Target="../media/image53.jpeg"/><Relationship Id="rId4" Type="http://schemas.openxmlformats.org/officeDocument/2006/relationships/image" Target="../media/image6.jpeg"/><Relationship Id="rId9" Type="http://schemas.openxmlformats.org/officeDocument/2006/relationships/image" Target="../media/image12.jpeg"/><Relationship Id="rId14" Type="http://schemas.openxmlformats.org/officeDocument/2006/relationships/image" Target="../media/image24.jpeg"/><Relationship Id="rId22" Type="http://schemas.openxmlformats.org/officeDocument/2006/relationships/image" Target="../media/image31.jpeg"/><Relationship Id="rId27" Type="http://schemas.openxmlformats.org/officeDocument/2006/relationships/image" Target="../media/image36.jpeg"/><Relationship Id="rId30" Type="http://schemas.openxmlformats.org/officeDocument/2006/relationships/image" Target="../media/image39.jpeg"/><Relationship Id="rId35" Type="http://schemas.openxmlformats.org/officeDocument/2006/relationships/image" Target="../media/image44.jpeg"/><Relationship Id="rId43" Type="http://schemas.openxmlformats.org/officeDocument/2006/relationships/image" Target="../media/image52.jpeg"/><Relationship Id="rId48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6.jpeg"/><Relationship Id="rId18" Type="http://schemas.openxmlformats.org/officeDocument/2006/relationships/image" Target="../media/image21.jpeg"/><Relationship Id="rId26" Type="http://schemas.openxmlformats.org/officeDocument/2006/relationships/image" Target="../media/image32.jpeg"/><Relationship Id="rId3" Type="http://schemas.openxmlformats.org/officeDocument/2006/relationships/image" Target="../media/image4.jpeg"/><Relationship Id="rId21" Type="http://schemas.openxmlformats.org/officeDocument/2006/relationships/image" Target="../media/image58.jpeg"/><Relationship Id="rId34" Type="http://schemas.openxmlformats.org/officeDocument/2006/relationships/image" Target="../media/image55.jpeg"/><Relationship Id="rId7" Type="http://schemas.openxmlformats.org/officeDocument/2006/relationships/image" Target="../media/image8.jpeg"/><Relationship Id="rId12" Type="http://schemas.openxmlformats.org/officeDocument/2006/relationships/image" Target="../media/image14.jpeg"/><Relationship Id="rId17" Type="http://schemas.openxmlformats.org/officeDocument/2006/relationships/image" Target="../media/image20.jpeg"/><Relationship Id="rId25" Type="http://schemas.openxmlformats.org/officeDocument/2006/relationships/image" Target="../media/image31.jpeg"/><Relationship Id="rId33" Type="http://schemas.openxmlformats.org/officeDocument/2006/relationships/image" Target="../media/image53.jpeg"/><Relationship Id="rId2" Type="http://schemas.openxmlformats.org/officeDocument/2006/relationships/image" Target="../media/image3.jpeg"/><Relationship Id="rId16" Type="http://schemas.openxmlformats.org/officeDocument/2006/relationships/image" Target="../media/image19.jpeg"/><Relationship Id="rId20" Type="http://schemas.openxmlformats.org/officeDocument/2006/relationships/image" Target="../media/image28.jpeg"/><Relationship Id="rId29" Type="http://schemas.openxmlformats.org/officeDocument/2006/relationships/image" Target="../media/image35.jpeg"/><Relationship Id="rId1" Type="http://schemas.openxmlformats.org/officeDocument/2006/relationships/image" Target="../media/image1.jpeg"/><Relationship Id="rId6" Type="http://schemas.openxmlformats.org/officeDocument/2006/relationships/image" Target="../media/image7.jpeg"/><Relationship Id="rId11" Type="http://schemas.openxmlformats.org/officeDocument/2006/relationships/image" Target="../media/image13.jpeg"/><Relationship Id="rId24" Type="http://schemas.openxmlformats.org/officeDocument/2006/relationships/image" Target="../media/image30.jpeg"/><Relationship Id="rId32" Type="http://schemas.openxmlformats.org/officeDocument/2006/relationships/image" Target="../media/image38.jpeg"/><Relationship Id="rId5" Type="http://schemas.openxmlformats.org/officeDocument/2006/relationships/image" Target="../media/image6.jpeg"/><Relationship Id="rId15" Type="http://schemas.openxmlformats.org/officeDocument/2006/relationships/image" Target="../media/image18.jpeg"/><Relationship Id="rId23" Type="http://schemas.openxmlformats.org/officeDocument/2006/relationships/image" Target="../media/image43.jpeg"/><Relationship Id="rId28" Type="http://schemas.openxmlformats.org/officeDocument/2006/relationships/image" Target="../media/image59.jpeg"/><Relationship Id="rId10" Type="http://schemas.openxmlformats.org/officeDocument/2006/relationships/image" Target="../media/image12.jpeg"/><Relationship Id="rId19" Type="http://schemas.openxmlformats.org/officeDocument/2006/relationships/image" Target="../media/image25.jpeg"/><Relationship Id="rId31" Type="http://schemas.openxmlformats.org/officeDocument/2006/relationships/image" Target="../media/image37.jpeg"/><Relationship Id="rId4" Type="http://schemas.openxmlformats.org/officeDocument/2006/relationships/image" Target="../media/image5.jpeg"/><Relationship Id="rId9" Type="http://schemas.openxmlformats.org/officeDocument/2006/relationships/image" Target="../media/image11.jpeg"/><Relationship Id="rId14" Type="http://schemas.openxmlformats.org/officeDocument/2006/relationships/image" Target="../media/image17.jpeg"/><Relationship Id="rId22" Type="http://schemas.openxmlformats.org/officeDocument/2006/relationships/image" Target="../media/image29.jpeg"/><Relationship Id="rId27" Type="http://schemas.openxmlformats.org/officeDocument/2006/relationships/image" Target="../media/image33.jpeg"/><Relationship Id="rId30" Type="http://schemas.openxmlformats.org/officeDocument/2006/relationships/image" Target="../media/image36.jpeg"/><Relationship Id="rId35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7</xdr:row>
      <xdr:rowOff>51352</xdr:rowOff>
    </xdr:from>
    <xdr:to>
      <xdr:col>1</xdr:col>
      <xdr:colOff>1524024</xdr:colOff>
      <xdr:row>7</xdr:row>
      <xdr:rowOff>1029760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163A0A-1C9F-4923-87ED-555493C51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2698" y="5080552"/>
          <a:ext cx="1466874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8</xdr:row>
      <xdr:rowOff>64604</xdr:rowOff>
    </xdr:from>
    <xdr:to>
      <xdr:col>1</xdr:col>
      <xdr:colOff>1524762</xdr:colOff>
      <xdr:row>8</xdr:row>
      <xdr:rowOff>1043012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B7D666B-63E5-4ED3-914D-9EC7B2608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2698" y="6206987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9</xdr:row>
      <xdr:rowOff>57150</xdr:rowOff>
    </xdr:from>
    <xdr:to>
      <xdr:col>1</xdr:col>
      <xdr:colOff>1543812</xdr:colOff>
      <xdr:row>9</xdr:row>
      <xdr:rowOff>1041001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9FC85CD-8A97-44FB-A9AC-146C33493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0" y="7143750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10</xdr:row>
      <xdr:rowOff>57150</xdr:rowOff>
    </xdr:from>
    <xdr:to>
      <xdr:col>1</xdr:col>
      <xdr:colOff>1555734</xdr:colOff>
      <xdr:row>10</xdr:row>
      <xdr:rowOff>1041001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F43F1F1-437F-4ADE-9D39-2760F79C8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1" y="8172450"/>
          <a:ext cx="1498583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11</xdr:row>
      <xdr:rowOff>96079</xdr:rowOff>
    </xdr:from>
    <xdr:to>
      <xdr:col>1</xdr:col>
      <xdr:colOff>1558291</xdr:colOff>
      <xdr:row>11</xdr:row>
      <xdr:rowOff>1004126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FF1D5286-8F38-4518-8918-240A9F0FD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0799" y="9578009"/>
          <a:ext cx="1463040" cy="908047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12</xdr:row>
      <xdr:rowOff>64604</xdr:rowOff>
    </xdr:from>
    <xdr:to>
      <xdr:col>1</xdr:col>
      <xdr:colOff>1543812</xdr:colOff>
      <xdr:row>12</xdr:row>
      <xdr:rowOff>1043012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6CF1376-CBF3-4E2D-BFF2-719290E1A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1748" y="10659717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13</xdr:row>
      <xdr:rowOff>67090</xdr:rowOff>
    </xdr:from>
    <xdr:to>
      <xdr:col>1</xdr:col>
      <xdr:colOff>1522798</xdr:colOff>
      <xdr:row>13</xdr:row>
      <xdr:rowOff>1048337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B23C3B88-A88F-4C73-98C3-76DFE5234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1" y="11725690"/>
          <a:ext cx="1465647" cy="981247"/>
        </a:xfrm>
        <a:prstGeom prst="rect">
          <a:avLst/>
        </a:prstGeom>
      </xdr:spPr>
    </xdr:pic>
    <xdr:clientData/>
  </xdr:twoCellAnchor>
  <xdr:twoCellAnchor editAs="oneCell">
    <xdr:from>
      <xdr:col>1</xdr:col>
      <xdr:colOff>69574</xdr:colOff>
      <xdr:row>14</xdr:row>
      <xdr:rowOff>74544</xdr:rowOff>
    </xdr:from>
    <xdr:to>
      <xdr:col>1</xdr:col>
      <xdr:colOff>1537186</xdr:colOff>
      <xdr:row>14</xdr:row>
      <xdr:rowOff>1052952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B771630B-0516-4D28-911A-E70954D7A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122" y="12896022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71230</xdr:colOff>
      <xdr:row>15</xdr:row>
      <xdr:rowOff>72888</xdr:rowOff>
    </xdr:from>
    <xdr:to>
      <xdr:col>1</xdr:col>
      <xdr:colOff>1538842</xdr:colOff>
      <xdr:row>15</xdr:row>
      <xdr:rowOff>1054135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52983CA-99F5-4EDA-832A-E3103547E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6778" y="14007549"/>
          <a:ext cx="1467612" cy="981247"/>
        </a:xfrm>
        <a:prstGeom prst="rect">
          <a:avLst/>
        </a:prstGeom>
      </xdr:spPr>
    </xdr:pic>
    <xdr:clientData/>
  </xdr:twoCellAnchor>
  <xdr:twoCellAnchor editAs="oneCell">
    <xdr:from>
      <xdr:col>1</xdr:col>
      <xdr:colOff>87797</xdr:colOff>
      <xdr:row>16</xdr:row>
      <xdr:rowOff>73716</xdr:rowOff>
    </xdr:from>
    <xdr:to>
      <xdr:col>1</xdr:col>
      <xdr:colOff>1521398</xdr:colOff>
      <xdr:row>16</xdr:row>
      <xdr:rowOff>1054964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77B4416F-66CF-4ED8-B94E-3239D01B7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3345" y="15121559"/>
          <a:ext cx="1433601" cy="98124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17</xdr:row>
      <xdr:rowOff>67090</xdr:rowOff>
    </xdr:from>
    <xdr:to>
      <xdr:col>1</xdr:col>
      <xdr:colOff>1549310</xdr:colOff>
      <xdr:row>17</xdr:row>
      <xdr:rowOff>1048338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2248DF72-9141-49E7-8BBF-4BD57AD3D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1749" y="16228116"/>
          <a:ext cx="1473109" cy="981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81999</xdr:colOff>
      <xdr:row>18</xdr:row>
      <xdr:rowOff>58806</xdr:rowOff>
    </xdr:from>
    <xdr:to>
      <xdr:col>1</xdr:col>
      <xdr:colOff>1555108</xdr:colOff>
      <xdr:row>18</xdr:row>
      <xdr:rowOff>1037214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467924-08D3-4ABC-9E9E-DE415C500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7547" y="17333015"/>
          <a:ext cx="1473109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19</xdr:row>
      <xdr:rowOff>64604</xdr:rowOff>
    </xdr:from>
    <xdr:to>
      <xdr:col>1</xdr:col>
      <xdr:colOff>1499914</xdr:colOff>
      <xdr:row>19</xdr:row>
      <xdr:rowOff>1043012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3D9769D-E79B-439A-894D-6EEF5DE75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0798" y="18451995"/>
          <a:ext cx="1404664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20</xdr:row>
      <xdr:rowOff>72058</xdr:rowOff>
    </xdr:from>
    <xdr:to>
      <xdr:col>1</xdr:col>
      <xdr:colOff>1524762</xdr:colOff>
      <xdr:row>20</xdr:row>
      <xdr:rowOff>1050466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982AE9D-EADD-43B1-ABFA-4B7ACC3AA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2698" y="19572632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21</xdr:row>
      <xdr:rowOff>71230</xdr:rowOff>
    </xdr:from>
    <xdr:to>
      <xdr:col>1</xdr:col>
      <xdr:colOff>1459406</xdr:colOff>
      <xdr:row>21</xdr:row>
      <xdr:rowOff>1049638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674DD62-E111-4A85-BF2C-81CCD7083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8898" y="20684987"/>
          <a:ext cx="1326056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22</xdr:row>
      <xdr:rowOff>63776</xdr:rowOff>
    </xdr:from>
    <xdr:to>
      <xdr:col>1</xdr:col>
      <xdr:colOff>1534216</xdr:colOff>
      <xdr:row>22</xdr:row>
      <xdr:rowOff>1047627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1DDE62F-AB7F-43E7-BBAB-984C8ECD7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2699" y="21790715"/>
          <a:ext cx="1477065" cy="98385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23</xdr:row>
      <xdr:rowOff>167308</xdr:rowOff>
    </xdr:from>
    <xdr:to>
      <xdr:col>1</xdr:col>
      <xdr:colOff>1539241</xdr:colOff>
      <xdr:row>23</xdr:row>
      <xdr:rowOff>965292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64D0CDC-B19C-49B3-9ED3-88454E951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1749" y="23007430"/>
          <a:ext cx="1463040" cy="797984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24</xdr:row>
      <xdr:rowOff>64604</xdr:rowOff>
    </xdr:from>
    <xdr:to>
      <xdr:col>1</xdr:col>
      <xdr:colOff>1524762</xdr:colOff>
      <xdr:row>24</xdr:row>
      <xdr:rowOff>1043012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4329A6E-F5CB-4AC2-BA47-D39642AD0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2698" y="24017908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25</xdr:row>
      <xdr:rowOff>57150</xdr:rowOff>
    </xdr:from>
    <xdr:to>
      <xdr:col>1</xdr:col>
      <xdr:colOff>1543812</xdr:colOff>
      <xdr:row>25</xdr:row>
      <xdr:rowOff>1041001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3AAC764-8075-49D6-B9BE-73A5EDDAC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0" y="24460200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26</xdr:row>
      <xdr:rowOff>70402</xdr:rowOff>
    </xdr:from>
    <xdr:to>
      <xdr:col>1</xdr:col>
      <xdr:colOff>1553404</xdr:colOff>
      <xdr:row>26</xdr:row>
      <xdr:rowOff>1054253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57C5763D-6B66-482D-9542-5A6583E5A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1748" y="26250072"/>
          <a:ext cx="1477204" cy="983851"/>
        </a:xfrm>
        <a:prstGeom prst="rect">
          <a:avLst/>
        </a:prstGeom>
      </xdr:spPr>
    </xdr:pic>
    <xdr:clientData/>
  </xdr:twoCellAnchor>
  <xdr:twoCellAnchor editAs="oneCell">
    <xdr:from>
      <xdr:col>1</xdr:col>
      <xdr:colOff>89453</xdr:colOff>
      <xdr:row>27</xdr:row>
      <xdr:rowOff>71230</xdr:rowOff>
    </xdr:from>
    <xdr:to>
      <xdr:col>1</xdr:col>
      <xdr:colOff>1556876</xdr:colOff>
      <xdr:row>27</xdr:row>
      <xdr:rowOff>1049638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2971A094-2980-4A7E-87C0-1855FF4E6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1" y="27364082"/>
          <a:ext cx="1467423" cy="9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29</xdr:row>
      <xdr:rowOff>76200</xdr:rowOff>
    </xdr:from>
    <xdr:to>
      <xdr:col>0</xdr:col>
      <xdr:colOff>1276350</xdr:colOff>
      <xdr:row>29</xdr:row>
      <xdr:rowOff>838200</xdr:rowOff>
    </xdr:to>
    <xdr:pic>
      <xdr:nvPicPr>
        <xdr:cNvPr id="28" name="Picture 27" descr="A picture containing text, orange&#10;&#10;Description automatically generated">
          <a:extLst>
            <a:ext uri="{FF2B5EF4-FFF2-40B4-BE49-F238E27FC236}">
              <a16:creationId xmlns:a16="http://schemas.microsoft.com/office/drawing/2014/main" id="{DB561946-98E2-46B2-A9AD-547556863F15}"/>
            </a:ext>
          </a:extLst>
        </xdr:cNvPr>
        <xdr:cNvPicPr/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7565350"/>
          <a:ext cx="1085850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77320</xdr:colOff>
      <xdr:row>8</xdr:row>
      <xdr:rowOff>82925</xdr:rowOff>
    </xdr:from>
    <xdr:to>
      <xdr:col>1</xdr:col>
      <xdr:colOff>1544194</xdr:colOff>
      <xdr:row>8</xdr:row>
      <xdr:rowOff>1061333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9D36E46-E5F7-44B2-82A5-2FB7F9F30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002" y="4762501"/>
          <a:ext cx="1466874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10</xdr:row>
      <xdr:rowOff>67235</xdr:rowOff>
    </xdr:from>
    <xdr:to>
      <xdr:col>1</xdr:col>
      <xdr:colOff>1543812</xdr:colOff>
      <xdr:row>10</xdr:row>
      <xdr:rowOff>1045643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3A3C585C-1259-4BC4-8BA7-152C2C30F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4882" y="5858435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12</xdr:row>
      <xdr:rowOff>97490</xdr:rowOff>
    </xdr:from>
    <xdr:to>
      <xdr:col>1</xdr:col>
      <xdr:colOff>1539240</xdr:colOff>
      <xdr:row>12</xdr:row>
      <xdr:rowOff>1005537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AF54B5EF-3ADA-4BEE-8091-6B94643C1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4882" y="8111937"/>
          <a:ext cx="1463040" cy="908047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17</xdr:row>
      <xdr:rowOff>67235</xdr:rowOff>
    </xdr:from>
    <xdr:to>
      <xdr:col>1</xdr:col>
      <xdr:colOff>1581912</xdr:colOff>
      <xdr:row>17</xdr:row>
      <xdr:rowOff>1045643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F30B0C71-963E-40C1-84EC-75068059F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2982" y="13639800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25</xdr:row>
      <xdr:rowOff>95250</xdr:rowOff>
    </xdr:from>
    <xdr:to>
      <xdr:col>1</xdr:col>
      <xdr:colOff>1560897</xdr:colOff>
      <xdr:row>25</xdr:row>
      <xdr:rowOff>1073658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70992D2D-6E62-4646-B15C-47B314B8B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21945600"/>
          <a:ext cx="1465647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29</xdr:row>
      <xdr:rowOff>76200</xdr:rowOff>
    </xdr:from>
    <xdr:to>
      <xdr:col>1</xdr:col>
      <xdr:colOff>1543812</xdr:colOff>
      <xdr:row>29</xdr:row>
      <xdr:rowOff>1054608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D57CD788-9EDD-4BD7-90BD-880FA8DB0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25050750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85165</xdr:colOff>
      <xdr:row>31</xdr:row>
      <xdr:rowOff>69475</xdr:rowOff>
    </xdr:from>
    <xdr:to>
      <xdr:col>1</xdr:col>
      <xdr:colOff>1552777</xdr:colOff>
      <xdr:row>31</xdr:row>
      <xdr:rowOff>1047883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269B3C61-DF12-406D-A503-5C88288DA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3847" y="27393899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33</xdr:row>
      <xdr:rowOff>67235</xdr:rowOff>
    </xdr:from>
    <xdr:to>
      <xdr:col>1</xdr:col>
      <xdr:colOff>1547901</xdr:colOff>
      <xdr:row>33</xdr:row>
      <xdr:rowOff>1045643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5FD335C5-4B23-4233-B9C6-CE239D775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2982" y="29614906"/>
          <a:ext cx="1433601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48185</xdr:colOff>
      <xdr:row>36</xdr:row>
      <xdr:rowOff>76200</xdr:rowOff>
    </xdr:from>
    <xdr:to>
      <xdr:col>1</xdr:col>
      <xdr:colOff>1521294</xdr:colOff>
      <xdr:row>36</xdr:row>
      <xdr:rowOff>1054608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D7DD811F-E914-48C1-B9BE-8B32C303C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2385" y="32785050"/>
          <a:ext cx="1473109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103095</xdr:colOff>
      <xdr:row>37</xdr:row>
      <xdr:rowOff>67235</xdr:rowOff>
    </xdr:from>
    <xdr:to>
      <xdr:col>1</xdr:col>
      <xdr:colOff>1507759</xdr:colOff>
      <xdr:row>37</xdr:row>
      <xdr:rowOff>1045643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7B364C5B-5A18-498F-A131-A2912433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1777" y="33980717"/>
          <a:ext cx="1404664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47065</xdr:colOff>
      <xdr:row>38</xdr:row>
      <xdr:rowOff>57150</xdr:rowOff>
    </xdr:from>
    <xdr:to>
      <xdr:col>1</xdr:col>
      <xdr:colOff>1514677</xdr:colOff>
      <xdr:row>38</xdr:row>
      <xdr:rowOff>1035558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4A25E6FB-CD85-4B14-97F6-8384BFFC3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747" y="35082256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40</xdr:row>
      <xdr:rowOff>76200</xdr:rowOff>
    </xdr:from>
    <xdr:to>
      <xdr:col>1</xdr:col>
      <xdr:colOff>1572315</xdr:colOff>
      <xdr:row>40</xdr:row>
      <xdr:rowOff>1054608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E53DCC2B-D426-425A-A7A0-E037E6DE1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37128450"/>
          <a:ext cx="1477065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41</xdr:row>
      <xdr:rowOff>162485</xdr:rowOff>
    </xdr:from>
    <xdr:to>
      <xdr:col>1</xdr:col>
      <xdr:colOff>1539240</xdr:colOff>
      <xdr:row>41</xdr:row>
      <xdr:rowOff>960469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E3F063FD-0A82-4D57-913D-894A07C8F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4882" y="38522461"/>
          <a:ext cx="1463040" cy="79798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47</xdr:row>
      <xdr:rowOff>68355</xdr:rowOff>
    </xdr:from>
    <xdr:to>
      <xdr:col>1</xdr:col>
      <xdr:colOff>1562862</xdr:colOff>
      <xdr:row>47</xdr:row>
      <xdr:rowOff>1046763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46DE075D-3DD8-4CA1-8472-266E55FF1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3932" y="45098073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51</xdr:row>
      <xdr:rowOff>66115</xdr:rowOff>
    </xdr:from>
    <xdr:to>
      <xdr:col>1</xdr:col>
      <xdr:colOff>1524573</xdr:colOff>
      <xdr:row>51</xdr:row>
      <xdr:rowOff>1044523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67C7E19B-6662-4ECE-BADD-866C62F84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5832" y="49542327"/>
          <a:ext cx="1467423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105335</xdr:colOff>
      <xdr:row>14</xdr:row>
      <xdr:rowOff>76200</xdr:rowOff>
    </xdr:from>
    <xdr:to>
      <xdr:col>1</xdr:col>
      <xdr:colOff>1578715</xdr:colOff>
      <xdr:row>14</xdr:row>
      <xdr:rowOff>1054608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423FEBA-D7F3-4E95-BB3E-B1FCA37ED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4017" y="10313894"/>
          <a:ext cx="1473380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87405</xdr:colOff>
      <xdr:row>13</xdr:row>
      <xdr:rowOff>75080</xdr:rowOff>
    </xdr:from>
    <xdr:to>
      <xdr:col>1</xdr:col>
      <xdr:colOff>1555147</xdr:colOff>
      <xdr:row>13</xdr:row>
      <xdr:rowOff>1053488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7154B95-CEFA-4B05-9D4B-3AFE78335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6087" y="9201151"/>
          <a:ext cx="146774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115420</xdr:colOff>
      <xdr:row>19</xdr:row>
      <xdr:rowOff>86285</xdr:rowOff>
    </xdr:from>
    <xdr:to>
      <xdr:col>1</xdr:col>
      <xdr:colOff>1578460</xdr:colOff>
      <xdr:row>19</xdr:row>
      <xdr:rowOff>1020686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59E6430D-0AF5-4D59-B654-72284A2F9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4102" y="15882097"/>
          <a:ext cx="1463040" cy="94202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20</xdr:row>
      <xdr:rowOff>63425</xdr:rowOff>
    </xdr:from>
    <xdr:to>
      <xdr:col>1</xdr:col>
      <xdr:colOff>1572678</xdr:colOff>
      <xdr:row>20</xdr:row>
      <xdr:rowOff>1041833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E4E4E408-69DD-4F82-8061-FDC468D6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2032" y="16970860"/>
          <a:ext cx="1439328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96370</xdr:colOff>
      <xdr:row>23</xdr:row>
      <xdr:rowOff>66115</xdr:rowOff>
    </xdr:from>
    <xdr:to>
      <xdr:col>1</xdr:col>
      <xdr:colOff>1597236</xdr:colOff>
      <xdr:row>23</xdr:row>
      <xdr:rowOff>1044523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32015395-A4EF-48B1-9DB6-405C3EFF4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5052" y="18085174"/>
          <a:ext cx="1500866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86285</xdr:colOff>
      <xdr:row>27</xdr:row>
      <xdr:rowOff>66115</xdr:rowOff>
    </xdr:from>
    <xdr:to>
      <xdr:col>1</xdr:col>
      <xdr:colOff>1551948</xdr:colOff>
      <xdr:row>27</xdr:row>
      <xdr:rowOff>1044523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E019EECD-8D3B-4786-9A4A-59D533052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4967" y="22944044"/>
          <a:ext cx="1465663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28</xdr:row>
      <xdr:rowOff>67235</xdr:rowOff>
    </xdr:from>
    <xdr:to>
      <xdr:col>1</xdr:col>
      <xdr:colOff>1579240</xdr:colOff>
      <xdr:row>28</xdr:row>
      <xdr:rowOff>1054549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A107CBFC-1305-45A8-9EAD-03FCB7944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5362" y="24056788"/>
          <a:ext cx="1472560" cy="987314"/>
        </a:xfrm>
        <a:prstGeom prst="rect">
          <a:avLst/>
        </a:prstGeom>
      </xdr:spPr>
    </xdr:pic>
    <xdr:clientData/>
  </xdr:twoCellAnchor>
  <xdr:twoCellAnchor editAs="oneCell">
    <xdr:from>
      <xdr:col>1</xdr:col>
      <xdr:colOff>174172</xdr:colOff>
      <xdr:row>30</xdr:row>
      <xdr:rowOff>76200</xdr:rowOff>
    </xdr:from>
    <xdr:to>
      <xdr:col>1</xdr:col>
      <xdr:colOff>1478716</xdr:colOff>
      <xdr:row>30</xdr:row>
      <xdr:rowOff>1054608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231328A2-72EA-4E69-935D-D0E1D15CF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372" y="26267229"/>
          <a:ext cx="1304544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85165</xdr:colOff>
      <xdr:row>32</xdr:row>
      <xdr:rowOff>72359</xdr:rowOff>
    </xdr:from>
    <xdr:to>
      <xdr:col>1</xdr:col>
      <xdr:colOff>1550828</xdr:colOff>
      <xdr:row>32</xdr:row>
      <xdr:rowOff>1050767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8F2ACF10-2780-4F93-9DE5-3D653AA8A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3847" y="28508406"/>
          <a:ext cx="1465663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87085</xdr:colOff>
      <xdr:row>34</xdr:row>
      <xdr:rowOff>76200</xdr:rowOff>
    </xdr:from>
    <xdr:to>
      <xdr:col>1</xdr:col>
      <xdr:colOff>1554844</xdr:colOff>
      <xdr:row>34</xdr:row>
      <xdr:rowOff>1054608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8743E1B4-43A3-4AFC-9133-2F218D855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1285" y="30708600"/>
          <a:ext cx="1467759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69577</xdr:colOff>
      <xdr:row>39</xdr:row>
      <xdr:rowOff>70759</xdr:rowOff>
    </xdr:from>
    <xdr:to>
      <xdr:col>1</xdr:col>
      <xdr:colOff>1537189</xdr:colOff>
      <xdr:row>39</xdr:row>
      <xdr:rowOff>1047188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AF46A5D8-8E91-4E90-BC83-F41A58CDF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259" y="36207488"/>
          <a:ext cx="1467612" cy="976429"/>
        </a:xfrm>
        <a:prstGeom prst="rect">
          <a:avLst/>
        </a:prstGeom>
      </xdr:spPr>
    </xdr:pic>
    <xdr:clientData/>
  </xdr:twoCellAnchor>
  <xdr:twoCellAnchor editAs="oneCell">
    <xdr:from>
      <xdr:col>1</xdr:col>
      <xdr:colOff>83128</xdr:colOff>
      <xdr:row>44</xdr:row>
      <xdr:rowOff>74162</xdr:rowOff>
    </xdr:from>
    <xdr:to>
      <xdr:col>1</xdr:col>
      <xdr:colOff>1549147</xdr:colOff>
      <xdr:row>44</xdr:row>
      <xdr:rowOff>1052570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5BA84C91-5DB7-4934-B6AB-CB24E2ACE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1810" y="41769009"/>
          <a:ext cx="1466019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96982</xdr:colOff>
      <xdr:row>49</xdr:row>
      <xdr:rowOff>105947</xdr:rowOff>
    </xdr:from>
    <xdr:to>
      <xdr:col>1</xdr:col>
      <xdr:colOff>1569166</xdr:colOff>
      <xdr:row>49</xdr:row>
      <xdr:rowOff>1014009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D5117E68-1654-4012-9823-5CBBA30B4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5664" y="47358912"/>
          <a:ext cx="1472184" cy="908062"/>
        </a:xfrm>
        <a:prstGeom prst="rect">
          <a:avLst/>
        </a:prstGeom>
      </xdr:spPr>
    </xdr:pic>
    <xdr:clientData/>
  </xdr:twoCellAnchor>
  <xdr:twoCellAnchor editAs="oneCell">
    <xdr:from>
      <xdr:col>1</xdr:col>
      <xdr:colOff>83127</xdr:colOff>
      <xdr:row>53</xdr:row>
      <xdr:rowOff>81702</xdr:rowOff>
    </xdr:from>
    <xdr:to>
      <xdr:col>1</xdr:col>
      <xdr:colOff>1550739</xdr:colOff>
      <xdr:row>53</xdr:row>
      <xdr:rowOff>1060110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21712FBE-45BE-4562-B03C-F4522F337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7327" y="50468952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69273</xdr:colOff>
      <xdr:row>11</xdr:row>
      <xdr:rowOff>66012</xdr:rowOff>
    </xdr:from>
    <xdr:to>
      <xdr:col>1</xdr:col>
      <xdr:colOff>1536885</xdr:colOff>
      <xdr:row>11</xdr:row>
      <xdr:rowOff>1044420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58D580E-CB24-4E2F-86A8-3AF835A73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7955" y="6968836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96981</xdr:colOff>
      <xdr:row>15</xdr:row>
      <xdr:rowOff>74162</xdr:rowOff>
    </xdr:from>
    <xdr:to>
      <xdr:col>1</xdr:col>
      <xdr:colOff>1564593</xdr:colOff>
      <xdr:row>15</xdr:row>
      <xdr:rowOff>1052570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BDC05BE-D079-44DF-B4BA-CE60E7B1A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5663" y="11423480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83127</xdr:colOff>
      <xdr:row>16</xdr:row>
      <xdr:rowOff>69273</xdr:rowOff>
    </xdr:from>
    <xdr:to>
      <xdr:col>1</xdr:col>
      <xdr:colOff>1550739</xdr:colOff>
      <xdr:row>16</xdr:row>
      <xdr:rowOff>1047681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0161EBF-10E9-48B7-AA61-C79A82D1C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4254" y="12496800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110836</xdr:colOff>
      <xdr:row>18</xdr:row>
      <xdr:rowOff>68459</xdr:rowOff>
    </xdr:from>
    <xdr:to>
      <xdr:col>1</xdr:col>
      <xdr:colOff>1578655</xdr:colOff>
      <xdr:row>18</xdr:row>
      <xdr:rowOff>1046867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4645379B-B31D-4D36-8F7A-36E56522D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9518" y="14752647"/>
          <a:ext cx="1467819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106761</xdr:colOff>
      <xdr:row>24</xdr:row>
      <xdr:rowOff>64383</xdr:rowOff>
    </xdr:from>
    <xdr:to>
      <xdr:col>1</xdr:col>
      <xdr:colOff>1574440</xdr:colOff>
      <xdr:row>24</xdr:row>
      <xdr:rowOff>1045992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6557EA2A-5D4E-4736-954D-4A27EB4A3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5443" y="19195065"/>
          <a:ext cx="1467679" cy="981609"/>
        </a:xfrm>
        <a:prstGeom prst="rect">
          <a:avLst/>
        </a:prstGeom>
      </xdr:spPr>
    </xdr:pic>
    <xdr:clientData/>
  </xdr:twoCellAnchor>
  <xdr:twoCellAnchor editAs="oneCell">
    <xdr:from>
      <xdr:col>1</xdr:col>
      <xdr:colOff>88017</xdr:colOff>
      <xdr:row>26</xdr:row>
      <xdr:rowOff>161365</xdr:rowOff>
    </xdr:from>
    <xdr:to>
      <xdr:col>1</xdr:col>
      <xdr:colOff>1555447</xdr:colOff>
      <xdr:row>27</xdr:row>
      <xdr:rowOff>34873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EAAB76D5-0379-45FC-A256-C804AFD95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6699" y="21721483"/>
          <a:ext cx="1467430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83128</xdr:colOff>
      <xdr:row>35</xdr:row>
      <xdr:rowOff>74164</xdr:rowOff>
    </xdr:from>
    <xdr:to>
      <xdr:col>1</xdr:col>
      <xdr:colOff>1550740</xdr:colOff>
      <xdr:row>35</xdr:row>
      <xdr:rowOff>1052572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E8C4D58F-AE96-4FCF-A5BF-B02CAB3D5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1810" y="31845082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127951</xdr:colOff>
      <xdr:row>42</xdr:row>
      <xdr:rowOff>54601</xdr:rowOff>
    </xdr:from>
    <xdr:to>
      <xdr:col>1</xdr:col>
      <xdr:colOff>1464529</xdr:colOff>
      <xdr:row>42</xdr:row>
      <xdr:rowOff>1060441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D3C0F6E2-536F-4363-BEBA-58B9AB423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6633" y="39526201"/>
          <a:ext cx="1336578" cy="1005840"/>
        </a:xfrm>
        <a:prstGeom prst="rect">
          <a:avLst/>
        </a:prstGeom>
      </xdr:spPr>
    </xdr:pic>
    <xdr:clientData/>
  </xdr:twoCellAnchor>
  <xdr:twoCellAnchor editAs="oneCell">
    <xdr:from>
      <xdr:col>1</xdr:col>
      <xdr:colOff>83128</xdr:colOff>
      <xdr:row>43</xdr:row>
      <xdr:rowOff>70088</xdr:rowOff>
    </xdr:from>
    <xdr:to>
      <xdr:col>1</xdr:col>
      <xdr:colOff>1550740</xdr:colOff>
      <xdr:row>43</xdr:row>
      <xdr:rowOff>1048496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880243DB-142C-475F-956D-D4426713E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1810" y="40653312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96982</xdr:colOff>
      <xdr:row>45</xdr:row>
      <xdr:rowOff>69273</xdr:rowOff>
    </xdr:from>
    <xdr:to>
      <xdr:col>1</xdr:col>
      <xdr:colOff>1564594</xdr:colOff>
      <xdr:row>45</xdr:row>
      <xdr:rowOff>1047681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F6926D86-BFE0-468D-8D04-4DEF41C7B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5664" y="42875744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110835</xdr:colOff>
      <xdr:row>46</xdr:row>
      <xdr:rowOff>64385</xdr:rowOff>
    </xdr:from>
    <xdr:to>
      <xdr:col>1</xdr:col>
      <xdr:colOff>1578447</xdr:colOff>
      <xdr:row>46</xdr:row>
      <xdr:rowOff>1042793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F640CB43-5C4F-4564-8851-4A357B6E1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9517" y="43982479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96983</xdr:colOff>
      <xdr:row>48</xdr:row>
      <xdr:rowOff>110838</xdr:rowOff>
    </xdr:from>
    <xdr:to>
      <xdr:col>1</xdr:col>
      <xdr:colOff>1569167</xdr:colOff>
      <xdr:row>48</xdr:row>
      <xdr:rowOff>1030953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49030E93-A869-4949-991E-58501408D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8110" y="46121783"/>
          <a:ext cx="1472184" cy="920115"/>
        </a:xfrm>
        <a:prstGeom prst="rect">
          <a:avLst/>
        </a:prstGeom>
      </xdr:spPr>
    </xdr:pic>
    <xdr:clientData/>
  </xdr:twoCellAnchor>
  <xdr:twoCellAnchor editAs="oneCell">
    <xdr:from>
      <xdr:col>1</xdr:col>
      <xdr:colOff>83128</xdr:colOff>
      <xdr:row>50</xdr:row>
      <xdr:rowOff>59493</xdr:rowOff>
    </xdr:from>
    <xdr:to>
      <xdr:col>1</xdr:col>
      <xdr:colOff>1550740</xdr:colOff>
      <xdr:row>50</xdr:row>
      <xdr:rowOff>1037901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6C8C43BC-5771-4CCF-AB3B-9B755BFCC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1810" y="48424081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69273</xdr:colOff>
      <xdr:row>54</xdr:row>
      <xdr:rowOff>69272</xdr:rowOff>
    </xdr:from>
    <xdr:to>
      <xdr:col>1</xdr:col>
      <xdr:colOff>1535221</xdr:colOff>
      <xdr:row>54</xdr:row>
      <xdr:rowOff>1047680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6D2A97CA-4187-48C5-8DD5-D189811D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51732872"/>
          <a:ext cx="1465948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</xdr:row>
      <xdr:rowOff>57150</xdr:rowOff>
    </xdr:from>
    <xdr:to>
      <xdr:col>1</xdr:col>
      <xdr:colOff>1558290</xdr:colOff>
      <xdr:row>9</xdr:row>
      <xdr:rowOff>1032510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5C29B9-6A5B-42D7-B731-C3AE3DE5B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7543800"/>
          <a:ext cx="1463040" cy="9753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21</xdr:row>
      <xdr:rowOff>76200</xdr:rowOff>
    </xdr:from>
    <xdr:to>
      <xdr:col>1</xdr:col>
      <xdr:colOff>1558290</xdr:colOff>
      <xdr:row>21</xdr:row>
      <xdr:rowOff>1052857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2C54B7E-6D4A-46B3-B459-74267120C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20821650"/>
          <a:ext cx="1463040" cy="97665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22</xdr:row>
      <xdr:rowOff>76200</xdr:rowOff>
    </xdr:from>
    <xdr:to>
      <xdr:col>1</xdr:col>
      <xdr:colOff>1558290</xdr:colOff>
      <xdr:row>22</xdr:row>
      <xdr:rowOff>1051560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9A84BE3-5BA3-4D9B-9E50-39D8DA369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21926550"/>
          <a:ext cx="1463040" cy="97536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52</xdr:row>
      <xdr:rowOff>38100</xdr:rowOff>
    </xdr:from>
    <xdr:to>
      <xdr:col>1</xdr:col>
      <xdr:colOff>1520190</xdr:colOff>
      <xdr:row>52</xdr:row>
      <xdr:rowOff>1013460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1E0292D-D10E-42E9-A472-2130D74FB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55035450"/>
          <a:ext cx="1463040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56</xdr:row>
      <xdr:rowOff>76200</xdr:rowOff>
    </xdr:from>
    <xdr:to>
      <xdr:col>0</xdr:col>
      <xdr:colOff>1257300</xdr:colOff>
      <xdr:row>56</xdr:row>
      <xdr:rowOff>838200</xdr:rowOff>
    </xdr:to>
    <xdr:pic>
      <xdr:nvPicPr>
        <xdr:cNvPr id="51" name="Picture 50" descr="A picture containing text, orange&#10;&#10;Description automatically generated">
          <a:extLst>
            <a:ext uri="{FF2B5EF4-FFF2-40B4-BE49-F238E27FC236}">
              <a16:creationId xmlns:a16="http://schemas.microsoft.com/office/drawing/2014/main" id="{668F70E0-29DA-4095-A1AF-D130FAB76E0A}"/>
            </a:ext>
          </a:extLst>
        </xdr:cNvPr>
        <xdr:cNvPicPr/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7226200"/>
          <a:ext cx="1085850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62346</xdr:colOff>
      <xdr:row>7</xdr:row>
      <xdr:rowOff>74466</xdr:rowOff>
    </xdr:from>
    <xdr:to>
      <xdr:col>1</xdr:col>
      <xdr:colOff>1529220</xdr:colOff>
      <xdr:row>7</xdr:row>
      <xdr:rowOff>1052874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49A4DF8D-B701-4AA9-8A76-02E932C41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0964" y="5394611"/>
          <a:ext cx="1466874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9</xdr:row>
      <xdr:rowOff>69273</xdr:rowOff>
    </xdr:from>
    <xdr:to>
      <xdr:col>1</xdr:col>
      <xdr:colOff>1524762</xdr:colOff>
      <xdr:row>9</xdr:row>
      <xdr:rowOff>1053124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F884B65A-35F6-46AD-9795-845F59B37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768" y="6504709"/>
          <a:ext cx="1467612" cy="98385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</xdr:row>
      <xdr:rowOff>76200</xdr:rowOff>
    </xdr:from>
    <xdr:to>
      <xdr:col>1</xdr:col>
      <xdr:colOff>1536683</xdr:colOff>
      <xdr:row>10</xdr:row>
      <xdr:rowOff>1060051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4654F331-0DBC-4248-925B-5F57B100D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7429500"/>
          <a:ext cx="1498583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62346</xdr:colOff>
      <xdr:row>11</xdr:row>
      <xdr:rowOff>96981</xdr:rowOff>
    </xdr:from>
    <xdr:to>
      <xdr:col>1</xdr:col>
      <xdr:colOff>1525386</xdr:colOff>
      <xdr:row>11</xdr:row>
      <xdr:rowOff>1005028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ADBAA288-6634-49DE-B6D1-B07C56B0D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0964" y="8762999"/>
          <a:ext cx="1463040" cy="908047"/>
        </a:xfrm>
        <a:prstGeom prst="rect">
          <a:avLst/>
        </a:prstGeom>
      </xdr:spPr>
    </xdr:pic>
    <xdr:clientData/>
  </xdr:twoCellAnchor>
  <xdr:twoCellAnchor editAs="oneCell">
    <xdr:from>
      <xdr:col>1</xdr:col>
      <xdr:colOff>65808</xdr:colOff>
      <xdr:row>13</xdr:row>
      <xdr:rowOff>71004</xdr:rowOff>
    </xdr:from>
    <xdr:to>
      <xdr:col>1</xdr:col>
      <xdr:colOff>1533420</xdr:colOff>
      <xdr:row>13</xdr:row>
      <xdr:rowOff>1054855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E7AE228D-F486-4BA2-B7BA-6F50D0090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426" y="10967604"/>
          <a:ext cx="1467612" cy="983851"/>
        </a:xfrm>
        <a:prstGeom prst="rect">
          <a:avLst/>
        </a:prstGeom>
      </xdr:spPr>
    </xdr:pic>
    <xdr:clientData/>
  </xdr:twoCellAnchor>
  <xdr:twoCellAnchor editAs="oneCell">
    <xdr:from>
      <xdr:col>1</xdr:col>
      <xdr:colOff>103908</xdr:colOff>
      <xdr:row>19</xdr:row>
      <xdr:rowOff>96984</xdr:rowOff>
    </xdr:from>
    <xdr:to>
      <xdr:col>1</xdr:col>
      <xdr:colOff>1569555</xdr:colOff>
      <xdr:row>19</xdr:row>
      <xdr:rowOff>1075392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C9A1F138-5061-48E5-8583-33ECFDBF2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4258" y="16441884"/>
          <a:ext cx="1465647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53685</xdr:colOff>
      <xdr:row>22</xdr:row>
      <xdr:rowOff>79662</xdr:rowOff>
    </xdr:from>
    <xdr:to>
      <xdr:col>1</xdr:col>
      <xdr:colOff>1521297</xdr:colOff>
      <xdr:row>22</xdr:row>
      <xdr:rowOff>1058070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7B6ADCF6-2AA4-4602-82B9-1A7048819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2303" y="19898589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45027</xdr:colOff>
      <xdr:row>24</xdr:row>
      <xdr:rowOff>76200</xdr:rowOff>
    </xdr:from>
    <xdr:to>
      <xdr:col>1</xdr:col>
      <xdr:colOff>1512639</xdr:colOff>
      <xdr:row>24</xdr:row>
      <xdr:rowOff>1060050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A146E96C-6DFC-4DBC-83A7-2E7EDB8E5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3645" y="22125709"/>
          <a:ext cx="1467612" cy="9838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27</xdr:row>
      <xdr:rowOff>65808</xdr:rowOff>
    </xdr:from>
    <xdr:to>
      <xdr:col>1</xdr:col>
      <xdr:colOff>1511209</xdr:colOff>
      <xdr:row>27</xdr:row>
      <xdr:rowOff>1044216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78102F7C-D5D7-47E1-8C1C-974FD75B7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6718" y="25461190"/>
          <a:ext cx="1473109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28</xdr:row>
      <xdr:rowOff>72735</xdr:rowOff>
    </xdr:from>
    <xdr:to>
      <xdr:col>1</xdr:col>
      <xdr:colOff>1530259</xdr:colOff>
      <xdr:row>28</xdr:row>
      <xdr:rowOff>1051143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35007FD0-73C3-4092-8CD2-589FF7089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768" y="26583408"/>
          <a:ext cx="1473109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88323</xdr:colOff>
      <xdr:row>29</xdr:row>
      <xdr:rowOff>67539</xdr:rowOff>
    </xdr:from>
    <xdr:to>
      <xdr:col>1</xdr:col>
      <xdr:colOff>1492987</xdr:colOff>
      <xdr:row>29</xdr:row>
      <xdr:rowOff>1045947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80B61D3-7E34-4514-8877-0482DC003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941" y="27693503"/>
          <a:ext cx="1404664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45027</xdr:colOff>
      <xdr:row>30</xdr:row>
      <xdr:rowOff>72735</xdr:rowOff>
    </xdr:from>
    <xdr:to>
      <xdr:col>1</xdr:col>
      <xdr:colOff>1512639</xdr:colOff>
      <xdr:row>30</xdr:row>
      <xdr:rowOff>1051143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B03E1B18-6483-4C9D-BA47-B967F2628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3645" y="28813990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32</xdr:row>
      <xdr:rowOff>69273</xdr:rowOff>
    </xdr:from>
    <xdr:to>
      <xdr:col>1</xdr:col>
      <xdr:colOff>1534215</xdr:colOff>
      <xdr:row>32</xdr:row>
      <xdr:rowOff>1053124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643ABF8C-5C47-43BC-BF77-35AA7CF23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768" y="31041109"/>
          <a:ext cx="1477065" cy="98385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33</xdr:row>
      <xdr:rowOff>171450</xdr:rowOff>
    </xdr:from>
    <xdr:to>
      <xdr:col>1</xdr:col>
      <xdr:colOff>1520190</xdr:colOff>
      <xdr:row>33</xdr:row>
      <xdr:rowOff>969434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C7249E96-8509-469E-8B34-C0E9E57B5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768" y="32258577"/>
          <a:ext cx="1463040" cy="79798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34</xdr:row>
      <xdr:rowOff>74466</xdr:rowOff>
    </xdr:from>
    <xdr:to>
      <xdr:col>1</xdr:col>
      <xdr:colOff>1543812</xdr:colOff>
      <xdr:row>34</xdr:row>
      <xdr:rowOff>1052874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A98914E-4A40-4F0C-B351-5E8AF2344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4818" y="33276884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36</xdr:row>
      <xdr:rowOff>71004</xdr:rowOff>
    </xdr:from>
    <xdr:to>
      <xdr:col>1</xdr:col>
      <xdr:colOff>1543812</xdr:colOff>
      <xdr:row>36</xdr:row>
      <xdr:rowOff>1054855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C3609C00-15C7-409E-AF55-5DCBAE9D9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4818" y="35504004"/>
          <a:ext cx="1467612" cy="98385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38</xdr:row>
      <xdr:rowOff>72741</xdr:rowOff>
    </xdr:from>
    <xdr:to>
      <xdr:col>1</xdr:col>
      <xdr:colOff>1534354</xdr:colOff>
      <xdr:row>38</xdr:row>
      <xdr:rowOff>1059725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38016E98-83E2-40B3-BB63-AE3FCB319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768" y="37736323"/>
          <a:ext cx="1477204" cy="986984"/>
        </a:xfrm>
        <a:prstGeom prst="rect">
          <a:avLst/>
        </a:prstGeom>
      </xdr:spPr>
    </xdr:pic>
    <xdr:clientData/>
  </xdr:twoCellAnchor>
  <xdr:twoCellAnchor editAs="oneCell">
    <xdr:from>
      <xdr:col>1</xdr:col>
      <xdr:colOff>60615</xdr:colOff>
      <xdr:row>39</xdr:row>
      <xdr:rowOff>81393</xdr:rowOff>
    </xdr:from>
    <xdr:to>
      <xdr:col>1</xdr:col>
      <xdr:colOff>1528038</xdr:colOff>
      <xdr:row>39</xdr:row>
      <xdr:rowOff>1059801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C0562B3B-5CB6-49D7-B377-59D813C7C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9233" y="38860266"/>
          <a:ext cx="1467423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65811</xdr:colOff>
      <xdr:row>12</xdr:row>
      <xdr:rowOff>38100</xdr:rowOff>
    </xdr:from>
    <xdr:to>
      <xdr:col>1</xdr:col>
      <xdr:colOff>1539191</xdr:colOff>
      <xdr:row>12</xdr:row>
      <xdr:rowOff>1016508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77AEF4-A677-43F6-BDC3-0A4E7BAF0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429" y="9819409"/>
          <a:ext cx="1473380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15</xdr:row>
      <xdr:rowOff>72735</xdr:rowOff>
    </xdr:from>
    <xdr:to>
      <xdr:col>1</xdr:col>
      <xdr:colOff>1515528</xdr:colOff>
      <xdr:row>15</xdr:row>
      <xdr:rowOff>1051143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8F37DD1-CAFC-44F9-B37B-7DAB9941E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4818" y="13199917"/>
          <a:ext cx="1439328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67642</xdr:colOff>
      <xdr:row>14</xdr:row>
      <xdr:rowOff>88423</xdr:rowOff>
    </xdr:from>
    <xdr:to>
      <xdr:col>1</xdr:col>
      <xdr:colOff>1530682</xdr:colOff>
      <xdr:row>14</xdr:row>
      <xdr:rowOff>1030444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61E1E7A-674C-4F81-AEEA-1AF56098A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6260" y="12100314"/>
          <a:ext cx="1463040" cy="942021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</xdr:colOff>
      <xdr:row>17</xdr:row>
      <xdr:rowOff>75383</xdr:rowOff>
    </xdr:from>
    <xdr:to>
      <xdr:col>1</xdr:col>
      <xdr:colOff>1545689</xdr:colOff>
      <xdr:row>17</xdr:row>
      <xdr:rowOff>1053791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4A58298-E2F0-4C1E-A133-EE7708FBD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3441" y="14317856"/>
          <a:ext cx="1500866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64791</xdr:colOff>
      <xdr:row>18</xdr:row>
      <xdr:rowOff>74570</xdr:rowOff>
    </xdr:from>
    <xdr:to>
      <xdr:col>1</xdr:col>
      <xdr:colOff>1532470</xdr:colOff>
      <xdr:row>18</xdr:row>
      <xdr:rowOff>1056179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A30C4DD6-3C0F-4C82-8854-F7FDA498A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3409" y="15432334"/>
          <a:ext cx="1467679" cy="981609"/>
        </a:xfrm>
        <a:prstGeom prst="rect">
          <a:avLst/>
        </a:prstGeom>
      </xdr:spPr>
    </xdr:pic>
    <xdr:clientData/>
  </xdr:twoCellAnchor>
  <xdr:twoCellAnchor editAs="oneCell">
    <xdr:from>
      <xdr:col>1</xdr:col>
      <xdr:colOff>62754</xdr:colOff>
      <xdr:row>20</xdr:row>
      <xdr:rowOff>68456</xdr:rowOff>
    </xdr:from>
    <xdr:to>
      <xdr:col>1</xdr:col>
      <xdr:colOff>1528417</xdr:colOff>
      <xdr:row>20</xdr:row>
      <xdr:rowOff>1046864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AA60091-8991-4315-A978-4A5B29482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1372" y="17656801"/>
          <a:ext cx="1465663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67293</xdr:colOff>
      <xdr:row>21</xdr:row>
      <xdr:rowOff>56407</xdr:rowOff>
    </xdr:from>
    <xdr:to>
      <xdr:col>1</xdr:col>
      <xdr:colOff>1539853</xdr:colOff>
      <xdr:row>21</xdr:row>
      <xdr:rowOff>1043721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E0E545A-0E56-4AF1-9EDD-CBA2D31BF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5911" y="18760043"/>
          <a:ext cx="1472560" cy="987314"/>
        </a:xfrm>
        <a:prstGeom prst="rect">
          <a:avLst/>
        </a:prstGeom>
      </xdr:spPr>
    </xdr:pic>
    <xdr:clientData/>
  </xdr:twoCellAnchor>
  <xdr:twoCellAnchor editAs="oneCell">
    <xdr:from>
      <xdr:col>1</xdr:col>
      <xdr:colOff>130627</xdr:colOff>
      <xdr:row>23</xdr:row>
      <xdr:rowOff>67293</xdr:rowOff>
    </xdr:from>
    <xdr:to>
      <xdr:col>1</xdr:col>
      <xdr:colOff>1435171</xdr:colOff>
      <xdr:row>23</xdr:row>
      <xdr:rowOff>1045701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ED1EF29-E63A-41BC-8E90-B6FDA40A1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9245" y="21001511"/>
          <a:ext cx="1304544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54429</xdr:colOff>
      <xdr:row>25</xdr:row>
      <xdr:rowOff>65314</xdr:rowOff>
    </xdr:from>
    <xdr:to>
      <xdr:col>1</xdr:col>
      <xdr:colOff>1520092</xdr:colOff>
      <xdr:row>25</xdr:row>
      <xdr:rowOff>1043722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A18D0AF-6838-4A2A-9CB9-A1E29B5DC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2058" y="22119771"/>
          <a:ext cx="1465663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43543</xdr:colOff>
      <xdr:row>26</xdr:row>
      <xdr:rowOff>75209</xdr:rowOff>
    </xdr:from>
    <xdr:to>
      <xdr:col>1</xdr:col>
      <xdr:colOff>1511302</xdr:colOff>
      <xdr:row>26</xdr:row>
      <xdr:rowOff>1045997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4ED6BB3-2A16-432F-930D-FBBE4B42B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2161" y="24355300"/>
          <a:ext cx="1467759" cy="970788"/>
        </a:xfrm>
        <a:prstGeom prst="rect">
          <a:avLst/>
        </a:prstGeom>
      </xdr:spPr>
    </xdr:pic>
    <xdr:clientData/>
  </xdr:twoCellAnchor>
  <xdr:twoCellAnchor editAs="oneCell">
    <xdr:from>
      <xdr:col>1</xdr:col>
      <xdr:colOff>61355</xdr:colOff>
      <xdr:row>31</xdr:row>
      <xdr:rowOff>67291</xdr:rowOff>
    </xdr:from>
    <xdr:to>
      <xdr:col>1</xdr:col>
      <xdr:colOff>1528967</xdr:colOff>
      <xdr:row>31</xdr:row>
      <xdr:rowOff>1045699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92DC8832-7CAD-44B9-9654-8E1582C26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9973" y="29923836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68282</xdr:colOff>
      <xdr:row>35</xdr:row>
      <xdr:rowOff>67293</xdr:rowOff>
    </xdr:from>
    <xdr:to>
      <xdr:col>1</xdr:col>
      <xdr:colOff>1534301</xdr:colOff>
      <xdr:row>35</xdr:row>
      <xdr:rowOff>1045701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C70FC3-041B-44CF-994C-44A7A74EF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6900" y="34385002"/>
          <a:ext cx="1466019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87086</xdr:colOff>
      <xdr:row>37</xdr:row>
      <xdr:rowOff>103907</xdr:rowOff>
    </xdr:from>
    <xdr:to>
      <xdr:col>1</xdr:col>
      <xdr:colOff>1559270</xdr:colOff>
      <xdr:row>37</xdr:row>
      <xdr:rowOff>1011969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4635E6C0-2474-46E6-BD5C-0B035B691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5704" y="36652198"/>
          <a:ext cx="1472184" cy="908062"/>
        </a:xfrm>
        <a:prstGeom prst="rect">
          <a:avLst/>
        </a:prstGeom>
      </xdr:spPr>
    </xdr:pic>
    <xdr:clientData/>
  </xdr:twoCellAnchor>
  <xdr:twoCellAnchor editAs="oneCell">
    <xdr:from>
      <xdr:col>1</xdr:col>
      <xdr:colOff>66304</xdr:colOff>
      <xdr:row>40</xdr:row>
      <xdr:rowOff>67295</xdr:rowOff>
    </xdr:from>
    <xdr:to>
      <xdr:col>1</xdr:col>
      <xdr:colOff>1533916</xdr:colOff>
      <xdr:row>40</xdr:row>
      <xdr:rowOff>1045703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4DAAFF-47D6-44F0-9999-6614CE6B1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922" y="39961459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8</xdr:row>
      <xdr:rowOff>114300</xdr:rowOff>
    </xdr:from>
    <xdr:to>
      <xdr:col>1</xdr:col>
      <xdr:colOff>1520190</xdr:colOff>
      <xdr:row>8</xdr:row>
      <xdr:rowOff>1089660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E930B5A3-5995-4138-9C5D-0CCA3522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6515100"/>
          <a:ext cx="1463040" cy="9753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16</xdr:row>
      <xdr:rowOff>76200</xdr:rowOff>
    </xdr:from>
    <xdr:to>
      <xdr:col>1</xdr:col>
      <xdr:colOff>1558290</xdr:colOff>
      <xdr:row>16</xdr:row>
      <xdr:rowOff>1051560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44A2AC09-53B4-4A77-ABDA-1B6044761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15316200"/>
          <a:ext cx="1463040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42</xdr:row>
      <xdr:rowOff>76200</xdr:rowOff>
    </xdr:from>
    <xdr:to>
      <xdr:col>0</xdr:col>
      <xdr:colOff>1276350</xdr:colOff>
      <xdr:row>42</xdr:row>
      <xdr:rowOff>838200</xdr:rowOff>
    </xdr:to>
    <xdr:pic>
      <xdr:nvPicPr>
        <xdr:cNvPr id="43" name="Picture 42" descr="A picture containing text, orange&#10;&#10;Description automatically generated">
          <a:extLst>
            <a:ext uri="{FF2B5EF4-FFF2-40B4-BE49-F238E27FC236}">
              <a16:creationId xmlns:a16="http://schemas.microsoft.com/office/drawing/2014/main" id="{786820BF-0AE9-46E2-9934-F90D1E1D12BA}"/>
            </a:ext>
          </a:extLst>
        </xdr:cNvPr>
        <xdr:cNvPicPr/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2119550"/>
          <a:ext cx="108585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ns-prod.azureedge.net/sites/default/files/cacfp/CACFP_childmealpattern.pdf" TargetMode="External"/><Relationship Id="rId2" Type="http://schemas.openxmlformats.org/officeDocument/2006/relationships/hyperlink" Target="https://foodbuyingguide.fns.usda.gov/" TargetMode="External"/><Relationship Id="rId1" Type="http://schemas.openxmlformats.org/officeDocument/2006/relationships/hyperlink" Target="http://www.ncagr.gov/markets/availabilitychart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fns-prod.azureedge.net/sites/default/files/cacfp/CACFP_childmealpattern.pdf" TargetMode="External"/><Relationship Id="rId2" Type="http://schemas.openxmlformats.org/officeDocument/2006/relationships/hyperlink" Target="https://foodbuyingguide.fns.usda.gov/" TargetMode="External"/><Relationship Id="rId1" Type="http://schemas.openxmlformats.org/officeDocument/2006/relationships/hyperlink" Target="http://www.ncagr.gov/markets/availabilitychart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cagr.gov/markets/availabilitychart.pdf" TargetMode="External"/><Relationship Id="rId2" Type="http://schemas.openxmlformats.org/officeDocument/2006/relationships/hyperlink" Target="https://foodbuyingguide.fns.usda.gov/" TargetMode="External"/><Relationship Id="rId1" Type="http://schemas.openxmlformats.org/officeDocument/2006/relationships/hyperlink" Target="http://www.ncagr.gov/markets/availabilitychart.pdf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fns-prod.azureedge.net/sites/default/files/cacfp/CACFP_childmealpatter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D0A0A-2B60-4FCF-B4EC-6A73D865FA57}">
  <dimension ref="A1:L35"/>
  <sheetViews>
    <sheetView tabSelected="1" zoomScale="40" zoomScaleNormal="40" workbookViewId="0">
      <pane ySplit="7" topLeftCell="A8" activePane="bottomLeft" state="frozen"/>
      <selection pane="bottomLeft" sqref="A1:K1"/>
    </sheetView>
  </sheetViews>
  <sheetFormatPr defaultRowHeight="23.4" x14ac:dyDescent="0.45"/>
  <cols>
    <col min="1" max="1" width="82" style="5" customWidth="1"/>
    <col min="2" max="2" width="24" style="5" customWidth="1"/>
    <col min="3" max="3" width="61.21875" style="5" customWidth="1"/>
    <col min="4" max="6" width="20.77734375" style="5" customWidth="1"/>
    <col min="7" max="7" width="20.77734375" style="7" customWidth="1"/>
    <col min="8" max="9" width="20.77734375" style="8" customWidth="1"/>
    <col min="10" max="10" width="20.88671875" style="3" customWidth="1"/>
    <col min="11" max="11" width="34.33203125" style="2" customWidth="1"/>
    <col min="12" max="12" width="8.88671875" customWidth="1"/>
  </cols>
  <sheetData>
    <row r="1" spans="1:11" ht="46.2" x14ac:dyDescent="0.85">
      <c r="A1" s="342" t="s">
        <v>30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1" ht="31.2" x14ac:dyDescent="0.6">
      <c r="A2" s="343" t="s">
        <v>122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11" ht="49.5" customHeight="1" x14ac:dyDescent="0.85">
      <c r="A3" s="342" t="s">
        <v>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</row>
    <row r="4" spans="1:11" ht="33.6" x14ac:dyDescent="0.65">
      <c r="A4" s="345" t="s">
        <v>119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</row>
    <row r="5" spans="1:11" ht="24" thickBot="1" x14ac:dyDescent="0.5"/>
    <row r="6" spans="1:11" s="10" customFormat="1" ht="57.6" customHeight="1" x14ac:dyDescent="0.6">
      <c r="A6" s="269" t="s">
        <v>0</v>
      </c>
      <c r="B6" s="346" t="s">
        <v>5</v>
      </c>
      <c r="C6" s="340"/>
      <c r="D6" s="338" t="s">
        <v>31</v>
      </c>
      <c r="E6" s="339"/>
      <c r="F6" s="340"/>
      <c r="G6" s="336" t="s">
        <v>1</v>
      </c>
      <c r="H6" s="336"/>
      <c r="I6" s="336"/>
      <c r="J6" s="336"/>
      <c r="K6" s="337"/>
    </row>
    <row r="7" spans="1:11" s="5" customFormat="1" ht="72" customHeight="1" x14ac:dyDescent="0.45">
      <c r="A7" s="199"/>
      <c r="B7" s="199"/>
      <c r="C7" s="200"/>
      <c r="D7" s="201" t="s">
        <v>150</v>
      </c>
      <c r="E7" s="202" t="s">
        <v>151</v>
      </c>
      <c r="F7" s="203" t="s">
        <v>152</v>
      </c>
      <c r="G7" s="204" t="s">
        <v>153</v>
      </c>
      <c r="H7" s="205" t="s">
        <v>154</v>
      </c>
      <c r="I7" s="205" t="s">
        <v>155</v>
      </c>
      <c r="J7" s="201" t="s">
        <v>156</v>
      </c>
      <c r="K7" s="270" t="s">
        <v>157</v>
      </c>
    </row>
    <row r="8" spans="1:11" s="16" customFormat="1" ht="87.75" customHeight="1" x14ac:dyDescent="0.3">
      <c r="A8" s="271" t="s">
        <v>63</v>
      </c>
      <c r="B8" s="192"/>
      <c r="C8" s="193" t="s">
        <v>18</v>
      </c>
      <c r="D8" s="194" t="s">
        <v>139</v>
      </c>
      <c r="E8" s="195" t="s">
        <v>140</v>
      </c>
      <c r="F8" s="196" t="s">
        <v>142</v>
      </c>
      <c r="G8" s="197" t="s">
        <v>143</v>
      </c>
      <c r="H8" s="198" t="s">
        <v>158</v>
      </c>
      <c r="I8" s="198" t="s">
        <v>160</v>
      </c>
      <c r="J8" s="315"/>
      <c r="K8" s="272" t="str">
        <f>CEILING(J8/(14.56/2), 0.25) &amp; IF(CEILING(J8/(14.56/2), 0.25) &gt;1, " pounds", " pound")</f>
        <v>0 pound</v>
      </c>
    </row>
    <row r="9" spans="1:11" s="16" customFormat="1" ht="87.75" customHeight="1" x14ac:dyDescent="0.3">
      <c r="A9" s="273" t="s">
        <v>53</v>
      </c>
      <c r="B9" s="58"/>
      <c r="C9" s="56" t="s">
        <v>47</v>
      </c>
      <c r="D9" s="25" t="s">
        <v>139</v>
      </c>
      <c r="E9" s="26" t="s">
        <v>140</v>
      </c>
      <c r="F9" s="27" t="s">
        <v>142</v>
      </c>
      <c r="G9" s="28" t="s">
        <v>144</v>
      </c>
      <c r="H9" s="29" t="s">
        <v>159</v>
      </c>
      <c r="I9" s="29" t="s">
        <v>172</v>
      </c>
      <c r="J9" s="316"/>
      <c r="K9" s="274" t="str">
        <f>CEILING(J9/(10.8/2), 0.25) &amp;  IF(CEILING(J9/(10.8/2), 0.25)&gt;1, " pounds", " pound")</f>
        <v>0 pound</v>
      </c>
    </row>
    <row r="10" spans="1:11" s="15" customFormat="1" ht="87.75" customHeight="1" x14ac:dyDescent="0.3">
      <c r="A10" s="59" t="s">
        <v>29</v>
      </c>
      <c r="B10" s="59"/>
      <c r="C10" s="136" t="s">
        <v>134</v>
      </c>
      <c r="D10" s="30" t="s">
        <v>139</v>
      </c>
      <c r="E10" s="31" t="s">
        <v>140</v>
      </c>
      <c r="F10" s="32" t="s">
        <v>142</v>
      </c>
      <c r="G10" s="33" t="s">
        <v>145</v>
      </c>
      <c r="H10" s="34" t="s">
        <v>160</v>
      </c>
      <c r="I10" s="34" t="s">
        <v>173</v>
      </c>
      <c r="J10" s="317"/>
      <c r="K10" s="275" t="str">
        <f>CEILING(J10/(7.2/2), 0.25) &amp;  IF(CEILING(J10/(7.2/2), 0.25) &gt;1, " pounds", " pound")</f>
        <v>0 pound</v>
      </c>
    </row>
    <row r="11" spans="1:11" s="15" customFormat="1" ht="87.75" customHeight="1" x14ac:dyDescent="0.3">
      <c r="A11" s="273" t="s">
        <v>87</v>
      </c>
      <c r="B11" s="58"/>
      <c r="C11" s="56" t="s">
        <v>19</v>
      </c>
      <c r="D11" s="25" t="s">
        <v>139</v>
      </c>
      <c r="E11" s="26" t="s">
        <v>140</v>
      </c>
      <c r="F11" s="27" t="s">
        <v>142</v>
      </c>
      <c r="G11" s="28" t="s">
        <v>144</v>
      </c>
      <c r="H11" s="29" t="s">
        <v>161</v>
      </c>
      <c r="I11" s="29" t="s">
        <v>174</v>
      </c>
      <c r="J11" s="316"/>
      <c r="K11" s="274" t="str">
        <f>CEILING(J11/(11.9/2), 0.25) &amp; IF(CEILING(J11/(11.9/2), 0.25) &gt;1, " pounds", " pound")</f>
        <v>0 pound</v>
      </c>
    </row>
    <row r="12" spans="1:11" s="16" customFormat="1" ht="87.75" customHeight="1" x14ac:dyDescent="0.3">
      <c r="A12" s="276" t="s">
        <v>65</v>
      </c>
      <c r="B12" s="59"/>
      <c r="C12" s="57" t="s">
        <v>19</v>
      </c>
      <c r="D12" s="30" t="s">
        <v>139</v>
      </c>
      <c r="E12" s="31" t="s">
        <v>140</v>
      </c>
      <c r="F12" s="32" t="s">
        <v>142</v>
      </c>
      <c r="G12" s="33" t="s">
        <v>144</v>
      </c>
      <c r="H12" s="34" t="s">
        <v>161</v>
      </c>
      <c r="I12" s="34" t="s">
        <v>174</v>
      </c>
      <c r="J12" s="317"/>
      <c r="K12" s="275" t="str">
        <f>CEILING(J12/(11.9/2), 0.25) &amp; IF(CEILING(J12/(11.9/2), 0.25)&gt;1, " pounds", " pound")</f>
        <v>0 pound</v>
      </c>
    </row>
    <row r="13" spans="1:11" s="15" customFormat="1" ht="87.75" customHeight="1" x14ac:dyDescent="0.3">
      <c r="A13" s="58" t="s">
        <v>105</v>
      </c>
      <c r="B13" s="58"/>
      <c r="C13" s="56" t="s">
        <v>16</v>
      </c>
      <c r="D13" s="25" t="s">
        <v>139</v>
      </c>
      <c r="E13" s="26" t="s">
        <v>141</v>
      </c>
      <c r="F13" s="27" t="s">
        <v>142</v>
      </c>
      <c r="G13" s="28" t="s">
        <v>146</v>
      </c>
      <c r="H13" s="29" t="s">
        <v>162</v>
      </c>
      <c r="I13" s="29" t="s">
        <v>175</v>
      </c>
      <c r="J13" s="316"/>
      <c r="K13" s="274" t="str">
        <f>CEILING(J13/(5.73/2), 0.25) &amp;  IF(CEILING(J13/(5.73/2), 0.25) &gt;1, " pounds", " pound")</f>
        <v>0 pound</v>
      </c>
    </row>
    <row r="14" spans="1:11" s="15" customFormat="1" ht="87.75" customHeight="1" x14ac:dyDescent="0.3">
      <c r="A14" s="59" t="s">
        <v>54</v>
      </c>
      <c r="B14" s="59"/>
      <c r="C14" s="57" t="s">
        <v>135</v>
      </c>
      <c r="D14" s="30" t="s">
        <v>139</v>
      </c>
      <c r="E14" s="31" t="s">
        <v>140</v>
      </c>
      <c r="F14" s="32" t="s">
        <v>142</v>
      </c>
      <c r="G14" s="33" t="s">
        <v>147</v>
      </c>
      <c r="H14" s="69" t="s">
        <v>163</v>
      </c>
      <c r="I14" s="34" t="s">
        <v>176</v>
      </c>
      <c r="J14" s="317"/>
      <c r="K14" s="275" t="str">
        <f>CEILING(J14/((6*(3/8))/(1/2)), 0.25) &amp;  IF(CEILING(J14/((6*(3/8))/(1/2)), 0.25) &gt;1, " pounds", " pound")</f>
        <v>0 pound</v>
      </c>
    </row>
    <row r="15" spans="1:11" s="15" customFormat="1" ht="87.75" customHeight="1" x14ac:dyDescent="0.3">
      <c r="A15" s="58" t="s">
        <v>55</v>
      </c>
      <c r="B15" s="58"/>
      <c r="C15" s="56" t="s">
        <v>32</v>
      </c>
      <c r="D15" s="25" t="s">
        <v>139</v>
      </c>
      <c r="E15" s="26" t="s">
        <v>140</v>
      </c>
      <c r="F15" s="27" t="s">
        <v>142</v>
      </c>
      <c r="G15" s="28" t="s">
        <v>147</v>
      </c>
      <c r="H15" s="85" t="s">
        <v>164</v>
      </c>
      <c r="I15" s="29" t="s">
        <v>177</v>
      </c>
      <c r="J15" s="316"/>
      <c r="K15" s="274" t="str">
        <f>CEILING(J15/(9.27/2), 0.25) &amp;  IF(CEILING(J15/(9.27/2), 0.25) &gt;1, " pounds", " pound")</f>
        <v>0 pound</v>
      </c>
    </row>
    <row r="16" spans="1:11" s="15" customFormat="1" ht="87.75" customHeight="1" x14ac:dyDescent="0.3">
      <c r="A16" s="59" t="s">
        <v>74</v>
      </c>
      <c r="B16" s="59"/>
      <c r="C16" s="57" t="s">
        <v>33</v>
      </c>
      <c r="D16" s="30" t="s">
        <v>139</v>
      </c>
      <c r="E16" s="31" t="s">
        <v>140</v>
      </c>
      <c r="F16" s="32" t="s">
        <v>142</v>
      </c>
      <c r="G16" s="33" t="s">
        <v>148</v>
      </c>
      <c r="H16" s="69" t="s">
        <v>165</v>
      </c>
      <c r="I16" s="34" t="s">
        <v>178</v>
      </c>
      <c r="J16" s="317"/>
      <c r="K16" s="275" t="str">
        <f>CEILING(J16/(4.9/2), 0.25) &amp;  IF(CEILING(J16/(4.9/2), 0.25) &gt;1, " pounds", " pound")</f>
        <v>0 pound</v>
      </c>
    </row>
    <row r="17" spans="1:12" s="15" customFormat="1" ht="87.75" customHeight="1" x14ac:dyDescent="0.3">
      <c r="A17" s="58" t="s">
        <v>56</v>
      </c>
      <c r="B17" s="58"/>
      <c r="C17" s="56" t="s">
        <v>136</v>
      </c>
      <c r="D17" s="25" t="s">
        <v>139</v>
      </c>
      <c r="E17" s="26" t="s">
        <v>140</v>
      </c>
      <c r="F17" s="27" t="s">
        <v>142</v>
      </c>
      <c r="G17" s="28" t="s">
        <v>147</v>
      </c>
      <c r="H17" s="85" t="s">
        <v>163</v>
      </c>
      <c r="I17" s="29" t="s">
        <v>176</v>
      </c>
      <c r="J17" s="316"/>
      <c r="K17" s="274" t="str">
        <f>CEILING(J17/(8.99/2), 0.25) &amp; IF(CEILING(J17/(8.99/2), 0.25) &gt;1, " pounds", " pound")</f>
        <v>0 pound</v>
      </c>
    </row>
    <row r="18" spans="1:12" s="15" customFormat="1" ht="87.75" customHeight="1" x14ac:dyDescent="0.3">
      <c r="A18" s="276" t="s">
        <v>88</v>
      </c>
      <c r="B18" s="59"/>
      <c r="C18" s="57" t="s">
        <v>36</v>
      </c>
      <c r="D18" s="30" t="s">
        <v>139</v>
      </c>
      <c r="E18" s="31" t="s">
        <v>140</v>
      </c>
      <c r="F18" s="32" t="s">
        <v>142</v>
      </c>
      <c r="G18" s="33" t="s">
        <v>144</v>
      </c>
      <c r="H18" s="69" t="s">
        <v>159</v>
      </c>
      <c r="I18" s="34" t="s">
        <v>172</v>
      </c>
      <c r="J18" s="317"/>
      <c r="K18" s="275" t="str">
        <f>CEILING(J18/(10.7/2), 0.25) &amp; IF(CEILING(J18/(10.7/2), 0.25) &gt;1, " pounds", " pound")</f>
        <v>0 pound</v>
      </c>
    </row>
    <row r="19" spans="1:12" s="16" customFormat="1" ht="87.75" customHeight="1" x14ac:dyDescent="0.3">
      <c r="A19" s="58" t="s">
        <v>46</v>
      </c>
      <c r="B19" s="58"/>
      <c r="C19" s="56" t="s">
        <v>137</v>
      </c>
      <c r="D19" s="25" t="s">
        <v>139</v>
      </c>
      <c r="E19" s="26" t="s">
        <v>140</v>
      </c>
      <c r="F19" s="27" t="s">
        <v>142</v>
      </c>
      <c r="G19" s="28" t="s">
        <v>149</v>
      </c>
      <c r="H19" s="29" t="s">
        <v>166</v>
      </c>
      <c r="I19" s="29" t="s">
        <v>179</v>
      </c>
      <c r="J19" s="316"/>
      <c r="K19" s="274" t="str">
        <f>CEILING(J19/(3.5/2), 0.25) &amp; IF(CEILING(J19/(3.5/2), 0.25) &gt;1, " pounds", " pound")</f>
        <v>0 pound</v>
      </c>
    </row>
    <row r="20" spans="1:12" s="16" customFormat="1" ht="87.75" customHeight="1" x14ac:dyDescent="0.3">
      <c r="A20" s="59" t="s">
        <v>89</v>
      </c>
      <c r="B20" s="59"/>
      <c r="C20" s="57" t="s">
        <v>48</v>
      </c>
      <c r="D20" s="30" t="s">
        <v>139</v>
      </c>
      <c r="E20" s="31" t="s">
        <v>140</v>
      </c>
      <c r="F20" s="32" t="s">
        <v>142</v>
      </c>
      <c r="G20" s="33" t="s">
        <v>144</v>
      </c>
      <c r="H20" s="34" t="s">
        <v>159</v>
      </c>
      <c r="I20" s="34" t="s">
        <v>172</v>
      </c>
      <c r="J20" s="317"/>
      <c r="K20" s="275" t="str">
        <f>CEILING(J20/(10.7/2), 0.25) &amp; IF(CEILING(J20/(10.7/2), 0.25)&gt;1, " pounds", " pound")</f>
        <v>0 pound</v>
      </c>
    </row>
    <row r="21" spans="1:12" s="16" customFormat="1" ht="87.75" customHeight="1" x14ac:dyDescent="0.3">
      <c r="A21" s="58" t="s">
        <v>78</v>
      </c>
      <c r="B21" s="58"/>
      <c r="C21" s="56" t="s">
        <v>49</v>
      </c>
      <c r="D21" s="25" t="s">
        <v>139</v>
      </c>
      <c r="E21" s="26" t="s">
        <v>140</v>
      </c>
      <c r="F21" s="27" t="s">
        <v>142</v>
      </c>
      <c r="G21" s="28" t="s">
        <v>145</v>
      </c>
      <c r="H21" s="29" t="s">
        <v>167</v>
      </c>
      <c r="I21" s="29" t="s">
        <v>180</v>
      </c>
      <c r="J21" s="316"/>
      <c r="K21" s="274" t="str">
        <f>CEILING(J21/(7.9/2), 0.25) &amp;  IF(CEILING(J21/(7.9/2), 0.25) &gt;1, " pounds", " pound")</f>
        <v>0 pound</v>
      </c>
    </row>
    <row r="22" spans="1:12" s="16" customFormat="1" ht="87.75" customHeight="1" x14ac:dyDescent="0.3">
      <c r="A22" s="59" t="s">
        <v>90</v>
      </c>
      <c r="B22" s="59"/>
      <c r="C22" s="57" t="s">
        <v>50</v>
      </c>
      <c r="D22" s="30" t="s">
        <v>139</v>
      </c>
      <c r="E22" s="31" t="s">
        <v>140</v>
      </c>
      <c r="F22" s="32" t="s">
        <v>142</v>
      </c>
      <c r="G22" s="33" t="s">
        <v>143</v>
      </c>
      <c r="H22" s="34" t="s">
        <v>168</v>
      </c>
      <c r="I22" s="34" t="s">
        <v>167</v>
      </c>
      <c r="J22" s="317"/>
      <c r="K22" s="275" t="str">
        <f>CEILING(J22/(15.7/2), 0.25) &amp;  IF(CEILING(J22/(15.7/2), 0.25) &gt;1, " pounds", " pound")</f>
        <v>0 pound</v>
      </c>
    </row>
    <row r="23" spans="1:12" s="16" customFormat="1" ht="87.75" customHeight="1" x14ac:dyDescent="0.3">
      <c r="A23" s="58" t="s">
        <v>58</v>
      </c>
      <c r="B23" s="58"/>
      <c r="C23" s="56" t="s">
        <v>51</v>
      </c>
      <c r="D23" s="25" t="s">
        <v>139</v>
      </c>
      <c r="E23" s="26" t="s">
        <v>140</v>
      </c>
      <c r="F23" s="27" t="s">
        <v>142</v>
      </c>
      <c r="G23" s="28" t="s">
        <v>146</v>
      </c>
      <c r="H23" s="29" t="s">
        <v>169</v>
      </c>
      <c r="I23" s="85" t="s">
        <v>181</v>
      </c>
      <c r="J23" s="316"/>
      <c r="K23" s="274" t="str">
        <f>CEILING(J23/(6.4/2), 0.25) &amp;  IF(CEILING(J23/(6.4/2), 0.25)&gt;1, " pounds", " pound")</f>
        <v>0 pound</v>
      </c>
    </row>
    <row r="24" spans="1:12" s="16" customFormat="1" ht="87.75" customHeight="1" x14ac:dyDescent="0.3">
      <c r="A24" s="59" t="s">
        <v>91</v>
      </c>
      <c r="B24" s="59"/>
      <c r="C24" s="57" t="s">
        <v>37</v>
      </c>
      <c r="D24" s="30" t="s">
        <v>139</v>
      </c>
      <c r="E24" s="31" t="s">
        <v>140</v>
      </c>
      <c r="F24" s="32" t="s">
        <v>142</v>
      </c>
      <c r="G24" s="33" t="s">
        <v>144</v>
      </c>
      <c r="H24" s="34" t="s">
        <v>159</v>
      </c>
      <c r="I24" s="34" t="s">
        <v>172</v>
      </c>
      <c r="J24" s="317"/>
      <c r="K24" s="275" t="str">
        <f>CEILING(J24/(10.7/2), 0.25) &amp;  IF(CEILING(J24/(10.7/2), 0.25) &gt;1, " pounds", " pound")</f>
        <v>0 pound</v>
      </c>
    </row>
    <row r="25" spans="1:12" s="16" customFormat="1" ht="87.75" customHeight="1" x14ac:dyDescent="0.3">
      <c r="A25" s="273" t="s">
        <v>106</v>
      </c>
      <c r="B25" s="58"/>
      <c r="C25" s="56" t="s">
        <v>19</v>
      </c>
      <c r="D25" s="25" t="s">
        <v>139</v>
      </c>
      <c r="E25" s="26" t="s">
        <v>140</v>
      </c>
      <c r="F25" s="27" t="s">
        <v>142</v>
      </c>
      <c r="G25" s="28" t="s">
        <v>144</v>
      </c>
      <c r="H25" s="29" t="s">
        <v>161</v>
      </c>
      <c r="I25" s="29" t="s">
        <v>174</v>
      </c>
      <c r="J25" s="316"/>
      <c r="K25" s="274" t="str">
        <f>CEILING(J25/(12.1/2), 0.25) &amp;  IF(CEILING(J25/(12.1/2), 0.25)&gt;1, " pounds", " pound")</f>
        <v>0 pound</v>
      </c>
    </row>
    <row r="26" spans="1:12" s="16" customFormat="1" ht="87.75" customHeight="1" x14ac:dyDescent="0.3">
      <c r="A26" s="59" t="s">
        <v>92</v>
      </c>
      <c r="B26" s="59"/>
      <c r="C26" s="57" t="s">
        <v>48</v>
      </c>
      <c r="D26" s="30" t="s">
        <v>139</v>
      </c>
      <c r="E26" s="31" t="s">
        <v>140</v>
      </c>
      <c r="F26" s="32" t="s">
        <v>142</v>
      </c>
      <c r="G26" s="33" t="s">
        <v>144</v>
      </c>
      <c r="H26" s="34" t="s">
        <v>170</v>
      </c>
      <c r="I26" s="34" t="s">
        <v>182</v>
      </c>
      <c r="J26" s="317"/>
      <c r="K26" s="275" t="str">
        <f>CEILING(J26/(10.5/2), 0.25) &amp;  IF(CEILING(J26/(10.5/2), 0.25) &gt;1, " pounds", " pound")</f>
        <v>0 pound</v>
      </c>
    </row>
    <row r="27" spans="1:12" s="16" customFormat="1" ht="87.75" customHeight="1" x14ac:dyDescent="0.3">
      <c r="A27" s="102" t="s">
        <v>61</v>
      </c>
      <c r="B27" s="102"/>
      <c r="C27" s="103" t="s">
        <v>138</v>
      </c>
      <c r="D27" s="104" t="s">
        <v>139</v>
      </c>
      <c r="E27" s="105" t="s">
        <v>140</v>
      </c>
      <c r="F27" s="106" t="s">
        <v>142</v>
      </c>
      <c r="G27" s="107" t="s">
        <v>144</v>
      </c>
      <c r="H27" s="108" t="s">
        <v>170</v>
      </c>
      <c r="I27" s="108" t="s">
        <v>183</v>
      </c>
      <c r="J27" s="318"/>
      <c r="K27" s="277" t="str">
        <f>CEILING(J27/5, 0.25) &amp;  IF(CEILING(J27/5, 0.25) &gt;1, " pounds", " pound")</f>
        <v>0 pound</v>
      </c>
    </row>
    <row r="28" spans="1:12" s="15" customFormat="1" ht="87.75" customHeight="1" thickBot="1" x14ac:dyDescent="0.35">
      <c r="A28" s="278" t="s">
        <v>93</v>
      </c>
      <c r="B28" s="279"/>
      <c r="C28" s="280" t="s">
        <v>15</v>
      </c>
      <c r="D28" s="281" t="s">
        <v>139</v>
      </c>
      <c r="E28" s="282" t="s">
        <v>140</v>
      </c>
      <c r="F28" s="283" t="s">
        <v>142</v>
      </c>
      <c r="G28" s="284" t="s">
        <v>146</v>
      </c>
      <c r="H28" s="285" t="s">
        <v>171</v>
      </c>
      <c r="I28" s="285" t="s">
        <v>184</v>
      </c>
      <c r="J28" s="319"/>
      <c r="K28" s="286" t="str">
        <f>CEILING(J28/(6.1/2), 0.25) &amp;  IF(CEILING(J28/(6.1/2), 0.25)&gt;1, " pounds", " pound")</f>
        <v>0 pound</v>
      </c>
    </row>
    <row r="29" spans="1:12" ht="23.4" customHeight="1" x14ac:dyDescent="0.45"/>
    <row r="30" spans="1:12" ht="68.400000000000006" customHeight="1" x14ac:dyDescent="0.3">
      <c r="A30" s="347" t="s">
        <v>257</v>
      </c>
      <c r="B30" s="347"/>
      <c r="C30" s="347"/>
      <c r="D30" s="347"/>
      <c r="E30" s="347"/>
      <c r="F30" s="347"/>
      <c r="G30" s="347"/>
      <c r="H30" s="347"/>
      <c r="I30" s="347"/>
      <c r="J30" s="347"/>
      <c r="K30" s="347"/>
    </row>
    <row r="31" spans="1:12" ht="40.950000000000003" customHeight="1" x14ac:dyDescent="0.6">
      <c r="A31" s="327" t="s">
        <v>123</v>
      </c>
      <c r="B31" s="341" t="s">
        <v>256</v>
      </c>
      <c r="C31" s="341"/>
      <c r="D31" s="341"/>
      <c r="E31" s="341"/>
      <c r="F31" s="341"/>
      <c r="G31" s="341"/>
      <c r="H31" s="341"/>
      <c r="I31" s="341"/>
      <c r="J31" s="341"/>
      <c r="K31" s="341"/>
      <c r="L31" s="64"/>
    </row>
    <row r="32" spans="1:12" ht="40.950000000000003" customHeight="1" x14ac:dyDescent="0.6">
      <c r="A32" s="335" t="s">
        <v>258</v>
      </c>
      <c r="B32" s="335"/>
      <c r="C32" s="335"/>
      <c r="D32" s="335"/>
      <c r="E32" s="335"/>
      <c r="F32" s="335"/>
      <c r="G32" s="335"/>
      <c r="H32" s="335"/>
      <c r="I32" s="335"/>
      <c r="J32" s="335"/>
      <c r="K32" s="335"/>
    </row>
    <row r="33" spans="1:11" ht="40.950000000000003" customHeight="1" x14ac:dyDescent="0.6">
      <c r="A33" s="335" t="s">
        <v>131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35"/>
    </row>
    <row r="34" spans="1:11" ht="40.950000000000003" customHeight="1" x14ac:dyDescent="0.6">
      <c r="A34" s="341" t="s">
        <v>124</v>
      </c>
      <c r="B34" s="341"/>
      <c r="C34" s="341"/>
      <c r="D34" s="341"/>
      <c r="E34" s="341"/>
      <c r="F34" s="341"/>
      <c r="G34" s="341"/>
      <c r="H34" s="341"/>
      <c r="I34" s="341"/>
      <c r="J34" s="341"/>
      <c r="K34" s="341"/>
    </row>
    <row r="35" spans="1:11" ht="40.950000000000003" customHeight="1" x14ac:dyDescent="0.6">
      <c r="A35" s="329" t="s">
        <v>125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</sheetData>
  <sheetProtection algorithmName="SHA-512" hashValue="q64MmIZV3M9q5w0LbPm8zAMIOjo4MbizXmT72RpuwZaG06qx279jGy5YePttlF5zq3KIbjYMNopIDLTNULZ8gQ==" saltValue="1VVsVFOhZ66q34ikEAh9qg==" spinCount="100000" sheet="1" objects="1" scenarios="1"/>
  <mergeCells count="12">
    <mergeCell ref="A33:K33"/>
    <mergeCell ref="G6:K6"/>
    <mergeCell ref="D6:F6"/>
    <mergeCell ref="A34:K34"/>
    <mergeCell ref="A1:K1"/>
    <mergeCell ref="A2:K2"/>
    <mergeCell ref="A3:K3"/>
    <mergeCell ref="A4:K4"/>
    <mergeCell ref="A32:K32"/>
    <mergeCell ref="B6:C6"/>
    <mergeCell ref="B31:K31"/>
    <mergeCell ref="A30:K30"/>
  </mergeCells>
  <phoneticPr fontId="16" type="noConversion"/>
  <hyperlinks>
    <hyperlink ref="B31:K31" r:id="rId1" display="For seasonal produce, see What’s in Season? North Carolina Fruit and Vegetable Availability." xr:uid="{0122D757-C8C8-4144-9BE0-726BE0467D62}"/>
    <hyperlink ref="A34:C34" r:id="rId2" display="Source: Food Buying Guide for Child Nutrition Programs " xr:uid="{49FF7407-9EE3-47EB-AE1A-A0EDB873AC80}"/>
    <hyperlink ref="A35" r:id="rId3" xr:uid="{09E18EC4-A844-42BD-A726-9F54971E0455}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4BC49-B72D-4169-AEAD-A465CA3F4B14}">
  <dimension ref="A1:AA63"/>
  <sheetViews>
    <sheetView zoomScale="40" zoomScaleNormal="40"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R1"/>
    </sheetView>
  </sheetViews>
  <sheetFormatPr defaultRowHeight="23.4" x14ac:dyDescent="0.45"/>
  <cols>
    <col min="1" max="1" width="101.109375" style="5" customWidth="1"/>
    <col min="2" max="2" width="24.88671875" style="1" customWidth="1"/>
    <col min="3" max="3" width="61.21875" style="5" customWidth="1"/>
    <col min="4" max="4" width="20.77734375" style="9" customWidth="1"/>
    <col min="5" max="6" width="20.77734375" style="6" customWidth="1"/>
    <col min="7" max="7" width="20.77734375" style="9" customWidth="1"/>
    <col min="8" max="12" width="20.77734375" style="6" customWidth="1"/>
    <col min="13" max="13" width="20.77734375" style="4" customWidth="1"/>
    <col min="14" max="15" width="20.77734375" style="2" customWidth="1"/>
    <col min="16" max="16" width="34" style="2" customWidth="1"/>
    <col min="17" max="17" width="34" style="3" customWidth="1"/>
    <col min="18" max="18" width="46.6640625" style="2" customWidth="1"/>
    <col min="19" max="20" width="8.88671875" customWidth="1"/>
  </cols>
  <sheetData>
    <row r="1" spans="1:19" ht="46.5" customHeight="1" x14ac:dyDescent="0.85">
      <c r="A1" s="342" t="s">
        <v>30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11"/>
    </row>
    <row r="2" spans="1:19" ht="34.5" customHeight="1" x14ac:dyDescent="0.6">
      <c r="A2" s="343" t="s">
        <v>122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12"/>
    </row>
    <row r="3" spans="1:19" ht="45" customHeight="1" x14ac:dyDescent="0.85">
      <c r="A3" s="342" t="s">
        <v>3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12"/>
    </row>
    <row r="4" spans="1:19" ht="33.75" customHeight="1" x14ac:dyDescent="0.65">
      <c r="A4" s="345" t="s">
        <v>120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13"/>
    </row>
    <row r="5" spans="1:19" ht="24" thickBot="1" x14ac:dyDescent="0.5"/>
    <row r="6" spans="1:19" ht="57.6" customHeight="1" thickBot="1" x14ac:dyDescent="0.35">
      <c r="A6" s="303" t="s">
        <v>0</v>
      </c>
      <c r="B6" s="354" t="s">
        <v>5</v>
      </c>
      <c r="C6" s="355"/>
      <c r="D6" s="348" t="s">
        <v>31</v>
      </c>
      <c r="E6" s="349"/>
      <c r="F6" s="349"/>
      <c r="G6" s="349"/>
      <c r="H6" s="349"/>
      <c r="I6" s="350"/>
      <c r="J6" s="351" t="s">
        <v>1</v>
      </c>
      <c r="K6" s="352"/>
      <c r="L6" s="352"/>
      <c r="M6" s="352"/>
      <c r="N6" s="352"/>
      <c r="O6" s="352"/>
      <c r="P6" s="352"/>
      <c r="Q6" s="352"/>
      <c r="R6" s="353"/>
    </row>
    <row r="7" spans="1:19" ht="72" customHeight="1" thickBot="1" x14ac:dyDescent="0.55000000000000004">
      <c r="A7" s="138"/>
      <c r="B7" s="139"/>
      <c r="C7" s="140"/>
      <c r="D7" s="359" t="s">
        <v>236</v>
      </c>
      <c r="E7" s="360"/>
      <c r="F7" s="361"/>
      <c r="G7" s="359" t="s">
        <v>237</v>
      </c>
      <c r="H7" s="360"/>
      <c r="I7" s="361"/>
      <c r="J7" s="359" t="s">
        <v>236</v>
      </c>
      <c r="K7" s="360"/>
      <c r="L7" s="361"/>
      <c r="M7" s="359" t="s">
        <v>237</v>
      </c>
      <c r="N7" s="360"/>
      <c r="O7" s="361"/>
      <c r="P7" s="357" t="s">
        <v>6</v>
      </c>
      <c r="Q7" s="358"/>
      <c r="R7" s="304" t="s">
        <v>1</v>
      </c>
    </row>
    <row r="8" spans="1:19" s="1" customFormat="1" ht="75.599999999999994" customHeight="1" x14ac:dyDescent="0.5">
      <c r="A8" s="234"/>
      <c r="B8" s="235"/>
      <c r="C8" s="236"/>
      <c r="D8" s="237" t="s">
        <v>150</v>
      </c>
      <c r="E8" s="238" t="s">
        <v>151</v>
      </c>
      <c r="F8" s="239" t="s">
        <v>152</v>
      </c>
      <c r="G8" s="237" t="s">
        <v>150</v>
      </c>
      <c r="H8" s="238" t="s">
        <v>151</v>
      </c>
      <c r="I8" s="239" t="s">
        <v>152</v>
      </c>
      <c r="J8" s="240" t="s">
        <v>150</v>
      </c>
      <c r="K8" s="238" t="s">
        <v>233</v>
      </c>
      <c r="L8" s="239" t="s">
        <v>234</v>
      </c>
      <c r="M8" s="240" t="s">
        <v>235</v>
      </c>
      <c r="N8" s="238" t="s">
        <v>233</v>
      </c>
      <c r="O8" s="239" t="s">
        <v>234</v>
      </c>
      <c r="P8" s="241" t="s">
        <v>110</v>
      </c>
      <c r="Q8" s="190" t="s">
        <v>238</v>
      </c>
      <c r="R8" s="191" t="s">
        <v>1</v>
      </c>
    </row>
    <row r="9" spans="1:19" s="15" customFormat="1" ht="87.75" customHeight="1" x14ac:dyDescent="0.3">
      <c r="A9" s="229" t="s">
        <v>63</v>
      </c>
      <c r="B9" s="230"/>
      <c r="C9" s="231" t="s">
        <v>14</v>
      </c>
      <c r="D9" s="330"/>
      <c r="E9" s="331"/>
      <c r="F9" s="332"/>
      <c r="G9" s="160" t="s">
        <v>242</v>
      </c>
      <c r="H9" s="161" t="s">
        <v>243</v>
      </c>
      <c r="I9" s="162" t="s">
        <v>140</v>
      </c>
      <c r="J9" s="307"/>
      <c r="K9" s="333"/>
      <c r="L9" s="334"/>
      <c r="M9" s="308" t="s">
        <v>244</v>
      </c>
      <c r="N9" s="309" t="s">
        <v>146</v>
      </c>
      <c r="O9" s="310" t="s">
        <v>158</v>
      </c>
      <c r="P9" s="223"/>
      <c r="Q9" s="224"/>
      <c r="R9" s="163" t="str">
        <f>CEILING(Q9/14.56, 0.25) &amp;  IF(CEILING(Q9/14.56, 0.25)&gt;1, " pounds", " pound")</f>
        <v>0 pound</v>
      </c>
    </row>
    <row r="10" spans="1:19" s="15" customFormat="1" ht="87.75" customHeight="1" x14ac:dyDescent="0.3">
      <c r="A10" s="206" t="s">
        <v>116</v>
      </c>
      <c r="B10" s="207"/>
      <c r="C10" s="54" t="s">
        <v>188</v>
      </c>
      <c r="D10" s="154" t="s">
        <v>139</v>
      </c>
      <c r="E10" s="21" t="s">
        <v>140</v>
      </c>
      <c r="F10" s="22" t="s">
        <v>142</v>
      </c>
      <c r="G10" s="20" t="s">
        <v>242</v>
      </c>
      <c r="H10" s="21" t="s">
        <v>243</v>
      </c>
      <c r="I10" s="22" t="s">
        <v>140</v>
      </c>
      <c r="J10" s="305" t="s">
        <v>199</v>
      </c>
      <c r="K10" s="208" t="s">
        <v>245</v>
      </c>
      <c r="L10" s="306" t="s">
        <v>248</v>
      </c>
      <c r="M10" s="118" t="s">
        <v>144</v>
      </c>
      <c r="N10" s="122" t="s">
        <v>159</v>
      </c>
      <c r="O10" s="123" t="s">
        <v>245</v>
      </c>
      <c r="P10" s="324"/>
      <c r="Q10" s="321"/>
      <c r="R10" s="141" t="str">
        <f>IF(AND(P10&lt;&gt;"",Q10&lt;&gt;""),"Error! Two different kinds of vegetables must be served",(IF(P10&lt;&gt;"",CEILING(P10/(5.52/2),0.25)&amp; IF(  CEILING(P10/(5.52/2),0.25)&gt; 1, " pounds", " pound"),CEILING(Q10/5.52,0.25)&amp;IF( CEILING(Q10/5.52,0.25) &gt; 1, " pounds", " pound"))))</f>
        <v>0 pound</v>
      </c>
    </row>
    <row r="11" spans="1:19" s="15" customFormat="1" ht="87.75" customHeight="1" x14ac:dyDescent="0.3">
      <c r="A11" s="67" t="s">
        <v>29</v>
      </c>
      <c r="B11" s="53"/>
      <c r="C11" s="55" t="s">
        <v>134</v>
      </c>
      <c r="D11" s="295"/>
      <c r="E11" s="296"/>
      <c r="F11" s="297"/>
      <c r="G11" s="17" t="s">
        <v>242</v>
      </c>
      <c r="H11" s="18" t="s">
        <v>243</v>
      </c>
      <c r="I11" s="19" t="s">
        <v>140</v>
      </c>
      <c r="J11" s="294"/>
      <c r="K11" s="292"/>
      <c r="L11" s="293"/>
      <c r="M11" s="119" t="s">
        <v>143</v>
      </c>
      <c r="N11" s="120" t="s">
        <v>158</v>
      </c>
      <c r="O11" s="121" t="s">
        <v>160</v>
      </c>
      <c r="P11" s="225"/>
      <c r="Q11" s="143"/>
      <c r="R11" s="152" t="str">
        <f>CEILING(Q11/7.2,0.25)  &amp;  IF(CEILING(Q11/7.2,0.25) &gt; 1, " pounds", " pound")</f>
        <v>0 pound</v>
      </c>
      <c r="S11" s="24"/>
    </row>
    <row r="12" spans="1:19" s="15" customFormat="1" ht="87.75" customHeight="1" x14ac:dyDescent="0.3">
      <c r="A12" s="68" t="s">
        <v>64</v>
      </c>
      <c r="B12" s="52"/>
      <c r="C12" s="54" t="s">
        <v>42</v>
      </c>
      <c r="D12" s="20" t="s">
        <v>139</v>
      </c>
      <c r="E12" s="21" t="s">
        <v>140</v>
      </c>
      <c r="F12" s="22" t="s">
        <v>142</v>
      </c>
      <c r="G12" s="20" t="s">
        <v>242</v>
      </c>
      <c r="H12" s="21" t="s">
        <v>243</v>
      </c>
      <c r="I12" s="22" t="s">
        <v>140</v>
      </c>
      <c r="J12" s="154" t="s">
        <v>145</v>
      </c>
      <c r="K12" s="21" t="s">
        <v>167</v>
      </c>
      <c r="L12" s="22" t="s">
        <v>249</v>
      </c>
      <c r="M12" s="118" t="s">
        <v>143</v>
      </c>
      <c r="N12" s="122" t="s">
        <v>168</v>
      </c>
      <c r="O12" s="123" t="s">
        <v>167</v>
      </c>
      <c r="P12" s="232"/>
      <c r="Q12" s="142"/>
      <c r="R12" s="141" t="str">
        <f>IF(AND(P12&lt;&gt;"",Q12&lt;&gt;""),"Error! Two different kinds of vegetables must be served",(IF(P12&lt;&gt;"",CEILING(P12/(7.7/2),0.25)&amp; IF(  CEILING(P12/(7.7/2),0.25)&gt; 1, " pounds", " pound"),CEILING(Q12/7.7,0.25)&amp;IF( CEILING(Q12/7.7,0.25) &gt; 1, " pounds", " pound"))))</f>
        <v>0 pound</v>
      </c>
      <c r="S12" s="24"/>
    </row>
    <row r="13" spans="1:19" s="15" customFormat="1" ht="87.75" customHeight="1" x14ac:dyDescent="0.3">
      <c r="A13" s="70" t="s">
        <v>65</v>
      </c>
      <c r="B13" s="53"/>
      <c r="C13" s="55" t="s">
        <v>19</v>
      </c>
      <c r="D13" s="295"/>
      <c r="E13" s="296"/>
      <c r="F13" s="297"/>
      <c r="G13" s="17" t="s">
        <v>242</v>
      </c>
      <c r="H13" s="18" t="s">
        <v>243</v>
      </c>
      <c r="I13" s="19" t="s">
        <v>140</v>
      </c>
      <c r="J13" s="294"/>
      <c r="K13" s="292"/>
      <c r="L13" s="293"/>
      <c r="M13" s="119" t="s">
        <v>244</v>
      </c>
      <c r="N13" s="120" t="s">
        <v>148</v>
      </c>
      <c r="O13" s="121" t="s">
        <v>161</v>
      </c>
      <c r="P13" s="225"/>
      <c r="Q13" s="143"/>
      <c r="R13" s="152" t="str">
        <f>CEILING(Q13/11.9,0.25) &amp; IF(CEILING(Q13/11.9,0.25) &gt;1, " pounds", " pound")</f>
        <v>0 pound</v>
      </c>
    </row>
    <row r="14" spans="1:19" s="15" customFormat="1" ht="87.75" customHeight="1" x14ac:dyDescent="0.3">
      <c r="A14" s="68" t="s">
        <v>66</v>
      </c>
      <c r="B14" s="52"/>
      <c r="C14" s="54" t="s">
        <v>22</v>
      </c>
      <c r="D14" s="20" t="s">
        <v>139</v>
      </c>
      <c r="E14" s="21" t="s">
        <v>140</v>
      </c>
      <c r="F14" s="22" t="s">
        <v>142</v>
      </c>
      <c r="G14" s="20" t="s">
        <v>242</v>
      </c>
      <c r="H14" s="21" t="s">
        <v>243</v>
      </c>
      <c r="I14" s="22" t="s">
        <v>140</v>
      </c>
      <c r="J14" s="154" t="s">
        <v>144</v>
      </c>
      <c r="K14" s="21" t="s">
        <v>198</v>
      </c>
      <c r="L14" s="22" t="s">
        <v>162</v>
      </c>
      <c r="M14" s="118" t="s">
        <v>244</v>
      </c>
      <c r="N14" s="122" t="s">
        <v>148</v>
      </c>
      <c r="O14" s="123" t="s">
        <v>198</v>
      </c>
      <c r="P14" s="232"/>
      <c r="Q14" s="142"/>
      <c r="R14" s="141" t="str">
        <f>IF(AND(P14&lt;&gt;"",Q14&lt;&gt;""),"Error! Two different kinds of vegetables must be served",(IF(P14&lt;&gt;"",CEILING(P14/(11.5/2),0.25)&amp;IF( CEILING(P14/(11.5/2),0.25) &gt; 1, " pounds", " pound"),CEILING(Q14/11.5,0.25)&amp;IF(  CEILING(Q14/11.5,0.25)&gt; 1, " pounds", " pound"))))</f>
        <v>0 pound</v>
      </c>
    </row>
    <row r="15" spans="1:19" s="15" customFormat="1" ht="87.75" customHeight="1" x14ac:dyDescent="0.3">
      <c r="A15" s="67" t="s">
        <v>102</v>
      </c>
      <c r="B15" s="53"/>
      <c r="C15" s="55" t="s">
        <v>7</v>
      </c>
      <c r="D15" s="17" t="s">
        <v>139</v>
      </c>
      <c r="E15" s="18" t="s">
        <v>140</v>
      </c>
      <c r="F15" s="19" t="s">
        <v>142</v>
      </c>
      <c r="G15" s="17" t="s">
        <v>242</v>
      </c>
      <c r="H15" s="18" t="s">
        <v>243</v>
      </c>
      <c r="I15" s="19" t="s">
        <v>140</v>
      </c>
      <c r="J15" s="155" t="s">
        <v>244</v>
      </c>
      <c r="K15" s="18" t="s">
        <v>146</v>
      </c>
      <c r="L15" s="19" t="s">
        <v>158</v>
      </c>
      <c r="M15" s="119" t="s">
        <v>255</v>
      </c>
      <c r="N15" s="120" t="s">
        <v>144</v>
      </c>
      <c r="O15" s="121" t="s">
        <v>146</v>
      </c>
      <c r="P15" s="226"/>
      <c r="Q15" s="143"/>
      <c r="R15" s="152" t="str">
        <f>IF(AND(P15&lt;&gt;"", Q15&lt;&gt;""), "Error! Two different kinds of vegetables must be served", IF(P15&lt;&gt;"", CEILING(P15/(28.8/2),0.25) &amp;  IF(  CEILING(P15/(28.8/2),0.25)&gt; 1, " pounds", " pound"), CEILING(Q15/28.8,0.25) &amp;  IF(  CEILING(Q15/28.8,0.25)&gt; 1, " pounds", " pound")))</f>
        <v>0 pound</v>
      </c>
    </row>
    <row r="16" spans="1:19" s="15" customFormat="1" ht="87.75" customHeight="1" x14ac:dyDescent="0.3">
      <c r="A16" s="68" t="s">
        <v>67</v>
      </c>
      <c r="B16" s="52"/>
      <c r="C16" s="54" t="s">
        <v>43</v>
      </c>
      <c r="D16" s="20" t="s">
        <v>139</v>
      </c>
      <c r="E16" s="21" t="s">
        <v>140</v>
      </c>
      <c r="F16" s="22" t="s">
        <v>142</v>
      </c>
      <c r="G16" s="20" t="s">
        <v>242</v>
      </c>
      <c r="H16" s="21" t="s">
        <v>243</v>
      </c>
      <c r="I16" s="22" t="s">
        <v>140</v>
      </c>
      <c r="J16" s="154" t="s">
        <v>145</v>
      </c>
      <c r="K16" s="21" t="s">
        <v>213</v>
      </c>
      <c r="L16" s="22" t="s">
        <v>250</v>
      </c>
      <c r="M16" s="118" t="s">
        <v>143</v>
      </c>
      <c r="N16" s="122" t="s">
        <v>158</v>
      </c>
      <c r="O16" s="123" t="s">
        <v>213</v>
      </c>
      <c r="P16" s="232"/>
      <c r="Q16" s="142"/>
      <c r="R16" s="141" t="str">
        <f>IF(AND(P16&lt;&gt;"", Q16&lt;&gt;""), "Error! Two different kinds of vegetables must be served", IF(P16&lt;&gt;"", CEILING(P16/(7.5/2),0.25) &amp;  IF(  CEILING(P16/(7.5/2),0.25)&gt; 1, " pounds", " pound"), CEILING(Q16/7.5,0.25) &amp; IF(  CEILING(Q16/7.5,0.25)&gt; 1, " pounds", " pound")))</f>
        <v>0 pound</v>
      </c>
    </row>
    <row r="17" spans="1:19" s="15" customFormat="1" ht="87.75" customHeight="1" x14ac:dyDescent="0.3">
      <c r="A17" s="67" t="s">
        <v>68</v>
      </c>
      <c r="B17" s="53"/>
      <c r="C17" s="55" t="s">
        <v>13</v>
      </c>
      <c r="D17" s="17" t="s">
        <v>139</v>
      </c>
      <c r="E17" s="18" t="s">
        <v>140</v>
      </c>
      <c r="F17" s="19" t="s">
        <v>142</v>
      </c>
      <c r="G17" s="17" t="s">
        <v>242</v>
      </c>
      <c r="H17" s="18" t="s">
        <v>243</v>
      </c>
      <c r="I17" s="19" t="s">
        <v>140</v>
      </c>
      <c r="J17" s="155" t="s">
        <v>143</v>
      </c>
      <c r="K17" s="18" t="s">
        <v>149</v>
      </c>
      <c r="L17" s="19" t="s">
        <v>163</v>
      </c>
      <c r="M17" s="119" t="s">
        <v>244</v>
      </c>
      <c r="N17" s="120" t="s">
        <v>145</v>
      </c>
      <c r="O17" s="121" t="s">
        <v>149</v>
      </c>
      <c r="P17" s="226"/>
      <c r="Q17" s="143"/>
      <c r="R17" s="152" t="str">
        <f>IF(AND(P17&lt;&gt;"",Q17&lt;&gt;""), "Error! Two different kinds of vegetables must be served", IF(P17&lt;&gt;"", CEILING(P17/(17.7/2),0.25) &amp;  IF(  CEILING(P17/(17.7/2),0.25)&gt; 1, " pounds", " pound"), CEILING(Q17/17.7,0.25) &amp; IF(  CEILING(Q17/17.7,0.25)&gt; 1, " pounds", " pound")))</f>
        <v>0 pound</v>
      </c>
    </row>
    <row r="18" spans="1:19" s="15" customFormat="1" ht="87.75" customHeight="1" x14ac:dyDescent="0.3">
      <c r="A18" s="68" t="s">
        <v>69</v>
      </c>
      <c r="B18" s="52"/>
      <c r="C18" s="54" t="s">
        <v>16</v>
      </c>
      <c r="D18" s="287"/>
      <c r="E18" s="288"/>
      <c r="F18" s="289"/>
      <c r="G18" s="20" t="s">
        <v>242</v>
      </c>
      <c r="H18" s="21" t="s">
        <v>243</v>
      </c>
      <c r="I18" s="22" t="s">
        <v>140</v>
      </c>
      <c r="J18" s="290"/>
      <c r="K18" s="288"/>
      <c r="L18" s="289"/>
      <c r="M18" s="118" t="s">
        <v>144</v>
      </c>
      <c r="N18" s="122" t="s">
        <v>198</v>
      </c>
      <c r="O18" s="123" t="s">
        <v>162</v>
      </c>
      <c r="P18" s="233"/>
      <c r="Q18" s="142"/>
      <c r="R18" s="141" t="str">
        <f>CEILING(Q18/5.73, 0.25) &amp;  IF(CEILING(Q18/5.73, 0.25)&gt;1, " pounds", " pound")</f>
        <v>0 pound</v>
      </c>
    </row>
    <row r="19" spans="1:19" s="15" customFormat="1" ht="87.75" customHeight="1" x14ac:dyDescent="0.3">
      <c r="A19" s="67" t="s">
        <v>70</v>
      </c>
      <c r="B19" s="53"/>
      <c r="C19" s="55" t="s">
        <v>17</v>
      </c>
      <c r="D19" s="17" t="s">
        <v>240</v>
      </c>
      <c r="E19" s="18" t="s">
        <v>140</v>
      </c>
      <c r="F19" s="19" t="s">
        <v>142</v>
      </c>
      <c r="G19" s="17" t="s">
        <v>242</v>
      </c>
      <c r="H19" s="18" t="s">
        <v>243</v>
      </c>
      <c r="I19" s="19" t="s">
        <v>140</v>
      </c>
      <c r="J19" s="155" t="s">
        <v>147</v>
      </c>
      <c r="K19" s="18" t="s">
        <v>207</v>
      </c>
      <c r="L19" s="19" t="s">
        <v>215</v>
      </c>
      <c r="M19" s="119" t="s">
        <v>143</v>
      </c>
      <c r="N19" s="120" t="s">
        <v>168</v>
      </c>
      <c r="O19" s="121" t="s">
        <v>207</v>
      </c>
      <c r="P19" s="226"/>
      <c r="Q19" s="143"/>
      <c r="R19" s="152" t="str">
        <f>IF(AND(P19&lt;&gt;"", Q19&lt;&gt;""), "Error! Two different kinds of vegetables must be served", IF(P19&lt;&gt;"", CEILING(P19/(8.16/2), 0.25) &amp;  IF( CEILING(P19/(8.16/2), 0.25) &gt; 1, " pounds", " pound"), CEILING(Q19/8.16, 0.25) &amp; IF(  CEILING(Q19/8.16, 0.25)&gt; 1, " pounds", " pound")))</f>
        <v>0 pound</v>
      </c>
    </row>
    <row r="20" spans="1:19" s="15" customFormat="1" ht="87.75" customHeight="1" x14ac:dyDescent="0.3">
      <c r="A20" s="68" t="s">
        <v>27</v>
      </c>
      <c r="B20" s="52"/>
      <c r="C20" s="54" t="s">
        <v>7</v>
      </c>
      <c r="D20" s="20" t="s">
        <v>139</v>
      </c>
      <c r="E20" s="21" t="s">
        <v>140</v>
      </c>
      <c r="F20" s="22" t="s">
        <v>142</v>
      </c>
      <c r="G20" s="20" t="s">
        <v>242</v>
      </c>
      <c r="H20" s="21" t="s">
        <v>243</v>
      </c>
      <c r="I20" s="22" t="s">
        <v>140</v>
      </c>
      <c r="J20" s="154" t="s">
        <v>144</v>
      </c>
      <c r="K20" s="21" t="s">
        <v>246</v>
      </c>
      <c r="L20" s="22" t="s">
        <v>169</v>
      </c>
      <c r="M20" s="118" t="s">
        <v>244</v>
      </c>
      <c r="N20" s="122" t="s">
        <v>199</v>
      </c>
      <c r="O20" s="123" t="s">
        <v>246</v>
      </c>
      <c r="P20" s="232"/>
      <c r="Q20" s="142"/>
      <c r="R20" s="141" t="str">
        <f>IF(AND(P20&lt;&gt;"", Q20&lt;&gt;""), "Error! Two different kinds of vegetables must be served", IF(P20&lt;&gt;"", CEILING(P20/(12.9/2), 0.25) &amp; IF( CEILING(P20/(12.9/2), 0.25) &gt; 1, " pounds", " pound"), CEILING(Q20/12.9, 0.25) &amp; IF(  CEILING(Q20/12.9, 0.25)&gt; 1, " pounds", " pound")))</f>
        <v>0 pound</v>
      </c>
    </row>
    <row r="21" spans="1:19" s="15" customFormat="1" ht="87.75" customHeight="1" x14ac:dyDescent="0.3">
      <c r="A21" s="67" t="s">
        <v>70</v>
      </c>
      <c r="B21" s="53"/>
      <c r="C21" s="55" t="s">
        <v>128</v>
      </c>
      <c r="D21" s="17" t="s">
        <v>139</v>
      </c>
      <c r="E21" s="18" t="s">
        <v>140</v>
      </c>
      <c r="F21" s="19" t="s">
        <v>142</v>
      </c>
      <c r="G21" s="17" t="s">
        <v>242</v>
      </c>
      <c r="H21" s="18" t="s">
        <v>243</v>
      </c>
      <c r="I21" s="19" t="s">
        <v>140</v>
      </c>
      <c r="J21" s="155" t="s">
        <v>144</v>
      </c>
      <c r="K21" s="18" t="s">
        <v>170</v>
      </c>
      <c r="L21" s="19" t="s">
        <v>182</v>
      </c>
      <c r="M21" s="119" t="s">
        <v>244</v>
      </c>
      <c r="N21" s="120" t="s">
        <v>200</v>
      </c>
      <c r="O21" s="121" t="s">
        <v>170</v>
      </c>
      <c r="P21" s="226"/>
      <c r="Q21" s="143"/>
      <c r="R21" s="152" t="str">
        <f>IF(AND(P21&lt;&gt;"",Q21&lt;&gt;""), "Error! Two different kinds of vegetables must be served", IF(P21&lt;&gt;"",  CEILING(P21/(10.3/2), 0.25) &amp; IF( CEILING(P21/(10.3/2), 0.25) &gt; 1, " pounds", " pound"), CEILING(Q21/10.3, 0.25) &amp;  IF(  CEILING(Q21/10.3, 0.25) &gt; 1, " pounds", " pound")))</f>
        <v>0 pound</v>
      </c>
      <c r="S21" s="16"/>
    </row>
    <row r="22" spans="1:19" s="15" customFormat="1" ht="87.75" customHeight="1" x14ac:dyDescent="0.3">
      <c r="A22" s="209" t="s">
        <v>118</v>
      </c>
      <c r="B22" s="210"/>
      <c r="C22" s="211" t="s">
        <v>111</v>
      </c>
      <c r="D22" s="212" t="s">
        <v>139</v>
      </c>
      <c r="E22" s="213" t="s">
        <v>140</v>
      </c>
      <c r="F22" s="214" t="s">
        <v>142</v>
      </c>
      <c r="G22" s="20" t="s">
        <v>242</v>
      </c>
      <c r="H22" s="21" t="s">
        <v>243</v>
      </c>
      <c r="I22" s="22" t="s">
        <v>140</v>
      </c>
      <c r="J22" s="215" t="s">
        <v>147</v>
      </c>
      <c r="K22" s="213" t="s">
        <v>163</v>
      </c>
      <c r="L22" s="214" t="s">
        <v>214</v>
      </c>
      <c r="M22" s="227" t="s">
        <v>143</v>
      </c>
      <c r="N22" s="228" t="s">
        <v>149</v>
      </c>
      <c r="O22" s="311" t="s">
        <v>163</v>
      </c>
      <c r="P22" s="325"/>
      <c r="Q22" s="322"/>
      <c r="R22" s="141" t="str">
        <f>IF(AND(P22&lt;&gt;"",Q22&lt;&gt;""), "Error! Two different kinds of vegetables must be served", IF(P22&lt;&gt;"", CEILING(P22/(8.8/2),0.25) &amp;  IF(  CEILING(P22/(8.8/2),0.25)&gt; 1, " pounds", " pound"), CEILING(Q22/8.8,0.25) &amp; IF(  CEILING(Q22/8.8,0.25)&gt; 1, " pounds", " pound")))</f>
        <v>0 pound</v>
      </c>
      <c r="S22" s="164"/>
    </row>
    <row r="23" spans="1:19" s="15" customFormat="1" ht="87.75" customHeight="1" x14ac:dyDescent="0.3">
      <c r="A23" s="216" t="s">
        <v>117</v>
      </c>
      <c r="B23" s="217"/>
      <c r="C23" s="218" t="s">
        <v>113</v>
      </c>
      <c r="D23" s="219" t="s">
        <v>139</v>
      </c>
      <c r="E23" s="220" t="s">
        <v>140</v>
      </c>
      <c r="F23" s="221" t="s">
        <v>142</v>
      </c>
      <c r="G23" s="17" t="s">
        <v>242</v>
      </c>
      <c r="H23" s="18" t="s">
        <v>243</v>
      </c>
      <c r="I23" s="19" t="s">
        <v>140</v>
      </c>
      <c r="J23" s="222" t="s">
        <v>143</v>
      </c>
      <c r="K23" s="220" t="s">
        <v>197</v>
      </c>
      <c r="L23" s="221" t="s">
        <v>164</v>
      </c>
      <c r="M23" s="312" t="s">
        <v>244</v>
      </c>
      <c r="N23" s="313" t="s">
        <v>145</v>
      </c>
      <c r="O23" s="314" t="s">
        <v>197</v>
      </c>
      <c r="P23" s="326"/>
      <c r="Q23" s="323"/>
      <c r="R23" s="152" t="str">
        <f>IF(AND(P23&lt;&gt;"",Q23&lt;&gt;""), "Error! Two different kinds of vegetables must be served", IF(P23&lt;&gt;"", CEILING(P23/(18.3/2),0.25) &amp;  IF(  CEILING(P23/(18.3/2),0.25)&gt; 1, " pounds", " pound"), CEILING(Q23/18.3,0.25) &amp; IF(  CEILING(Q23/18.3,0.25)&gt; 1, " pounds", " pound")))</f>
        <v>0 pound</v>
      </c>
      <c r="S23" s="164"/>
    </row>
    <row r="24" spans="1:19" s="15" customFormat="1" ht="87.75" customHeight="1" x14ac:dyDescent="0.3">
      <c r="A24" s="68" t="s">
        <v>28</v>
      </c>
      <c r="B24" s="52"/>
      <c r="C24" s="54" t="s">
        <v>231</v>
      </c>
      <c r="D24" s="20" t="s">
        <v>139</v>
      </c>
      <c r="E24" s="21" t="s">
        <v>140</v>
      </c>
      <c r="F24" s="22" t="s">
        <v>142</v>
      </c>
      <c r="G24" s="20" t="s">
        <v>242</v>
      </c>
      <c r="H24" s="21" t="s">
        <v>243</v>
      </c>
      <c r="I24" s="22" t="s">
        <v>140</v>
      </c>
      <c r="J24" s="154" t="s">
        <v>144</v>
      </c>
      <c r="K24" s="21" t="s">
        <v>161</v>
      </c>
      <c r="L24" s="22" t="s">
        <v>171</v>
      </c>
      <c r="M24" s="118" t="s">
        <v>244</v>
      </c>
      <c r="N24" s="122" t="s">
        <v>148</v>
      </c>
      <c r="O24" s="123" t="s">
        <v>161</v>
      </c>
      <c r="P24" s="148"/>
      <c r="Q24" s="142"/>
      <c r="R24" s="141" t="str">
        <f>IF(AND(P24&lt;&gt;"", Q24&lt;&gt;""), "Error! Two different kinds of vegetables must be served", IF(P24&lt;&gt;"", CEILING(P24/(12.2/2), 0.25) &amp;  IF( CEILING(P24/(12.2/2), 0.25) &gt; 1, " pounds", " pound"), CEILING(Q24/12.2, 0.25) &amp;  IF(  CEILING(Q24/12.2, 0.25) &gt; 1, " pounds", " pound")))</f>
        <v>0 pound</v>
      </c>
      <c r="S24" s="16"/>
    </row>
    <row r="25" spans="1:19" s="15" customFormat="1" ht="87.75" customHeight="1" x14ac:dyDescent="0.3">
      <c r="A25" s="67" t="s">
        <v>71</v>
      </c>
      <c r="B25" s="53"/>
      <c r="C25" s="55" t="s">
        <v>32</v>
      </c>
      <c r="D25" s="17" t="s">
        <v>139</v>
      </c>
      <c r="E25" s="18" t="s">
        <v>140</v>
      </c>
      <c r="F25" s="19" t="s">
        <v>142</v>
      </c>
      <c r="G25" s="17" t="s">
        <v>242</v>
      </c>
      <c r="H25" s="18" t="s">
        <v>243</v>
      </c>
      <c r="I25" s="19" t="s">
        <v>140</v>
      </c>
      <c r="J25" s="155" t="s">
        <v>144</v>
      </c>
      <c r="K25" s="18" t="s">
        <v>159</v>
      </c>
      <c r="L25" s="19" t="s">
        <v>245</v>
      </c>
      <c r="M25" s="119" t="s">
        <v>244</v>
      </c>
      <c r="N25" s="120" t="s">
        <v>200</v>
      </c>
      <c r="O25" s="121" t="s">
        <v>159</v>
      </c>
      <c r="P25" s="147"/>
      <c r="Q25" s="143"/>
      <c r="R25" s="152" t="str">
        <f>IF(AND(P25&lt;&gt;"", Q25&lt;&gt;""), "Error! Two different kinds of vegetables must be served", IF(P25&lt;&gt;"", CEILING(P25/(11/2), 0.25) &amp;  IF(  CEILING(P25/(11/2), 0.25)&gt; 1, " pounds", " pound"), CEILING(Q25/11, 0.25) &amp;  IF(  CEILING(Q25/11, 0.25) &gt; 1, " pounds", " pound")))</f>
        <v>0 pound</v>
      </c>
    </row>
    <row r="26" spans="1:19" s="15" customFormat="1" ht="87.75" customHeight="1" x14ac:dyDescent="0.3">
      <c r="A26" s="68" t="s">
        <v>59</v>
      </c>
      <c r="B26" s="52"/>
      <c r="C26" s="54" t="s">
        <v>135</v>
      </c>
      <c r="D26" s="287"/>
      <c r="E26" s="288"/>
      <c r="F26" s="289"/>
      <c r="G26" s="20" t="s">
        <v>242</v>
      </c>
      <c r="H26" s="21" t="s">
        <v>243</v>
      </c>
      <c r="I26" s="22" t="s">
        <v>140</v>
      </c>
      <c r="J26" s="290"/>
      <c r="K26" s="288"/>
      <c r="L26" s="289"/>
      <c r="M26" s="118" t="s">
        <v>143</v>
      </c>
      <c r="N26" s="122" t="s">
        <v>149</v>
      </c>
      <c r="O26" s="123" t="s">
        <v>163</v>
      </c>
      <c r="P26" s="149"/>
      <c r="Q26" s="142"/>
      <c r="R26" s="141" t="str">
        <f>CEILING(Q26/((6*(3/8))/(1/4)), 0.25) &amp; IF(CEILING(Q26/((6*(3/8))/(1/4)), 0.25) &gt;1, " pounds",  " pound")</f>
        <v>0 pound</v>
      </c>
    </row>
    <row r="27" spans="1:19" s="15" customFormat="1" ht="87.75" customHeight="1" x14ac:dyDescent="0.3">
      <c r="A27" s="67" t="s">
        <v>72</v>
      </c>
      <c r="B27" s="53"/>
      <c r="C27" s="55" t="s">
        <v>44</v>
      </c>
      <c r="D27" s="17" t="s">
        <v>139</v>
      </c>
      <c r="E27" s="18" t="s">
        <v>140</v>
      </c>
      <c r="F27" s="19" t="s">
        <v>142</v>
      </c>
      <c r="G27" s="17" t="s">
        <v>242</v>
      </c>
      <c r="H27" s="18" t="s">
        <v>243</v>
      </c>
      <c r="I27" s="19" t="s">
        <v>140</v>
      </c>
      <c r="J27" s="155" t="s">
        <v>146</v>
      </c>
      <c r="K27" s="18" t="s">
        <v>171</v>
      </c>
      <c r="L27" s="19" t="s">
        <v>222</v>
      </c>
      <c r="M27" s="119" t="s">
        <v>144</v>
      </c>
      <c r="N27" s="120" t="s">
        <v>161</v>
      </c>
      <c r="O27" s="121" t="s">
        <v>171</v>
      </c>
      <c r="P27" s="147"/>
      <c r="Q27" s="143"/>
      <c r="R27" s="152" t="str">
        <f>IF(AND(P27&lt;&gt;"", Q27&lt;&gt;""), "Error! Two different kinds of vegetables must be served", IF(P27&lt;&gt;"", CEILING(P27/(6.2/2), 0.25) &amp;  IF(CEILING(P27/(6.2/2), 0.25)  &gt; 1, " pounds", " pound"), CEILING(Q27/6.2, 0.25) &amp;  IF( CEILING(Q27/6.2, 0.25) &gt; 1, " pounds", " pound")))</f>
        <v>0 pound</v>
      </c>
    </row>
    <row r="28" spans="1:19" s="15" customFormat="1" ht="87.75" customHeight="1" x14ac:dyDescent="0.3">
      <c r="A28" s="68" t="s">
        <v>112</v>
      </c>
      <c r="B28" s="52"/>
      <c r="C28" s="54" t="s">
        <v>9</v>
      </c>
      <c r="D28" s="20" t="s">
        <v>139</v>
      </c>
      <c r="E28" s="21" t="s">
        <v>140</v>
      </c>
      <c r="F28" s="22" t="s">
        <v>142</v>
      </c>
      <c r="G28" s="20" t="s">
        <v>242</v>
      </c>
      <c r="H28" s="21" t="s">
        <v>243</v>
      </c>
      <c r="I28" s="22" t="s">
        <v>140</v>
      </c>
      <c r="J28" s="154" t="s">
        <v>149</v>
      </c>
      <c r="K28" s="21" t="s">
        <v>229</v>
      </c>
      <c r="L28" s="22" t="s">
        <v>251</v>
      </c>
      <c r="M28" s="118" t="s">
        <v>145</v>
      </c>
      <c r="N28" s="122" t="s">
        <v>206</v>
      </c>
      <c r="O28" s="123" t="s">
        <v>229</v>
      </c>
      <c r="P28" s="148"/>
      <c r="Q28" s="142"/>
      <c r="R28" s="141" t="str">
        <f>IF(AND(P28&lt;&gt;"", Q28&lt;&gt;""), "Error! Two different kinds of vegetables must be served", IF(P28&lt;&gt;"", CEILING(P28/(3.35/2), 0.25) &amp; IF( CEILING(P28/(3.35/2), 0.25) &gt; 1, " pounds", " pound"), CEILING(Q28/3.35, 0.25) &amp; IF(  CEILING(Q28/3.35, 0.25)&gt; 1, " pounds", " pound")))</f>
        <v>0 pound</v>
      </c>
    </row>
    <row r="29" spans="1:19" s="15" customFormat="1" ht="87.75" customHeight="1" x14ac:dyDescent="0.3">
      <c r="A29" s="67" t="s">
        <v>73</v>
      </c>
      <c r="B29" s="53"/>
      <c r="C29" s="55" t="s">
        <v>129</v>
      </c>
      <c r="D29" s="17" t="s">
        <v>139</v>
      </c>
      <c r="E29" s="18" t="s">
        <v>140</v>
      </c>
      <c r="F29" s="19" t="s">
        <v>142</v>
      </c>
      <c r="G29" s="17" t="s">
        <v>242</v>
      </c>
      <c r="H29" s="18" t="s">
        <v>243</v>
      </c>
      <c r="I29" s="19" t="s">
        <v>140</v>
      </c>
      <c r="J29" s="155" t="s">
        <v>144</v>
      </c>
      <c r="K29" s="18" t="s">
        <v>161</v>
      </c>
      <c r="L29" s="19" t="s">
        <v>174</v>
      </c>
      <c r="M29" s="119" t="s">
        <v>244</v>
      </c>
      <c r="N29" s="120" t="s">
        <v>148</v>
      </c>
      <c r="O29" s="121" t="s">
        <v>161</v>
      </c>
      <c r="P29" s="147"/>
      <c r="Q29" s="143"/>
      <c r="R29" s="152" t="str">
        <f>IF(AND(P29&lt;&gt;"", Q29&lt;&gt;""), "Error! Two different kinds of vegetables must be served", IF(P29&lt;&gt;"", CEILING(P29/(11.8/2), 0.25) &amp;  IF(  CEILING(P29/(11.8/2), 0.25) &gt; 1, " pounds", " pound"), CEILING(Q29/11.8, 0.25) &amp;  IF( CEILING(Q29/11.8, 0.25) &gt; 1, " pounds", " pound")))</f>
        <v>0 pound</v>
      </c>
    </row>
    <row r="30" spans="1:19" s="15" customFormat="1" ht="87.75" customHeight="1" x14ac:dyDescent="0.3">
      <c r="A30" s="68" t="s">
        <v>57</v>
      </c>
      <c r="B30" s="52"/>
      <c r="C30" s="54" t="s">
        <v>32</v>
      </c>
      <c r="D30" s="287"/>
      <c r="E30" s="288"/>
      <c r="F30" s="289"/>
      <c r="G30" s="20" t="s">
        <v>242</v>
      </c>
      <c r="H30" s="21" t="s">
        <v>243</v>
      </c>
      <c r="I30" s="22" t="s">
        <v>140</v>
      </c>
      <c r="J30" s="290"/>
      <c r="K30" s="288"/>
      <c r="L30" s="289"/>
      <c r="M30" s="118" t="s">
        <v>143</v>
      </c>
      <c r="N30" s="122" t="s">
        <v>197</v>
      </c>
      <c r="O30" s="123" t="s">
        <v>164</v>
      </c>
      <c r="P30" s="149"/>
      <c r="Q30" s="142"/>
      <c r="R30" s="141" t="str">
        <f>CEILING(Q30/9.27, 0.25) &amp;  IF(CEILING(Q30/9.27, 0.25)&gt;1, " pounds", " pound")</f>
        <v>0 pound</v>
      </c>
    </row>
    <row r="31" spans="1:19" s="15" customFormat="1" ht="87.75" customHeight="1" x14ac:dyDescent="0.3">
      <c r="A31" s="67" t="s">
        <v>95</v>
      </c>
      <c r="B31" s="53"/>
      <c r="C31" s="55" t="s">
        <v>35</v>
      </c>
      <c r="D31" s="17" t="s">
        <v>139</v>
      </c>
      <c r="E31" s="18" t="s">
        <v>140</v>
      </c>
      <c r="F31" s="19" t="s">
        <v>142</v>
      </c>
      <c r="G31" s="17" t="s">
        <v>242</v>
      </c>
      <c r="H31" s="18" t="s">
        <v>243</v>
      </c>
      <c r="I31" s="19" t="s">
        <v>140</v>
      </c>
      <c r="J31" s="155" t="s">
        <v>144</v>
      </c>
      <c r="K31" s="18" t="s">
        <v>159</v>
      </c>
      <c r="L31" s="19" t="s">
        <v>245</v>
      </c>
      <c r="M31" s="119" t="s">
        <v>244</v>
      </c>
      <c r="N31" s="120" t="s">
        <v>200</v>
      </c>
      <c r="O31" s="121" t="s">
        <v>159</v>
      </c>
      <c r="P31" s="147"/>
      <c r="Q31" s="143"/>
      <c r="R31" s="152" t="str">
        <f>IF(AND(P31&lt;&gt;"", Q31&lt;&gt;""), "Error! Two different kinds of vegetables must be served", IF(P31&lt;&gt;"", CEILING(P31/(11.1/2), 0.25) &amp;  IF( CEILING(P31/(11.1/2), 0.25)  &gt; 1, " pounds", " pound"), CEILING(Q31/11.1, 0.25) &amp;  IF( CEILING(Q31/11.1, 0.25) &gt; 1, " pounds", " pound")))</f>
        <v>0 pound</v>
      </c>
    </row>
    <row r="32" spans="1:19" s="15" customFormat="1" ht="87.75" customHeight="1" x14ac:dyDescent="0.3">
      <c r="A32" s="68" t="s">
        <v>74</v>
      </c>
      <c r="B32" s="52"/>
      <c r="C32" s="54" t="s">
        <v>39</v>
      </c>
      <c r="D32" s="287"/>
      <c r="E32" s="288"/>
      <c r="F32" s="289"/>
      <c r="G32" s="20" t="s">
        <v>242</v>
      </c>
      <c r="H32" s="21" t="s">
        <v>243</v>
      </c>
      <c r="I32" s="22" t="s">
        <v>140</v>
      </c>
      <c r="J32" s="290"/>
      <c r="K32" s="288"/>
      <c r="L32" s="289"/>
      <c r="M32" s="118" t="s">
        <v>147</v>
      </c>
      <c r="N32" s="122" t="s">
        <v>201</v>
      </c>
      <c r="O32" s="123" t="s">
        <v>165</v>
      </c>
      <c r="P32" s="149"/>
      <c r="Q32" s="142"/>
      <c r="R32" s="141" t="str">
        <f>CEILING(Q32/4.9, 0.25) &amp;  IF(CEILING(Q32/4.9, 0.25) &gt;1, " pounds", " pound")</f>
        <v>0 pound</v>
      </c>
      <c r="S32" s="16"/>
    </row>
    <row r="33" spans="1:27" s="15" customFormat="1" ht="87.75" customHeight="1" x14ac:dyDescent="0.3">
      <c r="A33" s="67" t="s">
        <v>75</v>
      </c>
      <c r="B33" s="53"/>
      <c r="C33" s="55" t="s">
        <v>13</v>
      </c>
      <c r="D33" s="17" t="s">
        <v>239</v>
      </c>
      <c r="E33" s="18" t="s">
        <v>142</v>
      </c>
      <c r="F33" s="19" t="s">
        <v>241</v>
      </c>
      <c r="G33" s="17" t="s">
        <v>139</v>
      </c>
      <c r="H33" s="18" t="s">
        <v>140</v>
      </c>
      <c r="I33" s="19" t="s">
        <v>142</v>
      </c>
      <c r="J33" s="155" t="s">
        <v>244</v>
      </c>
      <c r="K33" s="18" t="s">
        <v>148</v>
      </c>
      <c r="L33" s="19" t="s">
        <v>161</v>
      </c>
      <c r="M33" s="119" t="s">
        <v>255</v>
      </c>
      <c r="N33" s="120" t="s">
        <v>147</v>
      </c>
      <c r="O33" s="121" t="s">
        <v>148</v>
      </c>
      <c r="P33" s="147"/>
      <c r="Q33" s="143"/>
      <c r="R33" s="152" t="str">
        <f>IF(AND(P33&lt;&gt;"",Q33&lt;&gt;""), "Error! Two different kinds of vegetables must be served", IF(P33&lt;&gt;"", CEILING((P33/48.8)*4, 0.25) &amp;  IF( CEILING((P33/48.8)*4, 0.25) &gt; 1, " pounds", " pound"), CEILING((Q33/48.8)*2, 0.25) &amp;  IF( CEILING((Q33/48.8)*2, 0.25) &gt; 1, " pounds", " pound")))</f>
        <v>0 pound</v>
      </c>
      <c r="S33" s="16"/>
    </row>
    <row r="34" spans="1:27" s="15" customFormat="1" ht="87.75" customHeight="1" x14ac:dyDescent="0.3">
      <c r="A34" s="68" t="s">
        <v>56</v>
      </c>
      <c r="B34" s="52"/>
      <c r="C34" s="54" t="s">
        <v>136</v>
      </c>
      <c r="D34" s="287"/>
      <c r="E34" s="288"/>
      <c r="F34" s="289"/>
      <c r="G34" s="20" t="s">
        <v>242</v>
      </c>
      <c r="H34" s="21" t="s">
        <v>243</v>
      </c>
      <c r="I34" s="22" t="s">
        <v>140</v>
      </c>
      <c r="J34" s="290"/>
      <c r="K34" s="288"/>
      <c r="L34" s="289"/>
      <c r="M34" s="118" t="s">
        <v>143</v>
      </c>
      <c r="N34" s="122" t="s">
        <v>149</v>
      </c>
      <c r="O34" s="123" t="s">
        <v>163</v>
      </c>
      <c r="P34" s="149"/>
      <c r="Q34" s="142"/>
      <c r="R34" s="141" t="str">
        <f>CEILING(Q34/8.99, 0.25) &amp; IF(CEILING(Q34/8.99, 0.25)&gt;1, " pounds", " pound")</f>
        <v>0 pound</v>
      </c>
      <c r="S34" s="16"/>
    </row>
    <row r="35" spans="1:27" s="15" customFormat="1" ht="87.75" customHeight="1" x14ac:dyDescent="0.3">
      <c r="A35" s="67" t="s">
        <v>76</v>
      </c>
      <c r="B35" s="53"/>
      <c r="C35" s="55" t="s">
        <v>23</v>
      </c>
      <c r="D35" s="17" t="s">
        <v>239</v>
      </c>
      <c r="E35" s="18" t="s">
        <v>142</v>
      </c>
      <c r="F35" s="19" t="s">
        <v>241</v>
      </c>
      <c r="G35" s="17" t="s">
        <v>139</v>
      </c>
      <c r="H35" s="18" t="s">
        <v>140</v>
      </c>
      <c r="I35" s="19" t="s">
        <v>142</v>
      </c>
      <c r="J35" s="155" t="s">
        <v>144</v>
      </c>
      <c r="K35" s="18" t="s">
        <v>159</v>
      </c>
      <c r="L35" s="19" t="s">
        <v>245</v>
      </c>
      <c r="M35" s="119" t="s">
        <v>244</v>
      </c>
      <c r="N35" s="120" t="s">
        <v>200</v>
      </c>
      <c r="O35" s="121" t="s">
        <v>159</v>
      </c>
      <c r="P35" s="147"/>
      <c r="Q35" s="143"/>
      <c r="R35" s="152" t="str">
        <f>IF(AND(P35&lt;&gt;"",Q35&lt;&gt;""), "Error! Two different kinds of vegetables must be served", IF(P35&lt;&gt;"", CEILING((P35/21.7)*4, 0.25) &amp;  IF( CEILING((P35/21.7)*4, 0.25)  &gt; 1, " pounds", " pound"), CEILING((Q35/21.7)*2, 0.25) &amp; IF( CEILING((Q35/21.7)*2, 0.25) &gt; 1, " pounds", " pound")))</f>
        <v>0 pound</v>
      </c>
      <c r="S35" s="16"/>
    </row>
    <row r="36" spans="1:27" s="15" customFormat="1" ht="87.75" customHeight="1" x14ac:dyDescent="0.3">
      <c r="A36" s="66" t="s">
        <v>107</v>
      </c>
      <c r="B36" s="52"/>
      <c r="C36" s="54" t="s">
        <v>45</v>
      </c>
      <c r="D36" s="20" t="s">
        <v>139</v>
      </c>
      <c r="E36" s="21" t="s">
        <v>140</v>
      </c>
      <c r="F36" s="22" t="s">
        <v>142</v>
      </c>
      <c r="G36" s="20" t="s">
        <v>242</v>
      </c>
      <c r="H36" s="21" t="s">
        <v>243</v>
      </c>
      <c r="I36" s="22" t="s">
        <v>140</v>
      </c>
      <c r="J36" s="154" t="s">
        <v>145</v>
      </c>
      <c r="K36" s="21" t="s">
        <v>167</v>
      </c>
      <c r="L36" s="22" t="s">
        <v>180</v>
      </c>
      <c r="M36" s="118" t="s">
        <v>143</v>
      </c>
      <c r="N36" s="122" t="s">
        <v>168</v>
      </c>
      <c r="O36" s="123" t="s">
        <v>167</v>
      </c>
      <c r="P36" s="148"/>
      <c r="Q36" s="142"/>
      <c r="R36" s="141" t="str">
        <f>IF(AND(P36&lt;&gt;"", Q36&lt;&gt;""), "Error! Two different kinds of vegetables must be served", IF(P36&lt;&gt;"", CEILING(P36/(7.9/2), 0.25) &amp;  IF(  CEILING(P36/(7.9/2), 0.25)  &gt; 1, " pounds", " pound"), CEILING(Q36/7.9, 0.25) &amp;  IF( CEILING(Q36/7.9, 0.25)  &gt; 1, " pounds", " pound")))</f>
        <v>0 pound</v>
      </c>
      <c r="S36" s="16"/>
    </row>
    <row r="37" spans="1:27" s="15" customFormat="1" ht="87.75" customHeight="1" x14ac:dyDescent="0.3">
      <c r="A37" s="67" t="s">
        <v>46</v>
      </c>
      <c r="B37" s="72"/>
      <c r="C37" s="55" t="s">
        <v>137</v>
      </c>
      <c r="D37" s="291"/>
      <c r="E37" s="292"/>
      <c r="F37" s="293"/>
      <c r="G37" s="17" t="s">
        <v>242</v>
      </c>
      <c r="H37" s="18" t="s">
        <v>243</v>
      </c>
      <c r="I37" s="19" t="s">
        <v>140</v>
      </c>
      <c r="J37" s="294"/>
      <c r="K37" s="292"/>
      <c r="L37" s="293"/>
      <c r="M37" s="119" t="s">
        <v>145</v>
      </c>
      <c r="N37" s="120" t="s">
        <v>210</v>
      </c>
      <c r="O37" s="121" t="s">
        <v>166</v>
      </c>
      <c r="P37" s="137"/>
      <c r="Q37" s="143"/>
      <c r="R37" s="152" t="str">
        <f>CEILING(Q37/3.5, 0.25) &amp; IF(CEILING(Q37/3.5, 0.25)&gt;1, " pounds", " pound")</f>
        <v>0 pound</v>
      </c>
      <c r="S37" s="16"/>
      <c r="AA37" s="15" t="s">
        <v>21</v>
      </c>
    </row>
    <row r="38" spans="1:27" s="16" customFormat="1" ht="87.75" customHeight="1" x14ac:dyDescent="0.3">
      <c r="A38" s="68" t="s">
        <v>77</v>
      </c>
      <c r="B38" s="52"/>
      <c r="C38" s="54" t="s">
        <v>48</v>
      </c>
      <c r="D38" s="287"/>
      <c r="E38" s="288"/>
      <c r="F38" s="289"/>
      <c r="G38" s="20" t="s">
        <v>242</v>
      </c>
      <c r="H38" s="21" t="s">
        <v>243</v>
      </c>
      <c r="I38" s="22" t="s">
        <v>140</v>
      </c>
      <c r="J38" s="290"/>
      <c r="K38" s="288"/>
      <c r="L38" s="289"/>
      <c r="M38" s="118" t="s">
        <v>244</v>
      </c>
      <c r="N38" s="122" t="s">
        <v>200</v>
      </c>
      <c r="O38" s="123" t="s">
        <v>159</v>
      </c>
      <c r="P38" s="149"/>
      <c r="Q38" s="142"/>
      <c r="R38" s="141" t="str">
        <f>CEILING(Q38/10.7, 0.25) &amp;  IF(CEILING(Q38/10.7, 0.25)&gt;1, " pounds", " pound")</f>
        <v>0 pound</v>
      </c>
    </row>
    <row r="39" spans="1:27" s="15" customFormat="1" ht="87.75" customHeight="1" x14ac:dyDescent="0.3">
      <c r="A39" s="67" t="s">
        <v>78</v>
      </c>
      <c r="B39" s="53"/>
      <c r="C39" s="55" t="s">
        <v>49</v>
      </c>
      <c r="D39" s="291"/>
      <c r="E39" s="292"/>
      <c r="F39" s="293"/>
      <c r="G39" s="17" t="s">
        <v>242</v>
      </c>
      <c r="H39" s="18" t="s">
        <v>243</v>
      </c>
      <c r="I39" s="19" t="s">
        <v>140</v>
      </c>
      <c r="J39" s="294"/>
      <c r="K39" s="292"/>
      <c r="L39" s="293"/>
      <c r="M39" s="119" t="s">
        <v>143</v>
      </c>
      <c r="N39" s="120" t="s">
        <v>168</v>
      </c>
      <c r="O39" s="121" t="s">
        <v>167</v>
      </c>
      <c r="P39" s="137"/>
      <c r="Q39" s="143"/>
      <c r="R39" s="152" t="str">
        <f>CEILING(Q39/7.9, 0.25) &amp;  IF(CEILING(Q39/7.9, 0.25)&gt;1, " pounds", " pound")</f>
        <v>0 pound</v>
      </c>
      <c r="S39" s="16"/>
    </row>
    <row r="40" spans="1:27" s="15" customFormat="1" ht="87.75" customHeight="1" x14ac:dyDescent="0.3">
      <c r="A40" s="68" t="s">
        <v>79</v>
      </c>
      <c r="B40" s="52"/>
      <c r="C40" s="54" t="s">
        <v>10</v>
      </c>
      <c r="D40" s="20" t="s">
        <v>139</v>
      </c>
      <c r="E40" s="21" t="s">
        <v>140</v>
      </c>
      <c r="F40" s="22" t="s">
        <v>142</v>
      </c>
      <c r="G40" s="20" t="s">
        <v>242</v>
      </c>
      <c r="H40" s="21" t="s">
        <v>243</v>
      </c>
      <c r="I40" s="22" t="s">
        <v>140</v>
      </c>
      <c r="J40" s="154" t="s">
        <v>143</v>
      </c>
      <c r="K40" s="21" t="s">
        <v>158</v>
      </c>
      <c r="L40" s="22" t="s">
        <v>160</v>
      </c>
      <c r="M40" s="118" t="s">
        <v>244</v>
      </c>
      <c r="N40" s="122" t="s">
        <v>146</v>
      </c>
      <c r="O40" s="123" t="s">
        <v>158</v>
      </c>
      <c r="P40" s="148"/>
      <c r="Q40" s="142"/>
      <c r="R40" s="141" t="str">
        <f>IF(AND(P40&lt;&gt;"",Q40&lt;&gt;""), "Error! Two different kinds of vegetables must be served", IF(P40&lt;&gt;"", CEILING(P40/(14.7/2), 0.25) &amp;  IF( CEILING(P40/(14.7/2), 0.25)  &gt; 1, " pounds", " pound"), CEILING(Q40/14.7, 0.25) &amp; IF( CEILING(Q40/14.7, 0.25)  &gt; 1, " pounds", " pound")))</f>
        <v>0 pound</v>
      </c>
      <c r="S40" s="16"/>
    </row>
    <row r="41" spans="1:27" s="15" customFormat="1" ht="87.75" customHeight="1" x14ac:dyDescent="0.3">
      <c r="A41" s="67" t="s">
        <v>58</v>
      </c>
      <c r="B41" s="53"/>
      <c r="C41" s="55" t="s">
        <v>51</v>
      </c>
      <c r="D41" s="291"/>
      <c r="E41" s="292"/>
      <c r="F41" s="293"/>
      <c r="G41" s="17" t="s">
        <v>242</v>
      </c>
      <c r="H41" s="18" t="s">
        <v>243</v>
      </c>
      <c r="I41" s="19" t="s">
        <v>140</v>
      </c>
      <c r="J41" s="294"/>
      <c r="K41" s="292"/>
      <c r="L41" s="293"/>
      <c r="M41" s="119" t="s">
        <v>144</v>
      </c>
      <c r="N41" s="120" t="s">
        <v>246</v>
      </c>
      <c r="O41" s="121" t="s">
        <v>169</v>
      </c>
      <c r="P41" s="137"/>
      <c r="Q41" s="143"/>
      <c r="R41" s="152" t="str">
        <f>CEILING(Q41/6.4, 0.25) &amp;  IF(CEILING(Q39/7.9, 0.25)&gt;1, " pounds", " pound")</f>
        <v>0 pound</v>
      </c>
      <c r="S41" s="16"/>
    </row>
    <row r="42" spans="1:27" s="15" customFormat="1" ht="87.75" customHeight="1" x14ac:dyDescent="0.3">
      <c r="A42" s="66" t="s">
        <v>80</v>
      </c>
      <c r="B42" s="52"/>
      <c r="C42" s="54" t="s">
        <v>40</v>
      </c>
      <c r="D42" s="287"/>
      <c r="E42" s="288"/>
      <c r="F42" s="289"/>
      <c r="G42" s="20" t="s">
        <v>242</v>
      </c>
      <c r="H42" s="21" t="s">
        <v>243</v>
      </c>
      <c r="I42" s="22" t="s">
        <v>140</v>
      </c>
      <c r="J42" s="290"/>
      <c r="K42" s="288"/>
      <c r="L42" s="289"/>
      <c r="M42" s="118" t="s">
        <v>244</v>
      </c>
      <c r="N42" s="122" t="s">
        <v>200</v>
      </c>
      <c r="O42" s="123" t="s">
        <v>159</v>
      </c>
      <c r="P42" s="149"/>
      <c r="Q42" s="142"/>
      <c r="R42" s="141" t="str">
        <f>CEILING(Q42/10.7, 0.25) &amp;  IF(CEILING(Q42/10.7, 0.25) &gt;1, " pounds", " pound")</f>
        <v>0 pound</v>
      </c>
      <c r="S42" s="16"/>
    </row>
    <row r="43" spans="1:27" s="15" customFormat="1" ht="87.75" customHeight="1" x14ac:dyDescent="0.3">
      <c r="A43" s="67" t="s">
        <v>108</v>
      </c>
      <c r="B43" s="53"/>
      <c r="C43" s="55" t="s">
        <v>11</v>
      </c>
      <c r="D43" s="17" t="s">
        <v>139</v>
      </c>
      <c r="E43" s="18" t="s">
        <v>140</v>
      </c>
      <c r="F43" s="19" t="s">
        <v>142</v>
      </c>
      <c r="G43" s="17" t="s">
        <v>242</v>
      </c>
      <c r="H43" s="18" t="s">
        <v>243</v>
      </c>
      <c r="I43" s="19" t="s">
        <v>140</v>
      </c>
      <c r="J43" s="155" t="s">
        <v>147</v>
      </c>
      <c r="K43" s="18" t="s">
        <v>163</v>
      </c>
      <c r="L43" s="19" t="s">
        <v>176</v>
      </c>
      <c r="M43" s="119" t="s">
        <v>143</v>
      </c>
      <c r="N43" s="120" t="s">
        <v>149</v>
      </c>
      <c r="O43" s="121" t="s">
        <v>163</v>
      </c>
      <c r="P43" s="147"/>
      <c r="Q43" s="143"/>
      <c r="R43" s="152" t="str">
        <f>IF(AND(P43&lt;&gt;"", Q43&lt;&gt;""), "Error! Two different kinds of vegetables must be served", IF(P43&lt;&gt;"",  CEILING(P43/(8.9/2), 0.25) &amp; IF(  CEILING(P43/(8.9/2), 0.25) &gt; 1, " pounds", " pound"), CEILING(Q43/8.9, 0.25) &amp;  IF(CEILING(Q43/8.9, 0.25)   &gt; 1, " pounds", " pound")))</f>
        <v>0 pound</v>
      </c>
      <c r="S43" s="16"/>
    </row>
    <row r="44" spans="1:27" s="15" customFormat="1" ht="87.75" customHeight="1" x14ac:dyDescent="0.3">
      <c r="A44" s="68" t="s">
        <v>81</v>
      </c>
      <c r="B44" s="52"/>
      <c r="C44" s="54" t="s">
        <v>23</v>
      </c>
      <c r="D44" s="20" t="s">
        <v>239</v>
      </c>
      <c r="E44" s="21" t="s">
        <v>142</v>
      </c>
      <c r="F44" s="22" t="s">
        <v>241</v>
      </c>
      <c r="G44" s="20" t="s">
        <v>139</v>
      </c>
      <c r="H44" s="21" t="s">
        <v>140</v>
      </c>
      <c r="I44" s="22" t="s">
        <v>142</v>
      </c>
      <c r="J44" s="154" t="s">
        <v>143</v>
      </c>
      <c r="K44" s="21" t="s">
        <v>168</v>
      </c>
      <c r="L44" s="22" t="s">
        <v>167</v>
      </c>
      <c r="M44" s="118" t="s">
        <v>244</v>
      </c>
      <c r="N44" s="122" t="s">
        <v>146</v>
      </c>
      <c r="O44" s="123" t="s">
        <v>168</v>
      </c>
      <c r="P44" s="148"/>
      <c r="Q44" s="142"/>
      <c r="R44" s="141" t="str">
        <f>IF(AND(P44&lt;&gt;"",Q44&lt;&gt;""), "Error! Two different kinds of vegetables must be served", IF(P44&lt;&gt;"", CEILING((P44/31.3)*4, 0.25) &amp;  IF( CEILING((P44/31.3)*4, 0.25)  &gt; 1, " pounds", " pound"), CEILING((Q44/31.3)*2, 0.25) &amp;  IF( CEILING((Q44/31.3)*2, 0.25) &gt; 1, " pounds", " pound")))</f>
        <v>0 pound</v>
      </c>
      <c r="S44" s="16"/>
    </row>
    <row r="45" spans="1:27" s="15" customFormat="1" ht="87.75" customHeight="1" x14ac:dyDescent="0.3">
      <c r="A45" s="70" t="s">
        <v>104</v>
      </c>
      <c r="B45" s="53"/>
      <c r="C45" s="55" t="s">
        <v>8</v>
      </c>
      <c r="D45" s="17" t="s">
        <v>139</v>
      </c>
      <c r="E45" s="18" t="s">
        <v>140</v>
      </c>
      <c r="F45" s="19" t="s">
        <v>142</v>
      </c>
      <c r="G45" s="17" t="s">
        <v>242</v>
      </c>
      <c r="H45" s="18" t="s">
        <v>243</v>
      </c>
      <c r="I45" s="19" t="s">
        <v>140</v>
      </c>
      <c r="J45" s="155" t="s">
        <v>144</v>
      </c>
      <c r="K45" s="18" t="s">
        <v>198</v>
      </c>
      <c r="L45" s="19" t="s">
        <v>252</v>
      </c>
      <c r="M45" s="119" t="s">
        <v>244</v>
      </c>
      <c r="N45" s="120" t="s">
        <v>148</v>
      </c>
      <c r="O45" s="121" t="s">
        <v>198</v>
      </c>
      <c r="P45" s="147"/>
      <c r="Q45" s="143"/>
      <c r="R45" s="152" t="str">
        <f>IF(AND(P45&lt;&gt;"",Q45&lt;&gt;""), "Error! Two different kinds of vegetables must be served", IF(P45&lt;&gt;"", CEILING(P45/(11.4/2), 0.25) &amp;IF( CEILING(P45/(11.4/2), 0.25)  &gt; 1, " pounds", " pound"), CEILING(Q45/11.4, 0.25) &amp; IF(CEILING(Q45/11.4, 0.25)   &gt; 1, " pounds", " pound")))</f>
        <v>0 pound</v>
      </c>
      <c r="S45" s="16"/>
    </row>
    <row r="46" spans="1:27" s="15" customFormat="1" ht="87.75" customHeight="1" x14ac:dyDescent="0.3">
      <c r="A46" s="68" t="s">
        <v>82</v>
      </c>
      <c r="B46" s="52"/>
      <c r="C46" s="54" t="s">
        <v>12</v>
      </c>
      <c r="D46" s="20" t="s">
        <v>139</v>
      </c>
      <c r="E46" s="21" t="s">
        <v>140</v>
      </c>
      <c r="F46" s="22" t="s">
        <v>142</v>
      </c>
      <c r="G46" s="20" t="s">
        <v>242</v>
      </c>
      <c r="H46" s="21" t="s">
        <v>243</v>
      </c>
      <c r="I46" s="22" t="s">
        <v>140</v>
      </c>
      <c r="J46" s="154" t="s">
        <v>145</v>
      </c>
      <c r="K46" s="21" t="s">
        <v>213</v>
      </c>
      <c r="L46" s="22" t="s">
        <v>204</v>
      </c>
      <c r="M46" s="118" t="s">
        <v>143</v>
      </c>
      <c r="N46" s="122" t="s">
        <v>158</v>
      </c>
      <c r="O46" s="123" t="s">
        <v>213</v>
      </c>
      <c r="P46" s="148"/>
      <c r="Q46" s="142"/>
      <c r="R46" s="141" t="str">
        <f>IF(AND(P46&lt;&gt;"", Q46&lt;&gt;""), "Error! Two different kinds of vegetables must be served", IF(P46&lt;&gt;"", CEILING(P46/(7.6/2), 0.25) &amp;  IF(CEILING(P46/(7.6/2), 0.25)  &gt; 1, " pounds", " pound"), CEILING(Q46/7.6, 0.25) &amp;  IF(CEILING(Q46/7.6, 0.25)  &gt; 1, " pounds", " pound")))</f>
        <v>0 pound</v>
      </c>
      <c r="S46" s="16"/>
    </row>
    <row r="47" spans="1:27" s="16" customFormat="1" ht="87.75" customHeight="1" x14ac:dyDescent="0.3">
      <c r="A47" s="67" t="s">
        <v>82</v>
      </c>
      <c r="B47" s="53"/>
      <c r="C47" s="55" t="s">
        <v>13</v>
      </c>
      <c r="D47" s="17" t="s">
        <v>239</v>
      </c>
      <c r="E47" s="18" t="s">
        <v>142</v>
      </c>
      <c r="F47" s="19" t="s">
        <v>241</v>
      </c>
      <c r="G47" s="17" t="s">
        <v>139</v>
      </c>
      <c r="H47" s="18" t="s">
        <v>140</v>
      </c>
      <c r="I47" s="19" t="s">
        <v>142</v>
      </c>
      <c r="J47" s="155" t="s">
        <v>143</v>
      </c>
      <c r="K47" s="18" t="s">
        <v>158</v>
      </c>
      <c r="L47" s="19" t="s">
        <v>213</v>
      </c>
      <c r="M47" s="119" t="s">
        <v>244</v>
      </c>
      <c r="N47" s="120" t="s">
        <v>146</v>
      </c>
      <c r="O47" s="121" t="s">
        <v>158</v>
      </c>
      <c r="P47" s="147"/>
      <c r="Q47" s="143"/>
      <c r="R47" s="152" t="str">
        <f>IF(AND(P47&lt;&gt;"", Q47&lt;&gt;""), "Error! Two different kinds of vegetables must be served", IF(P47&lt;&gt;"", CEILING((P47/30.7)*4, 0.25) &amp;  IF( CEILING((P47/30.7)*4, 0.25) &gt; 1, " pounds", " pound"),  CEILING((Q47/30.7)*2, 0.25) &amp;  IF( CEILING((Q47/30.7)*2, 0.25) &gt; 1, " pounds", " pound")))</f>
        <v>0 pound</v>
      </c>
    </row>
    <row r="48" spans="1:27" s="15" customFormat="1" ht="87.75" customHeight="1" x14ac:dyDescent="0.3">
      <c r="A48" s="66" t="s">
        <v>83</v>
      </c>
      <c r="B48" s="52"/>
      <c r="C48" s="54" t="s">
        <v>48</v>
      </c>
      <c r="D48" s="287"/>
      <c r="E48" s="288"/>
      <c r="F48" s="289"/>
      <c r="G48" s="20" t="s">
        <v>242</v>
      </c>
      <c r="H48" s="21" t="s">
        <v>243</v>
      </c>
      <c r="I48" s="22" t="s">
        <v>140</v>
      </c>
      <c r="J48" s="290"/>
      <c r="K48" s="288"/>
      <c r="L48" s="289"/>
      <c r="M48" s="118" t="s">
        <v>244</v>
      </c>
      <c r="N48" s="122" t="s">
        <v>200</v>
      </c>
      <c r="O48" s="123" t="s">
        <v>170</v>
      </c>
      <c r="P48" s="149"/>
      <c r="Q48" s="142"/>
      <c r="R48" s="141" t="str">
        <f>CEILING(Q48/10.5, 0.25) &amp;  IF(CEILING(Q48/10.5, 0.25) &gt;1, " pounds", " pound")</f>
        <v>0 pound</v>
      </c>
      <c r="S48" s="16"/>
    </row>
    <row r="49" spans="1:19" s="15" customFormat="1" ht="87.75" customHeight="1" x14ac:dyDescent="0.3">
      <c r="A49" s="70" t="s">
        <v>84</v>
      </c>
      <c r="B49" s="53"/>
      <c r="C49" s="55" t="s">
        <v>24</v>
      </c>
      <c r="D49" s="17" t="s">
        <v>139</v>
      </c>
      <c r="E49" s="18" t="s">
        <v>140</v>
      </c>
      <c r="F49" s="19" t="s">
        <v>142</v>
      </c>
      <c r="G49" s="17" t="s">
        <v>242</v>
      </c>
      <c r="H49" s="18" t="s">
        <v>243</v>
      </c>
      <c r="I49" s="19" t="s">
        <v>140</v>
      </c>
      <c r="J49" s="155" t="s">
        <v>199</v>
      </c>
      <c r="K49" s="18" t="s">
        <v>245</v>
      </c>
      <c r="L49" s="19" t="s">
        <v>248</v>
      </c>
      <c r="M49" s="119" t="s">
        <v>144</v>
      </c>
      <c r="N49" s="120" t="s">
        <v>159</v>
      </c>
      <c r="O49" s="121" t="s">
        <v>245</v>
      </c>
      <c r="P49" s="147"/>
      <c r="Q49" s="143"/>
      <c r="R49" s="152" t="str">
        <f>IF(AND(P49&lt;&gt;"", Q49&lt;&gt;""), "Error! Two different kinds of vegetables must be served", IF(P49&lt;&gt;"", CEILING(P49/(5.5/2), 0.25) &amp;  IF(CEILING(P49/(5.5/2), 0.25)  &gt; 1, " pounds", " pound"), CEILING(Q49/5.5, 0.25) &amp;  IF( CEILING(Q49/5.5, 0.25)  &gt; 1, " pounds", " pound")))</f>
        <v>0 pound</v>
      </c>
      <c r="S49" s="16"/>
    </row>
    <row r="50" spans="1:19" s="15" customFormat="1" ht="87.75" customHeight="1" x14ac:dyDescent="0.3">
      <c r="A50" s="135" t="s">
        <v>84</v>
      </c>
      <c r="B50" s="80"/>
      <c r="C50" s="81" t="s">
        <v>38</v>
      </c>
      <c r="D50" s="82" t="s">
        <v>139</v>
      </c>
      <c r="E50" s="83" t="s">
        <v>140</v>
      </c>
      <c r="F50" s="84" t="s">
        <v>142</v>
      </c>
      <c r="G50" s="82" t="s">
        <v>242</v>
      </c>
      <c r="H50" s="83" t="s">
        <v>243</v>
      </c>
      <c r="I50" s="84" t="s">
        <v>140</v>
      </c>
      <c r="J50" s="156" t="s">
        <v>146</v>
      </c>
      <c r="K50" s="83" t="s">
        <v>247</v>
      </c>
      <c r="L50" s="84" t="s">
        <v>253</v>
      </c>
      <c r="M50" s="127" t="s">
        <v>144</v>
      </c>
      <c r="N50" s="128" t="s">
        <v>246</v>
      </c>
      <c r="O50" s="129" t="s">
        <v>247</v>
      </c>
      <c r="P50" s="150"/>
      <c r="Q50" s="144"/>
      <c r="R50" s="157" t="str">
        <f>IF(AND(P50&lt;&gt;"", Q50&lt;&gt;""), "Error! Two different kinds of vegetables must be served", IF(P50&lt;&gt;"", CEILING(P50/(6.6/2), 0.25) &amp;  IF( CEILING(P50/(6.6/2), 0.25)  &gt; 1, " pounds", " pound"),CEILING(Q50/6.6, 0.25) &amp;  IF(CEILING(Q50/6.6, 0.25)   &gt; 1, " pounds", " pound")))</f>
        <v>0 pound</v>
      </c>
      <c r="S50" s="16"/>
    </row>
    <row r="51" spans="1:19" s="15" customFormat="1" ht="87.75" customHeight="1" x14ac:dyDescent="0.3">
      <c r="A51" s="96" t="s">
        <v>109</v>
      </c>
      <c r="B51" s="97"/>
      <c r="C51" s="98" t="s">
        <v>41</v>
      </c>
      <c r="D51" s="99" t="s">
        <v>139</v>
      </c>
      <c r="E51" s="100" t="s">
        <v>140</v>
      </c>
      <c r="F51" s="101" t="s">
        <v>142</v>
      </c>
      <c r="G51" s="99" t="s">
        <v>242</v>
      </c>
      <c r="H51" s="100" t="s">
        <v>243</v>
      </c>
      <c r="I51" s="101" t="s">
        <v>140</v>
      </c>
      <c r="J51" s="158" t="s">
        <v>145</v>
      </c>
      <c r="K51" s="100" t="s">
        <v>213</v>
      </c>
      <c r="L51" s="101" t="s">
        <v>204</v>
      </c>
      <c r="M51" s="124" t="s">
        <v>143</v>
      </c>
      <c r="N51" s="125" t="s">
        <v>158</v>
      </c>
      <c r="O51" s="126" t="s">
        <v>213</v>
      </c>
      <c r="P51" s="146"/>
      <c r="Q51" s="145"/>
      <c r="R51" s="159" t="str">
        <f>IF(AND(P51&lt;&gt;"",Q51&lt;&gt;""), "Error! Two different kinds of vegetables must be served", IF(P51&lt;&gt;"", CEILING(P51/(7.6/2), 0.25) &amp;IF( CEILING(P51/(7.6/2), 0.25) &gt; 1, " pounds", " pound"),CEILING(Q51/7.6, 0.25) &amp;  IF(CEILING(Q51/7.6, 0.25)  &gt; 1, " pounds", " pound")))</f>
        <v>0 pound</v>
      </c>
      <c r="S51" s="16"/>
    </row>
    <row r="52" spans="1:19" s="15" customFormat="1" ht="87.75" customHeight="1" x14ac:dyDescent="0.3">
      <c r="A52" s="79" t="s">
        <v>85</v>
      </c>
      <c r="B52" s="80"/>
      <c r="C52" s="81" t="s">
        <v>25</v>
      </c>
      <c r="D52" s="287"/>
      <c r="E52" s="288"/>
      <c r="F52" s="289"/>
      <c r="G52" s="82" t="s">
        <v>242</v>
      </c>
      <c r="H52" s="83" t="s">
        <v>243</v>
      </c>
      <c r="I52" s="84" t="s">
        <v>140</v>
      </c>
      <c r="J52" s="290"/>
      <c r="K52" s="288"/>
      <c r="L52" s="289"/>
      <c r="M52" s="127" t="s">
        <v>144</v>
      </c>
      <c r="N52" s="128" t="s">
        <v>161</v>
      </c>
      <c r="O52" s="129" t="s">
        <v>171</v>
      </c>
      <c r="P52" s="151"/>
      <c r="Q52" s="144"/>
      <c r="R52" s="157" t="str">
        <f>CEILING(Q52/6.1, 0.25) &amp; IF(CEILING(Q52/6.1, 0.25) &gt;1, " pounds", " pound")</f>
        <v>0 pound</v>
      </c>
    </row>
    <row r="53" spans="1:19" s="15" customFormat="1" ht="87.75" customHeight="1" x14ac:dyDescent="0.3">
      <c r="A53" s="251" t="s">
        <v>114</v>
      </c>
      <c r="B53" s="252"/>
      <c r="C53" s="218" t="s">
        <v>60</v>
      </c>
      <c r="D53" s="219" t="s">
        <v>139</v>
      </c>
      <c r="E53" s="220" t="s">
        <v>140</v>
      </c>
      <c r="F53" s="221" t="s">
        <v>142</v>
      </c>
      <c r="G53" s="17" t="s">
        <v>242</v>
      </c>
      <c r="H53" s="18" t="s">
        <v>243</v>
      </c>
      <c r="I53" s="19" t="s">
        <v>140</v>
      </c>
      <c r="J53" s="155" t="s">
        <v>147</v>
      </c>
      <c r="K53" s="18" t="s">
        <v>205</v>
      </c>
      <c r="L53" s="19" t="s">
        <v>254</v>
      </c>
      <c r="M53" s="119" t="s">
        <v>143</v>
      </c>
      <c r="N53" s="120" t="s">
        <v>149</v>
      </c>
      <c r="O53" s="121" t="s">
        <v>205</v>
      </c>
      <c r="P53" s="147"/>
      <c r="Q53" s="143"/>
      <c r="R53" s="152" t="str">
        <f>IF(AND(P53&lt;&gt;"",Q53&lt;&gt;""), "Error! Two different kinds of vegetables must be served", IF(P53&lt;&gt;"", CEILING(P53/(8.42/2), 0.25) &amp; IF( CEILING(P53/(8.42/2), 0.25) &gt; 1, " pounds", " pound"), CEILING(Q53/8.42, 0.25) &amp;  IF( CEILING(Q53/8.42, 0.25)  &gt; 1, " pounds", " pound")))</f>
        <v>0 pound</v>
      </c>
    </row>
    <row r="54" spans="1:19" s="15" customFormat="1" ht="87.75" customHeight="1" x14ac:dyDescent="0.3">
      <c r="A54" s="66" t="s">
        <v>86</v>
      </c>
      <c r="B54" s="52"/>
      <c r="C54" s="54" t="s">
        <v>232</v>
      </c>
      <c r="D54" s="20" t="s">
        <v>139</v>
      </c>
      <c r="E54" s="21" t="s">
        <v>140</v>
      </c>
      <c r="F54" s="22" t="s">
        <v>142</v>
      </c>
      <c r="G54" s="244" t="s">
        <v>242</v>
      </c>
      <c r="H54" s="245" t="s">
        <v>243</v>
      </c>
      <c r="I54" s="246" t="s">
        <v>140</v>
      </c>
      <c r="J54" s="247" t="s">
        <v>144</v>
      </c>
      <c r="K54" s="245" t="s">
        <v>161</v>
      </c>
      <c r="L54" s="246" t="s">
        <v>174</v>
      </c>
      <c r="M54" s="248" t="s">
        <v>244</v>
      </c>
      <c r="N54" s="249" t="s">
        <v>148</v>
      </c>
      <c r="O54" s="250" t="s">
        <v>161</v>
      </c>
      <c r="P54" s="263"/>
      <c r="Q54" s="264"/>
      <c r="R54" s="265" t="str">
        <f>IF(AND(P54&lt;&gt;"",Q54&lt;&gt;""), "Error! Two different kinds of vegetables must be served", IF(P54&lt;&gt;"", CEILING(P54/(11.9/2), 0.25) &amp; IF(   CEILING(P54/(11.9/2), 0.25)&gt; 1, " pounds", " pound"), CEILING(Q54/11.9, 0.25) &amp;  IF( CEILING(Q54/11.9, 0.25)  &gt; 1, " pounds", " pound")))</f>
        <v>0 pound</v>
      </c>
    </row>
    <row r="55" spans="1:19" s="15" customFormat="1" ht="87.75" customHeight="1" thickBot="1" x14ac:dyDescent="0.35">
      <c r="A55" s="253" t="s">
        <v>86</v>
      </c>
      <c r="B55" s="254"/>
      <c r="C55" s="255" t="s">
        <v>60</v>
      </c>
      <c r="D55" s="256" t="s">
        <v>139</v>
      </c>
      <c r="E55" s="257" t="s">
        <v>140</v>
      </c>
      <c r="F55" s="258" t="s">
        <v>142</v>
      </c>
      <c r="G55" s="256" t="s">
        <v>242</v>
      </c>
      <c r="H55" s="257" t="s">
        <v>243</v>
      </c>
      <c r="I55" s="258" t="s">
        <v>140</v>
      </c>
      <c r="J55" s="259" t="s">
        <v>144</v>
      </c>
      <c r="K55" s="257" t="s">
        <v>170</v>
      </c>
      <c r="L55" s="258" t="s">
        <v>183</v>
      </c>
      <c r="M55" s="260" t="s">
        <v>244</v>
      </c>
      <c r="N55" s="261" t="s">
        <v>200</v>
      </c>
      <c r="O55" s="262" t="s">
        <v>170</v>
      </c>
      <c r="P55" s="266"/>
      <c r="Q55" s="267"/>
      <c r="R55" s="268" t="str">
        <f>IF(AND(P55&lt;&gt;"",Q55&lt;&gt;""), "Error! Two different kinds of vegetables must be served", IF(P55&lt;&gt;"", CEILING(P55/(10.2/2), 0.25) &amp; IF( CEILING(P55/(10.2/2), 0.25) &gt; 1, " pounds", " pound"), CEILING(Q55/10.2, 0.25) &amp;  IF( CEILING(Q55/10.2, 0.25)  &gt; 1, " pounds", " pound")))</f>
        <v>0 pound</v>
      </c>
    </row>
    <row r="57" spans="1:19" ht="68.400000000000006" customHeight="1" x14ac:dyDescent="0.3">
      <c r="A57" s="347" t="s">
        <v>257</v>
      </c>
      <c r="B57" s="347"/>
      <c r="C57" s="347"/>
      <c r="D57" s="347"/>
      <c r="E57" s="347"/>
      <c r="F57" s="347"/>
      <c r="G57" s="347"/>
      <c r="H57" s="347"/>
      <c r="I57" s="347"/>
      <c r="J57" s="347"/>
      <c r="K57" s="347"/>
      <c r="L57" s="347"/>
      <c r="M57" s="347"/>
      <c r="N57" s="347"/>
      <c r="O57" s="347"/>
      <c r="P57" s="347"/>
      <c r="Q57" s="347"/>
      <c r="R57" s="347"/>
    </row>
    <row r="58" spans="1:19" ht="40.950000000000003" customHeight="1" x14ac:dyDescent="0.6">
      <c r="A58" s="327" t="s">
        <v>126</v>
      </c>
      <c r="B58" s="341" t="s">
        <v>256</v>
      </c>
      <c r="C58" s="341"/>
      <c r="D58" s="341"/>
      <c r="E58" s="341"/>
      <c r="F58" s="341"/>
      <c r="G58" s="341"/>
      <c r="H58" s="341"/>
      <c r="I58" s="341"/>
      <c r="J58" s="341"/>
      <c r="K58" s="341"/>
      <c r="L58" s="327"/>
      <c r="M58" s="327"/>
      <c r="N58" s="327"/>
      <c r="O58" s="327"/>
      <c r="P58" s="327"/>
      <c r="Q58" s="327"/>
      <c r="R58" s="327"/>
      <c r="S58" s="64"/>
    </row>
    <row r="59" spans="1:19" s="10" customFormat="1" ht="40.950000000000003" customHeight="1" x14ac:dyDescent="0.6">
      <c r="A59" s="335" t="s">
        <v>259</v>
      </c>
      <c r="B59" s="335"/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  <c r="Q59" s="335"/>
      <c r="R59" s="335"/>
    </row>
    <row r="60" spans="1:19" s="10" customFormat="1" ht="40.950000000000003" customHeight="1" x14ac:dyDescent="0.6">
      <c r="A60" s="335" t="s">
        <v>131</v>
      </c>
      <c r="B60" s="335"/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  <c r="Q60" s="335"/>
      <c r="R60" s="335"/>
      <c r="S60" s="64"/>
    </row>
    <row r="61" spans="1:19" s="10" customFormat="1" ht="40.950000000000003" customHeight="1" x14ac:dyDescent="0.6">
      <c r="A61" s="335" t="s">
        <v>132</v>
      </c>
      <c r="B61" s="335"/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  <c r="R61" s="335"/>
      <c r="S61" s="64"/>
    </row>
    <row r="62" spans="1:19" s="10" customFormat="1" ht="40.950000000000003" customHeight="1" x14ac:dyDescent="0.6">
      <c r="A62" s="341" t="s">
        <v>124</v>
      </c>
      <c r="B62" s="341"/>
      <c r="C62" s="341"/>
      <c r="D62" s="328"/>
      <c r="E62" s="328"/>
      <c r="F62" s="328"/>
      <c r="G62" s="328"/>
      <c r="H62" s="328"/>
      <c r="I62" s="328"/>
      <c r="J62" s="328"/>
      <c r="K62" s="328"/>
      <c r="L62" s="328"/>
      <c r="M62" s="328"/>
      <c r="N62" s="328"/>
      <c r="O62" s="328"/>
      <c r="P62" s="328"/>
      <c r="Q62" s="328"/>
      <c r="R62" s="328"/>
      <c r="S62" s="64"/>
    </row>
    <row r="63" spans="1:19" ht="40.950000000000003" customHeight="1" x14ac:dyDescent="0.6">
      <c r="A63" s="356" t="s">
        <v>125</v>
      </c>
      <c r="B63" s="356"/>
      <c r="C63" s="356"/>
      <c r="D63" s="328"/>
      <c r="E63" s="328"/>
      <c r="F63" s="328"/>
      <c r="G63" s="328"/>
      <c r="H63" s="328"/>
      <c r="I63" s="328"/>
      <c r="J63" s="328"/>
      <c r="K63" s="328"/>
      <c r="L63" s="328"/>
      <c r="M63" s="328"/>
      <c r="N63" s="328"/>
      <c r="O63" s="328"/>
      <c r="P63" s="328"/>
      <c r="Q63" s="328"/>
      <c r="R63" s="328"/>
      <c r="S63" s="51"/>
    </row>
  </sheetData>
  <sheetProtection algorithmName="SHA-512" hashValue="GUH31YEZnjMVB2Gzb8kr91yzAYZUYfZhspxGghD+/7l8QJubvZ7Hg13doH7w0STtYFpSvFeozGeCCdFB5EFQCw==" saltValue="v/gKDISYMoH5+1NBOVvoAA==" spinCount="100000" sheet="1" objects="1" scenarios="1"/>
  <mergeCells count="19">
    <mergeCell ref="A63:C63"/>
    <mergeCell ref="P7:Q7"/>
    <mergeCell ref="A59:R59"/>
    <mergeCell ref="A60:R60"/>
    <mergeCell ref="B58:K58"/>
    <mergeCell ref="A61:R61"/>
    <mergeCell ref="D7:F7"/>
    <mergeCell ref="G7:I7"/>
    <mergeCell ref="J7:L7"/>
    <mergeCell ref="M7:O7"/>
    <mergeCell ref="A57:R57"/>
    <mergeCell ref="A62:C62"/>
    <mergeCell ref="A1:R1"/>
    <mergeCell ref="A2:R2"/>
    <mergeCell ref="A3:R3"/>
    <mergeCell ref="A4:R4"/>
    <mergeCell ref="D6:I6"/>
    <mergeCell ref="J6:R6"/>
    <mergeCell ref="B6:C6"/>
  </mergeCells>
  <phoneticPr fontId="16" type="noConversion"/>
  <hyperlinks>
    <hyperlink ref="B58:K58" r:id="rId1" display="For seasonal produce, see What’s in Season? North Carolina Fruit and Vegetable Availability." xr:uid="{96E693C4-3550-47B7-8384-000B8A760F26}"/>
    <hyperlink ref="A62:B62" r:id="rId2" display="Source: Food Buying Guide for Child Nutrition Programs " xr:uid="{8BD1CF30-67F3-4AF9-8D2E-63CADAF73AB8}"/>
    <hyperlink ref="A63:C63" r:id="rId3" display="USDA Child Meal Pattern " xr:uid="{2FFE97F9-0847-437A-8C57-079820F294C0}"/>
  </hyperlinks>
  <pageMargins left="0.7" right="0.7" top="0.75" bottom="0.75" header="0.3" footer="0.3"/>
  <pageSetup orientation="portrait" r:id="rId4"/>
  <headerFooter>
    <oddHeader xml:space="preserve">&amp;C&amp;G
</oddHeader>
  </headerFooter>
  <drawing r:id="rId5"/>
  <legacyDrawingHF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F84B4-FD7F-4EF2-978A-3CE35353539C}">
  <dimension ref="A1:L49"/>
  <sheetViews>
    <sheetView zoomScale="40" zoomScaleNormal="40" workbookViewId="0">
      <pane ySplit="7" topLeftCell="A8" activePane="bottomLeft" state="frozen"/>
      <selection pane="bottomLeft" activeCell="A2" sqref="A2:K2"/>
    </sheetView>
  </sheetViews>
  <sheetFormatPr defaultRowHeight="23.4" x14ac:dyDescent="0.45"/>
  <cols>
    <col min="1" max="1" width="96.33203125" style="5" customWidth="1"/>
    <col min="2" max="2" width="23.5546875" style="5" customWidth="1"/>
    <col min="3" max="3" width="62.6640625" style="5" customWidth="1"/>
    <col min="4" max="6" width="20.77734375" style="5" customWidth="1"/>
    <col min="7" max="7" width="20.77734375" style="23" customWidth="1"/>
    <col min="8" max="9" width="20.77734375" style="14" customWidth="1"/>
    <col min="10" max="10" width="24.6640625" style="3" customWidth="1"/>
    <col min="11" max="11" width="31.6640625" style="2" customWidth="1"/>
    <col min="12" max="12" width="8.88671875" customWidth="1"/>
  </cols>
  <sheetData>
    <row r="1" spans="1:12" ht="46.2" x14ac:dyDescent="0.85">
      <c r="A1" s="342" t="s">
        <v>30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2" ht="42.75" customHeight="1" x14ac:dyDescent="0.6">
      <c r="A2" s="343" t="s">
        <v>122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12" ht="54" customHeight="1" x14ac:dyDescent="0.85">
      <c r="A3" s="342" t="s">
        <v>4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</row>
    <row r="4" spans="1:12" ht="33.6" x14ac:dyDescent="0.65">
      <c r="A4" s="345" t="s">
        <v>121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</row>
    <row r="5" spans="1:12" ht="24" thickBot="1" x14ac:dyDescent="0.5"/>
    <row r="6" spans="1:12" ht="57.6" customHeight="1" thickBot="1" x14ac:dyDescent="0.35">
      <c r="A6" s="303" t="s">
        <v>0</v>
      </c>
      <c r="B6" s="354" t="s">
        <v>5</v>
      </c>
      <c r="C6" s="362"/>
      <c r="D6" s="354" t="s">
        <v>31</v>
      </c>
      <c r="E6" s="362"/>
      <c r="F6" s="355"/>
      <c r="G6" s="352" t="s">
        <v>1</v>
      </c>
      <c r="H6" s="352"/>
      <c r="I6" s="352"/>
      <c r="J6" s="352"/>
      <c r="K6" s="353"/>
    </row>
    <row r="7" spans="1:12" s="5" customFormat="1" ht="72" customHeight="1" x14ac:dyDescent="0.45">
      <c r="A7" s="242"/>
      <c r="B7" s="242"/>
      <c r="C7" s="243"/>
      <c r="D7" s="298" t="s">
        <v>150</v>
      </c>
      <c r="E7" s="299" t="s">
        <v>151</v>
      </c>
      <c r="F7" s="300" t="s">
        <v>152</v>
      </c>
      <c r="G7" s="301" t="s">
        <v>185</v>
      </c>
      <c r="H7" s="299" t="s">
        <v>154</v>
      </c>
      <c r="I7" s="299" t="s">
        <v>155</v>
      </c>
      <c r="J7" s="298" t="s">
        <v>186</v>
      </c>
      <c r="K7" s="302" t="s">
        <v>187</v>
      </c>
    </row>
    <row r="8" spans="1:12" s="15" customFormat="1" ht="87.75" customHeight="1" x14ac:dyDescent="0.3">
      <c r="A8" s="180" t="s">
        <v>63</v>
      </c>
      <c r="B8" s="181"/>
      <c r="C8" s="182" t="s">
        <v>18</v>
      </c>
      <c r="D8" s="183" t="s">
        <v>192</v>
      </c>
      <c r="E8" s="184" t="s">
        <v>194</v>
      </c>
      <c r="F8" s="185" t="s">
        <v>195</v>
      </c>
      <c r="G8" s="186" t="s">
        <v>147</v>
      </c>
      <c r="H8" s="184" t="s">
        <v>201</v>
      </c>
      <c r="I8" s="187" t="s">
        <v>203</v>
      </c>
      <c r="J8" s="188"/>
      <c r="K8" s="189" t="str">
        <f>CEILING((J8/14.56)*3, 0.25) &amp;  IF(CEILING((J8/14.56)*3, 0.25)&gt;1, " pounds", " pound")</f>
        <v>0 pound</v>
      </c>
    </row>
    <row r="9" spans="1:12" s="15" customFormat="1" ht="87.75" customHeight="1" x14ac:dyDescent="0.3">
      <c r="A9" s="175" t="s">
        <v>116</v>
      </c>
      <c r="B9" s="176"/>
      <c r="C9" s="43" t="s">
        <v>188</v>
      </c>
      <c r="D9" s="44" t="s">
        <v>192</v>
      </c>
      <c r="E9" s="45" t="s">
        <v>194</v>
      </c>
      <c r="F9" s="46" t="s">
        <v>195</v>
      </c>
      <c r="G9" s="177" t="s">
        <v>197</v>
      </c>
      <c r="H9" s="178" t="s">
        <v>202</v>
      </c>
      <c r="I9" s="179" t="s">
        <v>216</v>
      </c>
      <c r="J9" s="320"/>
      <c r="K9" s="48" t="str">
        <f>CEILING((J9/5.52)*3, 0.25) &amp;  IF(CEILING((J9/5.52)*3, 0.25)&gt;1, " pounds", " pound")</f>
        <v>0 pound</v>
      </c>
    </row>
    <row r="10" spans="1:12" s="15" customFormat="1" ht="87.75" customHeight="1" x14ac:dyDescent="0.3">
      <c r="A10" s="35" t="s">
        <v>26</v>
      </c>
      <c r="B10" s="60"/>
      <c r="C10" s="36" t="s">
        <v>134</v>
      </c>
      <c r="D10" s="37" t="s">
        <v>192</v>
      </c>
      <c r="E10" s="38" t="s">
        <v>194</v>
      </c>
      <c r="F10" s="39" t="s">
        <v>195</v>
      </c>
      <c r="G10" s="40" t="s">
        <v>148</v>
      </c>
      <c r="H10" s="38" t="s">
        <v>203</v>
      </c>
      <c r="I10" s="166" t="s">
        <v>217</v>
      </c>
      <c r="J10" s="130"/>
      <c r="K10" s="41" t="str">
        <f>CEILING((J10/7.2)*3, 0.25) &amp; IF(CEILING((J10/7.2)*3, 0.25) &gt;1, " pounds", " pound")</f>
        <v>0 pound</v>
      </c>
    </row>
    <row r="11" spans="1:12" s="15" customFormat="1" ht="87.75" customHeight="1" x14ac:dyDescent="0.3">
      <c r="A11" s="87" t="s">
        <v>87</v>
      </c>
      <c r="B11" s="61"/>
      <c r="C11" s="43" t="s">
        <v>19</v>
      </c>
      <c r="D11" s="44" t="s">
        <v>192</v>
      </c>
      <c r="E11" s="45" t="s">
        <v>194</v>
      </c>
      <c r="F11" s="46" t="s">
        <v>195</v>
      </c>
      <c r="G11" s="47" t="s">
        <v>145</v>
      </c>
      <c r="H11" s="45" t="s">
        <v>167</v>
      </c>
      <c r="I11" s="174" t="s">
        <v>180</v>
      </c>
      <c r="J11" s="131"/>
      <c r="K11" s="48" t="str">
        <f>CEILING((J11/11.9)*3, 0.25) &amp;  IF(CEILING((J11/11.9)*3, 0.25) &gt;1, " pounds", " pound")</f>
        <v>0 pound</v>
      </c>
    </row>
    <row r="12" spans="1:12" s="15" customFormat="1" ht="87.75" customHeight="1" x14ac:dyDescent="0.3">
      <c r="A12" s="35" t="s">
        <v>94</v>
      </c>
      <c r="B12" s="60"/>
      <c r="C12" s="36" t="s">
        <v>19</v>
      </c>
      <c r="D12" s="37" t="s">
        <v>192</v>
      </c>
      <c r="E12" s="38" t="s">
        <v>194</v>
      </c>
      <c r="F12" s="39" t="s">
        <v>195</v>
      </c>
      <c r="G12" s="40" t="s">
        <v>145</v>
      </c>
      <c r="H12" s="38" t="s">
        <v>167</v>
      </c>
      <c r="I12" s="166" t="s">
        <v>180</v>
      </c>
      <c r="J12" s="130"/>
      <c r="K12" s="41" t="str">
        <f>CEILING((J12/11.9)*3, 0.25) &amp;  IF(CEILING((J12/11.9)*3, 0.25)&gt;1, " pounds", " pound")</f>
        <v>0 pound</v>
      </c>
    </row>
    <row r="13" spans="1:12" s="15" customFormat="1" ht="87.75" customHeight="1" x14ac:dyDescent="0.3">
      <c r="A13" s="42" t="s">
        <v>115</v>
      </c>
      <c r="B13" s="62"/>
      <c r="C13" s="49" t="s">
        <v>8</v>
      </c>
      <c r="D13" s="44" t="s">
        <v>192</v>
      </c>
      <c r="E13" s="45" t="s">
        <v>194</v>
      </c>
      <c r="F13" s="46" t="s">
        <v>195</v>
      </c>
      <c r="G13" s="47" t="s">
        <v>143</v>
      </c>
      <c r="H13" s="45" t="s">
        <v>197</v>
      </c>
      <c r="I13" s="174" t="s">
        <v>201</v>
      </c>
      <c r="J13" s="131"/>
      <c r="K13" s="48" t="str">
        <f>CEILING((J13/28.8)*3, 0.25) &amp; IF(CEILING((J13/28.8)*3, 0.25) &gt;1, " pounds", " pound")</f>
        <v>0 pound</v>
      </c>
    </row>
    <row r="14" spans="1:12" s="15" customFormat="1" ht="87.75" customHeight="1" x14ac:dyDescent="0.3">
      <c r="A14" s="35" t="s">
        <v>69</v>
      </c>
      <c r="B14" s="60"/>
      <c r="C14" s="36" t="s">
        <v>20</v>
      </c>
      <c r="D14" s="37" t="s">
        <v>192</v>
      </c>
      <c r="E14" s="38" t="s">
        <v>194</v>
      </c>
      <c r="F14" s="39" t="s">
        <v>195</v>
      </c>
      <c r="G14" s="40" t="s">
        <v>197</v>
      </c>
      <c r="H14" s="38" t="s">
        <v>204</v>
      </c>
      <c r="I14" s="166" t="s">
        <v>218</v>
      </c>
      <c r="J14" s="130"/>
      <c r="K14" s="41" t="str">
        <f>CEILING((J14/5.73)*3, 0.25) &amp;  IF(CEILING((J14/5.73)*3, 0.25)&gt;1, " pounds", " pound")</f>
        <v>0 pound</v>
      </c>
    </row>
    <row r="15" spans="1:12" s="15" customFormat="1" ht="87.75" customHeight="1" x14ac:dyDescent="0.3">
      <c r="A15" s="86" t="s">
        <v>27</v>
      </c>
      <c r="B15" s="62"/>
      <c r="C15" s="49" t="s">
        <v>8</v>
      </c>
      <c r="D15" s="44" t="s">
        <v>192</v>
      </c>
      <c r="E15" s="45" t="s">
        <v>194</v>
      </c>
      <c r="F15" s="46" t="s">
        <v>195</v>
      </c>
      <c r="G15" s="47" t="s">
        <v>147</v>
      </c>
      <c r="H15" s="45" t="s">
        <v>205</v>
      </c>
      <c r="I15" s="174" t="s">
        <v>212</v>
      </c>
      <c r="J15" s="131"/>
      <c r="K15" s="48" t="str">
        <f>CEILING((J15/12.9)*3, 0.25) &amp;  IF(CEILING((J15/12.9)*3, 0.25) &gt;1, " pounds", " pound")</f>
        <v>0 pound</v>
      </c>
    </row>
    <row r="16" spans="1:12" s="15" customFormat="1" ht="87.75" customHeight="1" x14ac:dyDescent="0.3">
      <c r="A16" s="35" t="s">
        <v>70</v>
      </c>
      <c r="B16" s="63"/>
      <c r="C16" s="36" t="s">
        <v>189</v>
      </c>
      <c r="D16" s="37" t="s">
        <v>192</v>
      </c>
      <c r="E16" s="38" t="s">
        <v>194</v>
      </c>
      <c r="F16" s="39" t="s">
        <v>195</v>
      </c>
      <c r="G16" s="40" t="s">
        <v>145</v>
      </c>
      <c r="H16" s="38" t="s">
        <v>206</v>
      </c>
      <c r="I16" s="166" t="s">
        <v>219</v>
      </c>
      <c r="J16" s="130"/>
      <c r="K16" s="41" t="str">
        <f>CEILING((J16/10.3)*3, 0.25) &amp;  IF(CEILING((J16/10.3)*3, 0.25) &gt;1, " pounds", " pound")</f>
        <v>0 pound</v>
      </c>
      <c r="L16" s="16"/>
    </row>
    <row r="17" spans="1:12" s="15" customFormat="1" ht="87.75" customHeight="1" x14ac:dyDescent="0.3">
      <c r="A17" s="168" t="s">
        <v>117</v>
      </c>
      <c r="B17" s="169"/>
      <c r="C17" s="170" t="s">
        <v>113</v>
      </c>
      <c r="D17" s="44" t="s">
        <v>192</v>
      </c>
      <c r="E17" s="45" t="s">
        <v>194</v>
      </c>
      <c r="F17" s="46" t="s">
        <v>195</v>
      </c>
      <c r="G17" s="171" t="s">
        <v>144</v>
      </c>
      <c r="H17" s="172" t="s">
        <v>161</v>
      </c>
      <c r="I17" s="173" t="s">
        <v>171</v>
      </c>
      <c r="J17" s="167"/>
      <c r="K17" s="48" t="str">
        <f>CEILING((J17/18.3)*3, 0.25) &amp; IF(CEILING((J17/18.3)*3, 0.25) &gt;1, " pounds", " pound")</f>
        <v>0 pound</v>
      </c>
      <c r="L17" s="165"/>
    </row>
    <row r="18" spans="1:12" s="15" customFormat="1" ht="87.75" customHeight="1" x14ac:dyDescent="0.3">
      <c r="A18" s="71" t="s">
        <v>28</v>
      </c>
      <c r="B18" s="63"/>
      <c r="C18" s="36" t="s">
        <v>190</v>
      </c>
      <c r="D18" s="37" t="s">
        <v>192</v>
      </c>
      <c r="E18" s="38" t="s">
        <v>194</v>
      </c>
      <c r="F18" s="39" t="s">
        <v>195</v>
      </c>
      <c r="G18" s="40" t="s">
        <v>147</v>
      </c>
      <c r="H18" s="38" t="s">
        <v>207</v>
      </c>
      <c r="I18" s="166" t="s">
        <v>215</v>
      </c>
      <c r="J18" s="130"/>
      <c r="K18" s="41" t="str">
        <f>CEILING((J18/12.2)*3, 0.25) &amp;  IF(CEILING((J18/12.2)*3, 0.25)&gt;1, " pounds", " pound")</f>
        <v>0 pound</v>
      </c>
      <c r="L18" s="16"/>
    </row>
    <row r="19" spans="1:12" s="15" customFormat="1" ht="87.75" customHeight="1" x14ac:dyDescent="0.3">
      <c r="A19" s="86" t="s">
        <v>71</v>
      </c>
      <c r="B19" s="62"/>
      <c r="C19" s="43" t="s">
        <v>32</v>
      </c>
      <c r="D19" s="44" t="s">
        <v>192</v>
      </c>
      <c r="E19" s="45" t="s">
        <v>194</v>
      </c>
      <c r="F19" s="46" t="s">
        <v>195</v>
      </c>
      <c r="G19" s="47" t="s">
        <v>145</v>
      </c>
      <c r="H19" s="45" t="s">
        <v>160</v>
      </c>
      <c r="I19" s="45" t="s">
        <v>202</v>
      </c>
      <c r="J19" s="131"/>
      <c r="K19" s="48" t="str">
        <f>CEILING((J19/11)*3, 0.25) &amp;  IF(CEILING((J19/11)*3, 0.25) &gt;1, " pounds", " pound")</f>
        <v>0 pound</v>
      </c>
    </row>
    <row r="20" spans="1:12" s="15" customFormat="1" ht="87.75" customHeight="1" x14ac:dyDescent="0.3">
      <c r="A20" s="71" t="s">
        <v>54</v>
      </c>
      <c r="B20" s="63"/>
      <c r="C20" s="36" t="s">
        <v>135</v>
      </c>
      <c r="D20" s="37" t="s">
        <v>192</v>
      </c>
      <c r="E20" s="38" t="s">
        <v>194</v>
      </c>
      <c r="F20" s="39" t="s">
        <v>195</v>
      </c>
      <c r="G20" s="40" t="s">
        <v>146</v>
      </c>
      <c r="H20" s="38" t="s">
        <v>174</v>
      </c>
      <c r="I20" s="38" t="s">
        <v>220</v>
      </c>
      <c r="J20" s="130"/>
      <c r="K20" s="41" t="str">
        <f>CEILING(J20/(6/2), 0.25) &amp;  IF(CEILING(J20/(6/2), 0.25)&gt;1, " pounds", " pound")</f>
        <v>0 pound</v>
      </c>
    </row>
    <row r="21" spans="1:12" s="15" customFormat="1" ht="87.75" customHeight="1" x14ac:dyDescent="0.3">
      <c r="A21" s="42" t="s">
        <v>112</v>
      </c>
      <c r="B21" s="62"/>
      <c r="C21" s="49" t="s">
        <v>9</v>
      </c>
      <c r="D21" s="44" t="s">
        <v>192</v>
      </c>
      <c r="E21" s="45" t="s">
        <v>194</v>
      </c>
      <c r="F21" s="46" t="s">
        <v>195</v>
      </c>
      <c r="G21" s="47" t="s">
        <v>198</v>
      </c>
      <c r="H21" s="45" t="s">
        <v>208</v>
      </c>
      <c r="I21" s="45" t="s">
        <v>221</v>
      </c>
      <c r="J21" s="131"/>
      <c r="K21" s="48" t="str">
        <f>CEILING((J21/3.35)*3, 0.25) &amp;  IF(CEILING((J21/3.35)*3, 0.25)&gt;1, " pounds", " pound")</f>
        <v>0 pound</v>
      </c>
    </row>
    <row r="22" spans="1:12" s="15" customFormat="1" ht="87.75" customHeight="1" x14ac:dyDescent="0.3">
      <c r="A22" s="71" t="s">
        <v>73</v>
      </c>
      <c r="B22" s="63"/>
      <c r="C22" s="36" t="s">
        <v>191</v>
      </c>
      <c r="D22" s="37" t="s">
        <v>192</v>
      </c>
      <c r="E22" s="38" t="s">
        <v>194</v>
      </c>
      <c r="F22" s="39" t="s">
        <v>195</v>
      </c>
      <c r="G22" s="40" t="s">
        <v>145</v>
      </c>
      <c r="H22" s="38" t="s">
        <v>167</v>
      </c>
      <c r="I22" s="38" t="s">
        <v>180</v>
      </c>
      <c r="J22" s="130"/>
      <c r="K22" s="41" t="str">
        <f>CEILING((J22/11.8)*3, 0.25) &amp;  IF(CEILING((J22/11.8)*3, 0.25)&gt; 1, " pounds", " pound")</f>
        <v>0 pound</v>
      </c>
    </row>
    <row r="23" spans="1:12" s="15" customFormat="1" ht="87.75" customHeight="1" x14ac:dyDescent="0.3">
      <c r="A23" s="86" t="s">
        <v>57</v>
      </c>
      <c r="B23" s="62"/>
      <c r="C23" s="43" t="s">
        <v>32</v>
      </c>
      <c r="D23" s="44" t="s">
        <v>192</v>
      </c>
      <c r="E23" s="45" t="s">
        <v>194</v>
      </c>
      <c r="F23" s="46" t="s">
        <v>195</v>
      </c>
      <c r="G23" s="47" t="s">
        <v>146</v>
      </c>
      <c r="H23" s="45" t="s">
        <v>171</v>
      </c>
      <c r="I23" s="45" t="s">
        <v>222</v>
      </c>
      <c r="J23" s="131"/>
      <c r="K23" s="48" t="str">
        <f>CEILING((J23/9.27)*3, 0.25) &amp;  IF(CEILING((J23/9.27)*3, 0.25) &gt; 1, " pounds", " pound")</f>
        <v>0 pound</v>
      </c>
    </row>
    <row r="24" spans="1:12" s="15" customFormat="1" ht="87.75" customHeight="1" x14ac:dyDescent="0.3">
      <c r="A24" s="71" t="s">
        <v>95</v>
      </c>
      <c r="B24" s="63"/>
      <c r="C24" s="36" t="s">
        <v>35</v>
      </c>
      <c r="D24" s="37" t="s">
        <v>192</v>
      </c>
      <c r="E24" s="38" t="s">
        <v>194</v>
      </c>
      <c r="F24" s="39" t="s">
        <v>195</v>
      </c>
      <c r="G24" s="40" t="s">
        <v>145</v>
      </c>
      <c r="H24" s="38" t="s">
        <v>160</v>
      </c>
      <c r="I24" s="38" t="s">
        <v>202</v>
      </c>
      <c r="J24" s="130"/>
      <c r="K24" s="41" t="str">
        <f>CEILING((J24/11.1)*3, 0.25) &amp;  IF(CEILING((J24/11.1)*3, 0.25)&gt;1, " pounds", " pound")</f>
        <v>0 pound</v>
      </c>
    </row>
    <row r="25" spans="1:12" s="15" customFormat="1" ht="87.75" customHeight="1" x14ac:dyDescent="0.3">
      <c r="A25" s="86" t="s">
        <v>74</v>
      </c>
      <c r="B25" s="62"/>
      <c r="C25" s="43" t="s">
        <v>34</v>
      </c>
      <c r="D25" s="44" t="s">
        <v>192</v>
      </c>
      <c r="E25" s="45" t="s">
        <v>194</v>
      </c>
      <c r="F25" s="46" t="s">
        <v>195</v>
      </c>
      <c r="G25" s="47" t="s">
        <v>168</v>
      </c>
      <c r="H25" s="45" t="s">
        <v>209</v>
      </c>
      <c r="I25" s="45" t="s">
        <v>223</v>
      </c>
      <c r="J25" s="131"/>
      <c r="K25" s="48" t="str">
        <f>CEILING((J25/4.9)*3, 0.25) &amp;   IF(CEILING((J25/4.9)*3, 0.25)&gt;1, " pounds", " pound")</f>
        <v>0 pound</v>
      </c>
    </row>
    <row r="26" spans="1:12" s="15" customFormat="1" ht="87.75" customHeight="1" x14ac:dyDescent="0.3">
      <c r="A26" s="71" t="s">
        <v>75</v>
      </c>
      <c r="B26" s="63"/>
      <c r="C26" s="36" t="s">
        <v>13</v>
      </c>
      <c r="D26" s="37" t="s">
        <v>193</v>
      </c>
      <c r="E26" s="38" t="s">
        <v>195</v>
      </c>
      <c r="F26" s="39" t="s">
        <v>196</v>
      </c>
      <c r="G26" s="40" t="s">
        <v>143</v>
      </c>
      <c r="H26" s="38" t="s">
        <v>168</v>
      </c>
      <c r="I26" s="38" t="s">
        <v>207</v>
      </c>
      <c r="J26" s="130"/>
      <c r="K26" s="41" t="str">
        <f>CEILING((J26/48.8)*4*1.5, 0.25) &amp; IF(CEILING((J26/48.8)*4*1.5, 0.25)&gt;1, " pounds", " pound")</f>
        <v>0 pound</v>
      </c>
      <c r="L26" s="16"/>
    </row>
    <row r="27" spans="1:12" s="15" customFormat="1" ht="87.75" customHeight="1" x14ac:dyDescent="0.3">
      <c r="A27" s="86" t="s">
        <v>96</v>
      </c>
      <c r="B27" s="62"/>
      <c r="C27" s="43" t="s">
        <v>23</v>
      </c>
      <c r="D27" s="44" t="s">
        <v>193</v>
      </c>
      <c r="E27" s="45" t="s">
        <v>195</v>
      </c>
      <c r="F27" s="46" t="s">
        <v>196</v>
      </c>
      <c r="G27" s="47" t="s">
        <v>145</v>
      </c>
      <c r="H27" s="45" t="s">
        <v>160</v>
      </c>
      <c r="I27" s="45" t="s">
        <v>173</v>
      </c>
      <c r="J27" s="131"/>
      <c r="K27" s="48" t="str">
        <f>CEILING((J27/21.7)*4*1.5, 0.25) &amp;  IF(CEILING((J27/21.7)*4*1.5, 0.25) &gt;1, " pounds", " pound")</f>
        <v>0 pound</v>
      </c>
      <c r="L27" s="16"/>
    </row>
    <row r="28" spans="1:12" s="15" customFormat="1" ht="87.75" customHeight="1" x14ac:dyDescent="0.3">
      <c r="A28" s="71" t="s">
        <v>97</v>
      </c>
      <c r="B28" s="63"/>
      <c r="C28" s="36" t="s">
        <v>36</v>
      </c>
      <c r="D28" s="37" t="s">
        <v>192</v>
      </c>
      <c r="E28" s="38" t="s">
        <v>194</v>
      </c>
      <c r="F28" s="39" t="s">
        <v>195</v>
      </c>
      <c r="G28" s="40" t="s">
        <v>145</v>
      </c>
      <c r="H28" s="38" t="s">
        <v>210</v>
      </c>
      <c r="I28" s="38" t="s">
        <v>224</v>
      </c>
      <c r="J28" s="130"/>
      <c r="K28" s="41" t="str">
        <f>CEILING((J28/10.7)*3, 0.25) &amp;  IF(CEILING((J28/10.7)*3, 0.25) &gt;1, " pounds", " pound")</f>
        <v>0 pound</v>
      </c>
      <c r="L28" s="16"/>
    </row>
    <row r="29" spans="1:12" s="15" customFormat="1" ht="87.75" customHeight="1" x14ac:dyDescent="0.3">
      <c r="A29" s="42" t="s">
        <v>46</v>
      </c>
      <c r="B29" s="61"/>
      <c r="C29" s="43" t="s">
        <v>137</v>
      </c>
      <c r="D29" s="44" t="s">
        <v>192</v>
      </c>
      <c r="E29" s="45" t="s">
        <v>194</v>
      </c>
      <c r="F29" s="46" t="s">
        <v>195</v>
      </c>
      <c r="G29" s="47" t="s">
        <v>198</v>
      </c>
      <c r="H29" s="45" t="s">
        <v>211</v>
      </c>
      <c r="I29" s="45" t="s">
        <v>225</v>
      </c>
      <c r="J29" s="131"/>
      <c r="K29" s="48" t="str">
        <f>CEILING((J29/3.5)*3, 0.25) &amp;  IF(CEILING((J29/3.5)*3, 0.25)&gt;1, " pounds", " pound")</f>
        <v>0 pound</v>
      </c>
    </row>
    <row r="30" spans="1:12" s="16" customFormat="1" ht="87.75" customHeight="1" x14ac:dyDescent="0.3">
      <c r="A30" s="35" t="s">
        <v>89</v>
      </c>
      <c r="B30" s="60"/>
      <c r="C30" s="36" t="s">
        <v>48</v>
      </c>
      <c r="D30" s="37" t="s">
        <v>192</v>
      </c>
      <c r="E30" s="38" t="s">
        <v>194</v>
      </c>
      <c r="F30" s="39" t="s">
        <v>195</v>
      </c>
      <c r="G30" s="40" t="s">
        <v>145</v>
      </c>
      <c r="H30" s="38" t="s">
        <v>210</v>
      </c>
      <c r="I30" s="38" t="s">
        <v>224</v>
      </c>
      <c r="J30" s="130"/>
      <c r="K30" s="41" t="str">
        <f>CEILING((J30/10.7)*3, 0.25) &amp;  IF(CEILING((J30/10.7)*3, 0.25)&gt;1, " pounds", " pound")</f>
        <v>0 pound</v>
      </c>
    </row>
    <row r="31" spans="1:12" s="15" customFormat="1" ht="87.75" customHeight="1" x14ac:dyDescent="0.3">
      <c r="A31" s="42" t="s">
        <v>78</v>
      </c>
      <c r="B31" s="61"/>
      <c r="C31" s="43" t="s">
        <v>49</v>
      </c>
      <c r="D31" s="44" t="s">
        <v>192</v>
      </c>
      <c r="E31" s="45" t="s">
        <v>194</v>
      </c>
      <c r="F31" s="46" t="s">
        <v>195</v>
      </c>
      <c r="G31" s="47" t="s">
        <v>199</v>
      </c>
      <c r="H31" s="45" t="s">
        <v>172</v>
      </c>
      <c r="I31" s="45" t="s">
        <v>226</v>
      </c>
      <c r="J31" s="131"/>
      <c r="K31" s="48" t="str">
        <f>CEILING((J31/7.9)*3, 0.25) &amp;  IF(CEILING((J31/7.9)*3, 0.25)&gt;1, " pounds", " pound")</f>
        <v>0 pound</v>
      </c>
    </row>
    <row r="32" spans="1:12" s="15" customFormat="1" ht="87.75" customHeight="1" x14ac:dyDescent="0.3">
      <c r="A32" s="35" t="s">
        <v>98</v>
      </c>
      <c r="B32" s="63"/>
      <c r="C32" s="50" t="s">
        <v>10</v>
      </c>
      <c r="D32" s="37" t="s">
        <v>192</v>
      </c>
      <c r="E32" s="38" t="s">
        <v>194</v>
      </c>
      <c r="F32" s="39" t="s">
        <v>195</v>
      </c>
      <c r="G32" s="40" t="s">
        <v>147</v>
      </c>
      <c r="H32" s="38" t="s">
        <v>201</v>
      </c>
      <c r="I32" s="38" t="s">
        <v>165</v>
      </c>
      <c r="J32" s="130"/>
      <c r="K32" s="41" t="str">
        <f>CEILING((J32/14.7)*3, 0.25) &amp;  IF(CEILING((J32/14.7)*3, 0.25) &gt;1, " pounds", " pound")</f>
        <v>0 pound</v>
      </c>
    </row>
    <row r="33" spans="1:12" s="15" customFormat="1" ht="87.75" customHeight="1" x14ac:dyDescent="0.3">
      <c r="A33" s="42" t="s">
        <v>58</v>
      </c>
      <c r="B33" s="62"/>
      <c r="C33" s="49" t="s">
        <v>52</v>
      </c>
      <c r="D33" s="44" t="s">
        <v>192</v>
      </c>
      <c r="E33" s="45" t="s">
        <v>194</v>
      </c>
      <c r="F33" s="46" t="s">
        <v>195</v>
      </c>
      <c r="G33" s="47" t="s">
        <v>200</v>
      </c>
      <c r="H33" s="45" t="s">
        <v>212</v>
      </c>
      <c r="I33" s="45" t="s">
        <v>227</v>
      </c>
      <c r="J33" s="131"/>
      <c r="K33" s="48" t="str">
        <f>CEILING((J33/6.4)*3, 0.25) &amp;  IF(CEILING((J33/6.4)*3, 0.25)&gt;1, " pounds", " pound")</f>
        <v>0 pound</v>
      </c>
    </row>
    <row r="34" spans="1:12" s="15" customFormat="1" ht="87.75" customHeight="1" x14ac:dyDescent="0.3">
      <c r="A34" s="65" t="s">
        <v>99</v>
      </c>
      <c r="B34" s="63"/>
      <c r="C34" s="50" t="s">
        <v>37</v>
      </c>
      <c r="D34" s="37" t="s">
        <v>192</v>
      </c>
      <c r="E34" s="38" t="s">
        <v>194</v>
      </c>
      <c r="F34" s="39" t="s">
        <v>195</v>
      </c>
      <c r="G34" s="40" t="s">
        <v>145</v>
      </c>
      <c r="H34" s="38" t="s">
        <v>210</v>
      </c>
      <c r="I34" s="38" t="s">
        <v>224</v>
      </c>
      <c r="J34" s="130"/>
      <c r="K34" s="41" t="str">
        <f>CEILING((J34/10.7)*3, 0.25) &amp;  IF(CEILING((J34/10.7)*3, 0.25) &gt;1, " pounds", " pound")</f>
        <v>0 pound</v>
      </c>
    </row>
    <row r="35" spans="1:12" s="15" customFormat="1" ht="87.75" customHeight="1" x14ac:dyDescent="0.3">
      <c r="A35" s="87" t="s">
        <v>100</v>
      </c>
      <c r="B35" s="62"/>
      <c r="C35" s="49" t="s">
        <v>19</v>
      </c>
      <c r="D35" s="44" t="s">
        <v>192</v>
      </c>
      <c r="E35" s="45" t="s">
        <v>194</v>
      </c>
      <c r="F35" s="46" t="s">
        <v>195</v>
      </c>
      <c r="G35" s="47" t="s">
        <v>147</v>
      </c>
      <c r="H35" s="45" t="s">
        <v>207</v>
      </c>
      <c r="I35" s="45" t="s">
        <v>215</v>
      </c>
      <c r="J35" s="131"/>
      <c r="K35" s="48" t="str">
        <f>CEILING((J35/12.1)*3, 0.25) &amp;  IF(CEILING((J35/12.1)*3, 0.25)&gt;1, " pounds", " pound")</f>
        <v>0 pound</v>
      </c>
    </row>
    <row r="36" spans="1:12" s="15" customFormat="1" ht="87.75" customHeight="1" x14ac:dyDescent="0.3">
      <c r="A36" s="65" t="s">
        <v>103</v>
      </c>
      <c r="B36" s="60"/>
      <c r="C36" s="36" t="s">
        <v>8</v>
      </c>
      <c r="D36" s="37" t="s">
        <v>192</v>
      </c>
      <c r="E36" s="38" t="s">
        <v>194</v>
      </c>
      <c r="F36" s="39" t="s">
        <v>195</v>
      </c>
      <c r="G36" s="40" t="s">
        <v>145</v>
      </c>
      <c r="H36" s="38" t="s">
        <v>213</v>
      </c>
      <c r="I36" s="38" t="s">
        <v>204</v>
      </c>
      <c r="J36" s="130"/>
      <c r="K36" s="41" t="str">
        <f>CEILING((J36/11.4)*3, 0.25) &amp;  IF(CEILING((J36/11.4)*3, 0.25) &gt;1, " pounds", " pound")</f>
        <v>0 pound</v>
      </c>
    </row>
    <row r="37" spans="1:12" s="15" customFormat="1" ht="87.75" customHeight="1" x14ac:dyDescent="0.3">
      <c r="A37" s="87" t="s">
        <v>83</v>
      </c>
      <c r="B37" s="61"/>
      <c r="C37" s="43" t="s">
        <v>48</v>
      </c>
      <c r="D37" s="44" t="s">
        <v>192</v>
      </c>
      <c r="E37" s="45" t="s">
        <v>194</v>
      </c>
      <c r="F37" s="46" t="s">
        <v>195</v>
      </c>
      <c r="G37" s="47" t="s">
        <v>145</v>
      </c>
      <c r="H37" s="45" t="s">
        <v>210</v>
      </c>
      <c r="I37" s="45" t="s">
        <v>166</v>
      </c>
      <c r="J37" s="131"/>
      <c r="K37" s="48" t="str">
        <f>CEILING((J37/10.5)*3, 0.25) &amp;  IF(CEILING((J37/10.5)*3, 0.25)&gt;1, " pounds", " pound")</f>
        <v>0 pound</v>
      </c>
    </row>
    <row r="38" spans="1:12" s="15" customFormat="1" ht="87.75" customHeight="1" x14ac:dyDescent="0.3">
      <c r="A38" s="88" t="s">
        <v>101</v>
      </c>
      <c r="B38" s="89"/>
      <c r="C38" s="90" t="s">
        <v>38</v>
      </c>
      <c r="D38" s="91" t="s">
        <v>192</v>
      </c>
      <c r="E38" s="92" t="s">
        <v>194</v>
      </c>
      <c r="F38" s="93" t="s">
        <v>195</v>
      </c>
      <c r="G38" s="94" t="s">
        <v>200</v>
      </c>
      <c r="H38" s="92" t="s">
        <v>214</v>
      </c>
      <c r="I38" s="92" t="s">
        <v>228</v>
      </c>
      <c r="J38" s="132"/>
      <c r="K38" s="95" t="str">
        <f>CEILING((J38/6.6)*3, 0.25) &amp;  IF(CEILING((J38/6.6)*3, 0.25) &gt;1, " pounds", " pound")</f>
        <v>0 pound</v>
      </c>
    </row>
    <row r="39" spans="1:12" s="15" customFormat="1" ht="87.75" customHeight="1" x14ac:dyDescent="0.3">
      <c r="A39" s="110" t="s">
        <v>62</v>
      </c>
      <c r="B39" s="74"/>
      <c r="C39" s="75" t="s">
        <v>138</v>
      </c>
      <c r="D39" s="76" t="s">
        <v>192</v>
      </c>
      <c r="E39" s="77" t="s">
        <v>194</v>
      </c>
      <c r="F39" s="78" t="s">
        <v>195</v>
      </c>
      <c r="G39" s="153" t="s">
        <v>145</v>
      </c>
      <c r="H39" s="77" t="s">
        <v>206</v>
      </c>
      <c r="I39" s="77" t="s">
        <v>229</v>
      </c>
      <c r="J39" s="133"/>
      <c r="K39" s="73" t="str">
        <f>CEILING((J39/((5/2)*4))*3, 0.25) &amp;  IF(CEILING((J39/((5/2)*4))*3, 0.25) &gt;1, " pounds", " pound")</f>
        <v>0 pound</v>
      </c>
    </row>
    <row r="40" spans="1:12" s="15" customFormat="1" ht="87.75" customHeight="1" x14ac:dyDescent="0.3">
      <c r="A40" s="88" t="s">
        <v>85</v>
      </c>
      <c r="B40" s="89"/>
      <c r="C40" s="90" t="s">
        <v>25</v>
      </c>
      <c r="D40" s="91" t="s">
        <v>192</v>
      </c>
      <c r="E40" s="92" t="s">
        <v>194</v>
      </c>
      <c r="F40" s="93" t="s">
        <v>195</v>
      </c>
      <c r="G40" s="94" t="s">
        <v>200</v>
      </c>
      <c r="H40" s="92" t="s">
        <v>215</v>
      </c>
      <c r="I40" s="92" t="s">
        <v>230</v>
      </c>
      <c r="J40" s="132"/>
      <c r="K40" s="95" t="str">
        <f>CEILING((J40/6.1)*3, 0.25) &amp;  IF(CEILING((J40/6.1)*3, 0.25)&gt;1, " pounds", " pound")</f>
        <v>0 pound</v>
      </c>
    </row>
    <row r="41" spans="1:12" s="15" customFormat="1" ht="87.75" customHeight="1" thickBot="1" x14ac:dyDescent="0.35">
      <c r="A41" s="117" t="s">
        <v>86</v>
      </c>
      <c r="B41" s="111"/>
      <c r="C41" s="112" t="s">
        <v>130</v>
      </c>
      <c r="D41" s="113" t="s">
        <v>192</v>
      </c>
      <c r="E41" s="114" t="s">
        <v>194</v>
      </c>
      <c r="F41" s="115" t="s">
        <v>195</v>
      </c>
      <c r="G41" s="116" t="s">
        <v>145</v>
      </c>
      <c r="H41" s="114" t="s">
        <v>167</v>
      </c>
      <c r="I41" s="114" t="s">
        <v>180</v>
      </c>
      <c r="J41" s="134"/>
      <c r="K41" s="109" t="str">
        <f>CEILING((J41/11.9)*3, 0.25) &amp;  IF(CEILING((J41/11.9)*3, 0.25) &gt;1, " pounds", " pound")</f>
        <v>0 pound</v>
      </c>
    </row>
    <row r="43" spans="1:12" ht="68.400000000000006" customHeight="1" x14ac:dyDescent="0.3">
      <c r="A43" s="347" t="s">
        <v>257</v>
      </c>
      <c r="B43" s="347"/>
      <c r="C43" s="347"/>
      <c r="D43" s="347"/>
      <c r="E43" s="347"/>
      <c r="F43" s="347"/>
      <c r="G43" s="347"/>
      <c r="H43" s="347"/>
      <c r="I43" s="347"/>
      <c r="J43" s="347"/>
      <c r="K43" s="347"/>
    </row>
    <row r="44" spans="1:12" ht="40.950000000000003" customHeight="1" x14ac:dyDescent="0.6">
      <c r="A44" s="327" t="s">
        <v>127</v>
      </c>
      <c r="B44" s="341" t="s">
        <v>256</v>
      </c>
      <c r="C44" s="341"/>
      <c r="D44" s="341"/>
      <c r="E44" s="341"/>
      <c r="F44" s="341"/>
      <c r="G44" s="341"/>
      <c r="H44" s="341"/>
      <c r="I44" s="327"/>
      <c r="J44" s="327"/>
      <c r="K44" s="327"/>
      <c r="L44" s="64"/>
    </row>
    <row r="45" spans="1:12" ht="40.950000000000003" customHeight="1" x14ac:dyDescent="0.6">
      <c r="A45" s="335" t="s">
        <v>259</v>
      </c>
      <c r="B45" s="335"/>
      <c r="C45" s="335"/>
      <c r="D45" s="335"/>
      <c r="E45" s="335"/>
      <c r="F45" s="335"/>
      <c r="G45" s="335"/>
      <c r="H45" s="335"/>
      <c r="I45" s="335"/>
      <c r="J45" s="335"/>
      <c r="K45" s="335"/>
    </row>
    <row r="46" spans="1:12" ht="40.950000000000003" customHeight="1" x14ac:dyDescent="0.6">
      <c r="A46" s="335" t="s">
        <v>131</v>
      </c>
      <c r="B46" s="335"/>
      <c r="C46" s="335"/>
      <c r="D46" s="335"/>
      <c r="E46" s="335"/>
      <c r="F46" s="335"/>
      <c r="G46" s="335"/>
      <c r="H46" s="335"/>
      <c r="I46" s="335"/>
      <c r="J46" s="335"/>
      <c r="K46" s="335"/>
    </row>
    <row r="47" spans="1:12" ht="40.950000000000003" customHeight="1" x14ac:dyDescent="0.6">
      <c r="A47" s="335" t="s">
        <v>133</v>
      </c>
      <c r="B47" s="335"/>
      <c r="C47" s="335"/>
      <c r="D47" s="335"/>
      <c r="E47" s="335"/>
      <c r="F47" s="335"/>
      <c r="G47" s="335"/>
      <c r="H47" s="335"/>
      <c r="I47" s="335"/>
      <c r="J47" s="335"/>
      <c r="K47" s="335"/>
    </row>
    <row r="48" spans="1:12" ht="40.950000000000003" customHeight="1" x14ac:dyDescent="0.6">
      <c r="A48" s="341" t="s">
        <v>124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</row>
    <row r="49" spans="1:11" ht="40.950000000000003" customHeight="1" x14ac:dyDescent="0.6">
      <c r="A49" s="356" t="s">
        <v>125</v>
      </c>
      <c r="B49" s="356"/>
      <c r="C49" s="356"/>
      <c r="D49" s="356"/>
      <c r="E49" s="356"/>
      <c r="F49" s="356"/>
      <c r="G49" s="356"/>
      <c r="H49" s="356"/>
      <c r="I49" s="356"/>
      <c r="J49" s="356"/>
      <c r="K49" s="356"/>
    </row>
  </sheetData>
  <sheetProtection algorithmName="SHA-512" hashValue="8L4nYekEFoJXyXVFnqNXF9E55vDkwk5NzQgdY8CG209bbqBblvL/Nn6gKc9A26IeRgRAZVUWvluYwNAMfo4lWQ==" saltValue="OLFAyyhmeK96K1wlg58XCA==" spinCount="100000" sheet="1" objects="1" scenarios="1"/>
  <mergeCells count="14">
    <mergeCell ref="A49:K49"/>
    <mergeCell ref="A48:K48"/>
    <mergeCell ref="A43:K43"/>
    <mergeCell ref="A45:K45"/>
    <mergeCell ref="A46:K46"/>
    <mergeCell ref="A47:K47"/>
    <mergeCell ref="B44:H44"/>
    <mergeCell ref="A1:K1"/>
    <mergeCell ref="A2:K2"/>
    <mergeCell ref="A3:K3"/>
    <mergeCell ref="A4:K4"/>
    <mergeCell ref="G6:K6"/>
    <mergeCell ref="D6:F6"/>
    <mergeCell ref="B6:C6"/>
  </mergeCells>
  <phoneticPr fontId="16" type="noConversion"/>
  <hyperlinks>
    <hyperlink ref="B44" r:id="rId1" display="For seasonal ability, see What’s in Season? North Carolina Fruit and Vegetable availability " xr:uid="{B57C1F55-ECC4-46D7-BF3E-6549F804215B}"/>
    <hyperlink ref="A48:B48" r:id="rId2" display="Source: Food Buying Guide for Child Nutrition Programs " xr:uid="{9F240056-5AB0-418A-BCF9-5FBFAD51086B}"/>
    <hyperlink ref="B44:H44" r:id="rId3" display="For seasonal produce, see What’s in Season? North Carolina Fruit and Vegetable Availability." xr:uid="{DC5F35E2-0D34-49C2-AE9B-324A5F031695}"/>
    <hyperlink ref="A49:K49" r:id="rId4" display="USDA Child Meal Pattern " xr:uid="{901907DA-AC5D-4ED1-8664-867AD45B9606}"/>
  </hyperlinks>
  <pageMargins left="0.7" right="0.7" top="0.75" bottom="0.75" header="0.3" footer="0.3"/>
  <pageSetup orientation="portrait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C09B41AB7DC4A977AEE3A22FF7710" ma:contentTypeVersion="10" ma:contentTypeDescription="Create a new document." ma:contentTypeScope="" ma:versionID="4c8521bb8f48838ebb5ca8fcfc785260">
  <xsd:schema xmlns:xsd="http://www.w3.org/2001/XMLSchema" xmlns:xs="http://www.w3.org/2001/XMLSchema" xmlns:p="http://schemas.microsoft.com/office/2006/metadata/properties" xmlns:ns2="d90c57f2-4cbc-4c4c-9605-2ca2391b8555" xmlns:ns3="e8f8b462-19c7-40a8-8257-545e82983fc1" targetNamespace="http://schemas.microsoft.com/office/2006/metadata/properties" ma:root="true" ma:fieldsID="cc3b156aef65802edd9d4ee951b978e0" ns2:_="" ns3:_="">
    <xsd:import namespace="d90c57f2-4cbc-4c4c-9605-2ca2391b8555"/>
    <xsd:import namespace="e8f8b462-19c7-40a8-8257-545e82983f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c57f2-4cbc-4c4c-9605-2ca2391b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8b462-19c7-40a8-8257-545e82983fc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633e8da-daf2-4396-8f01-4cd8f25d3cbe}" ma:internalName="TaxCatchAll" ma:showField="CatchAllData" ma:web="e8f8b462-19c7-40a8-8257-545e82983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0c57f2-4cbc-4c4c-9605-2ca2391b8555">
      <Terms xmlns="http://schemas.microsoft.com/office/infopath/2007/PartnerControls"/>
    </lcf76f155ced4ddcb4097134ff3c332f>
    <TaxCatchAll xmlns="e8f8b462-19c7-40a8-8257-545e82983fc1" xsi:nil="true"/>
  </documentManagement>
</p:properties>
</file>

<file path=customXml/itemProps1.xml><?xml version="1.0" encoding="utf-8"?>
<ds:datastoreItem xmlns:ds="http://schemas.openxmlformats.org/officeDocument/2006/customXml" ds:itemID="{A2DD45A1-AF16-42C3-95B7-943CF56B960A}"/>
</file>

<file path=customXml/itemProps2.xml><?xml version="1.0" encoding="utf-8"?>
<ds:datastoreItem xmlns:ds="http://schemas.openxmlformats.org/officeDocument/2006/customXml" ds:itemID="{B8271D6D-3702-4887-B514-268B2C5B4070}"/>
</file>

<file path=customXml/itemProps3.xml><?xml version="1.0" encoding="utf-8"?>
<ds:datastoreItem xmlns:ds="http://schemas.openxmlformats.org/officeDocument/2006/customXml" ds:itemID="{715A3FB5-1AA6-4608-936A-21D5616B47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Breakfast</vt:lpstr>
      <vt:lpstr>Lunch-Supper</vt:lpstr>
      <vt:lpstr>Snack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Mita, Satoko Chika</dc:creator>
  <cp:lastModifiedBy>Munoz, Katherin P</cp:lastModifiedBy>
  <cp:lastPrinted>2020-01-30T17:47:10Z</cp:lastPrinted>
  <dcterms:created xsi:type="dcterms:W3CDTF">2019-12-12T19:02:13Z</dcterms:created>
  <dcterms:modified xsi:type="dcterms:W3CDTF">2022-05-05T15:15:30Z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0x010100F12C09B41AB7DC4A977AEE3A22FF7710</vt:lpwstr>
  </property>
</Properties>
</file>