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\Meal Calculator\"/>
    </mc:Choice>
  </mc:AlternateContent>
  <xr:revisionPtr revIDLastSave="0" documentId="13_ncr:1_{BDD67C1D-30CA-499F-A9E5-5299678F8E0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structions" sheetId="6" r:id="rId1"/>
    <sheet name="Breakfast" sheetId="5" r:id="rId2"/>
    <sheet name="Lunch-Supper" sheetId="1" r:id="rId3"/>
    <sheet name="Snack" sheetId="4" r:id="rId4"/>
  </sheets>
  <definedNames>
    <definedName name="_xlnm.Print_Area" localSheetId="0">Instructions!$A$1:$C$24</definedName>
    <definedName name="_xlnm.Print_Area" localSheetId="2">'Lunch-Supper'!$B$2:$K$53</definedName>
    <definedName name="_xlnm.Print_Area" localSheetId="3">Snack!$B$2:$K$55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4" l="1"/>
  <c r="D20" i="4"/>
  <c r="C20" i="4"/>
  <c r="C3" i="1"/>
  <c r="J13" i="4"/>
  <c r="J38" i="4"/>
  <c r="J39" i="4"/>
  <c r="G3" i="1" l="1"/>
  <c r="H47" i="4"/>
  <c r="H46" i="4"/>
  <c r="H44" i="4"/>
  <c r="H43" i="4"/>
  <c r="H41" i="4"/>
  <c r="H40" i="4"/>
  <c r="H37" i="4"/>
  <c r="H36" i="4"/>
  <c r="H34" i="4"/>
  <c r="H33" i="4"/>
  <c r="H32" i="4"/>
  <c r="H31" i="4"/>
  <c r="H30" i="4"/>
  <c r="H28" i="4"/>
  <c r="H27" i="4"/>
  <c r="H26" i="4"/>
  <c r="H25" i="4"/>
  <c r="H24" i="4"/>
  <c r="H22" i="4"/>
  <c r="H21" i="4"/>
  <c r="H20" i="4"/>
  <c r="H19" i="4"/>
  <c r="H18" i="4"/>
  <c r="H17" i="4"/>
  <c r="H15" i="4"/>
  <c r="H14" i="4"/>
  <c r="H12" i="4"/>
  <c r="H11" i="4"/>
  <c r="H47" i="1"/>
  <c r="H46" i="1"/>
  <c r="H44" i="1"/>
  <c r="H43" i="1"/>
  <c r="H41" i="1"/>
  <c r="H40" i="1"/>
  <c r="H37" i="1"/>
  <c r="H36" i="1"/>
  <c r="H34" i="1"/>
  <c r="H33" i="1"/>
  <c r="H32" i="1"/>
  <c r="H31" i="1"/>
  <c r="H30" i="1"/>
  <c r="H28" i="1"/>
  <c r="H27" i="1"/>
  <c r="H26" i="1"/>
  <c r="H25" i="1"/>
  <c r="H24" i="1"/>
  <c r="H22" i="1"/>
  <c r="H21" i="1"/>
  <c r="H20" i="1"/>
  <c r="H19" i="1"/>
  <c r="H18" i="1"/>
  <c r="H17" i="1"/>
  <c r="H15" i="1"/>
  <c r="H14" i="1"/>
  <c r="H12" i="1"/>
  <c r="H11" i="1"/>
  <c r="H10" i="1" s="1"/>
  <c r="H45" i="5"/>
  <c r="H44" i="5"/>
  <c r="H42" i="5"/>
  <c r="H41" i="5"/>
  <c r="H39" i="5"/>
  <c r="H38" i="5"/>
  <c r="H35" i="5"/>
  <c r="H34" i="5"/>
  <c r="H32" i="5"/>
  <c r="H31" i="5"/>
  <c r="H30" i="5"/>
  <c r="H29" i="5"/>
  <c r="H28" i="5"/>
  <c r="H26" i="5"/>
  <c r="H25" i="5"/>
  <c r="H24" i="5"/>
  <c r="H22" i="5"/>
  <c r="H21" i="5"/>
  <c r="H20" i="5"/>
  <c r="H19" i="5"/>
  <c r="H18" i="5"/>
  <c r="H17" i="5"/>
  <c r="H15" i="5"/>
  <c r="H14" i="5"/>
  <c r="H12" i="5"/>
  <c r="H11" i="5"/>
  <c r="H10" i="5" s="1"/>
  <c r="H10" i="4" l="1"/>
  <c r="G3" i="4"/>
  <c r="C3" i="4"/>
  <c r="G29" i="5"/>
  <c r="D18" i="1"/>
  <c r="C18" i="1"/>
  <c r="G18" i="5" l="1"/>
  <c r="F18" i="1"/>
  <c r="G18" i="1"/>
  <c r="E18" i="1"/>
  <c r="F18" i="4"/>
  <c r="G18" i="4"/>
  <c r="D18" i="4"/>
  <c r="E18" i="4"/>
  <c r="C18" i="4"/>
  <c r="F18" i="5"/>
  <c r="D18" i="5"/>
  <c r="E18" i="5"/>
  <c r="C18" i="5"/>
  <c r="G21" i="5"/>
  <c r="F21" i="5"/>
  <c r="D21" i="5"/>
  <c r="E21" i="5"/>
  <c r="C21" i="5"/>
  <c r="D20" i="5"/>
  <c r="E20" i="5"/>
  <c r="C20" i="5"/>
  <c r="E11" i="4"/>
  <c r="C12" i="4"/>
  <c r="C12" i="5"/>
  <c r="I21" i="5" l="1"/>
  <c r="I18" i="5"/>
  <c r="I18" i="4"/>
  <c r="K18" i="4" s="1"/>
  <c r="I18" i="1"/>
  <c r="K18" i="1" s="1"/>
  <c r="G15" i="4"/>
  <c r="I15" i="4" s="1"/>
  <c r="G14" i="4"/>
  <c r="I14" i="4" s="1"/>
  <c r="G34" i="1"/>
  <c r="G32" i="5"/>
  <c r="F34" i="4"/>
  <c r="G34" i="4"/>
  <c r="F34" i="1"/>
  <c r="F32" i="5"/>
  <c r="D34" i="4"/>
  <c r="E34" i="4"/>
  <c r="C34" i="4"/>
  <c r="D34" i="1"/>
  <c r="E34" i="1"/>
  <c r="C34" i="1"/>
  <c r="E32" i="5"/>
  <c r="D32" i="5"/>
  <c r="C32" i="5"/>
  <c r="G30" i="5"/>
  <c r="G32" i="1"/>
  <c r="G33" i="1"/>
  <c r="G31" i="5"/>
  <c r="F33" i="4"/>
  <c r="G33" i="4"/>
  <c r="F33" i="1"/>
  <c r="F31" i="5"/>
  <c r="D33" i="4"/>
  <c r="E33" i="4"/>
  <c r="C33" i="4"/>
  <c r="D33" i="1"/>
  <c r="E33" i="1"/>
  <c r="C33" i="1"/>
  <c r="D31" i="5"/>
  <c r="E31" i="5"/>
  <c r="C31" i="5"/>
  <c r="F32" i="4"/>
  <c r="G32" i="4"/>
  <c r="F32" i="1"/>
  <c r="F30" i="5"/>
  <c r="G31" i="1"/>
  <c r="F31" i="4"/>
  <c r="G31" i="4"/>
  <c r="F31" i="1"/>
  <c r="F29" i="5"/>
  <c r="G30" i="1"/>
  <c r="G28" i="5"/>
  <c r="F30" i="4"/>
  <c r="G30" i="4"/>
  <c r="F30" i="1"/>
  <c r="F28" i="5"/>
  <c r="F37" i="4"/>
  <c r="G37" i="4"/>
  <c r="D37" i="4"/>
  <c r="E37" i="4"/>
  <c r="C37" i="4"/>
  <c r="G37" i="1"/>
  <c r="F37" i="1"/>
  <c r="D37" i="1"/>
  <c r="E37" i="1"/>
  <c r="C37" i="1"/>
  <c r="G35" i="5"/>
  <c r="F35" i="5"/>
  <c r="D35" i="5"/>
  <c r="E35" i="5"/>
  <c r="C35" i="5"/>
  <c r="F47" i="4"/>
  <c r="G47" i="4"/>
  <c r="D47" i="4"/>
  <c r="E47" i="4"/>
  <c r="C47" i="4"/>
  <c r="F46" i="4"/>
  <c r="G46" i="4"/>
  <c r="D46" i="4"/>
  <c r="E46" i="4"/>
  <c r="C46" i="4"/>
  <c r="F44" i="4"/>
  <c r="G44" i="4"/>
  <c r="D44" i="4"/>
  <c r="E44" i="4"/>
  <c r="C44" i="4"/>
  <c r="F43" i="4"/>
  <c r="G43" i="4"/>
  <c r="D43" i="4"/>
  <c r="E43" i="4"/>
  <c r="C43" i="4"/>
  <c r="G41" i="4"/>
  <c r="F41" i="4"/>
  <c r="D41" i="4"/>
  <c r="E41" i="4"/>
  <c r="C41" i="4"/>
  <c r="G40" i="4"/>
  <c r="F40" i="4"/>
  <c r="D40" i="4"/>
  <c r="E40" i="4"/>
  <c r="C40" i="4"/>
  <c r="G47" i="1"/>
  <c r="F47" i="1"/>
  <c r="D47" i="1"/>
  <c r="E47" i="1"/>
  <c r="C47" i="1"/>
  <c r="G46" i="1"/>
  <c r="F46" i="1"/>
  <c r="D46" i="1"/>
  <c r="E46" i="1"/>
  <c r="C46" i="1"/>
  <c r="G44" i="1"/>
  <c r="F44" i="1"/>
  <c r="D44" i="1"/>
  <c r="E44" i="1"/>
  <c r="C44" i="1"/>
  <c r="G43" i="1"/>
  <c r="F43" i="1"/>
  <c r="D43" i="1"/>
  <c r="E43" i="1"/>
  <c r="C43" i="1"/>
  <c r="G41" i="1"/>
  <c r="F41" i="1"/>
  <c r="D41" i="1"/>
  <c r="E41" i="1"/>
  <c r="C41" i="1"/>
  <c r="G40" i="1"/>
  <c r="F40" i="1"/>
  <c r="D40" i="1"/>
  <c r="E40" i="1"/>
  <c r="C40" i="1"/>
  <c r="G45" i="5"/>
  <c r="F45" i="5"/>
  <c r="D45" i="5"/>
  <c r="E45" i="5"/>
  <c r="C45" i="5"/>
  <c r="G44" i="5"/>
  <c r="F44" i="5"/>
  <c r="D44" i="5"/>
  <c r="E44" i="5"/>
  <c r="C44" i="5"/>
  <c r="G42" i="5"/>
  <c r="F42" i="5"/>
  <c r="D42" i="5"/>
  <c r="E42" i="5"/>
  <c r="C42" i="5"/>
  <c r="G41" i="5"/>
  <c r="F41" i="5"/>
  <c r="D41" i="5"/>
  <c r="E41" i="5"/>
  <c r="C41" i="5"/>
  <c r="G39" i="5"/>
  <c r="F39" i="5"/>
  <c r="D39" i="5"/>
  <c r="E39" i="5"/>
  <c r="C39" i="5"/>
  <c r="G38" i="5"/>
  <c r="F38" i="5"/>
  <c r="D38" i="5"/>
  <c r="E38" i="5"/>
  <c r="C38" i="5"/>
  <c r="E19" i="1"/>
  <c r="I41" i="4" l="1"/>
  <c r="J41" i="4" s="1"/>
  <c r="I39" i="5"/>
  <c r="I44" i="5"/>
  <c r="I45" i="5"/>
  <c r="I42" i="5"/>
  <c r="I38" i="5"/>
  <c r="I31" i="5"/>
  <c r="I32" i="5"/>
  <c r="I41" i="5"/>
  <c r="I35" i="5"/>
  <c r="K35" i="5" s="1"/>
  <c r="J15" i="4"/>
  <c r="K15" i="4"/>
  <c r="I46" i="4"/>
  <c r="K46" i="4" s="1"/>
  <c r="J14" i="4"/>
  <c r="K14" i="4"/>
  <c r="I44" i="4"/>
  <c r="K44" i="4" s="1"/>
  <c r="I40" i="4"/>
  <c r="K40" i="4" s="1"/>
  <c r="I37" i="4"/>
  <c r="K37" i="4" s="1"/>
  <c r="I47" i="4"/>
  <c r="J47" i="4" s="1"/>
  <c r="J18" i="4"/>
  <c r="I43" i="4"/>
  <c r="J43" i="4" s="1"/>
  <c r="I33" i="4"/>
  <c r="K33" i="4" s="1"/>
  <c r="I34" i="4"/>
  <c r="J34" i="4" s="1"/>
  <c r="J18" i="1"/>
  <c r="I40" i="1"/>
  <c r="K40" i="1" s="1"/>
  <c r="I37" i="1"/>
  <c r="K37" i="1" s="1"/>
  <c r="I47" i="1"/>
  <c r="K47" i="1" s="1"/>
  <c r="I43" i="1"/>
  <c r="K43" i="1" s="1"/>
  <c r="I46" i="1"/>
  <c r="K46" i="1" s="1"/>
  <c r="I41" i="1"/>
  <c r="K41" i="1" s="1"/>
  <c r="I34" i="1"/>
  <c r="K34" i="1" s="1"/>
  <c r="I33" i="1"/>
  <c r="K33" i="1" s="1"/>
  <c r="I44" i="1"/>
  <c r="K44" i="1" s="1"/>
  <c r="J37" i="4" l="1"/>
  <c r="J46" i="4"/>
  <c r="J44" i="4"/>
  <c r="K47" i="4"/>
  <c r="J40" i="4"/>
  <c r="K41" i="4"/>
  <c r="J33" i="4"/>
  <c r="K43" i="4"/>
  <c r="K34" i="4"/>
  <c r="K38" i="5"/>
  <c r="J38" i="5"/>
  <c r="J39" i="5"/>
  <c r="K39" i="5"/>
  <c r="K41" i="5"/>
  <c r="J41" i="5"/>
  <c r="J42" i="5"/>
  <c r="K42" i="5"/>
  <c r="K44" i="5"/>
  <c r="J44" i="5"/>
  <c r="K45" i="5"/>
  <c r="J45" i="5"/>
  <c r="J43" i="1"/>
  <c r="J46" i="1"/>
  <c r="J40" i="1"/>
  <c r="J41" i="1"/>
  <c r="J37" i="1"/>
  <c r="J44" i="1"/>
  <c r="J33" i="1"/>
  <c r="J34" i="1"/>
  <c r="J47" i="1"/>
  <c r="E17" i="1"/>
  <c r="G36" i="4" l="1"/>
  <c r="E12" i="4" l="1"/>
  <c r="G12" i="4"/>
  <c r="F12" i="4"/>
  <c r="D12" i="4"/>
  <c r="G11" i="4"/>
  <c r="G10" i="4" s="1"/>
  <c r="F11" i="4"/>
  <c r="F10" i="4" s="1"/>
  <c r="E10" i="4"/>
  <c r="D11" i="4"/>
  <c r="I11" i="4" s="1"/>
  <c r="C11" i="4"/>
  <c r="C9" i="4" s="1"/>
  <c r="I9" i="4" s="1"/>
  <c r="G12" i="5"/>
  <c r="F12" i="5"/>
  <c r="E12" i="5"/>
  <c r="D12" i="5"/>
  <c r="G11" i="5"/>
  <c r="F11" i="5"/>
  <c r="F10" i="5" s="1"/>
  <c r="E11" i="5"/>
  <c r="E10" i="5" s="1"/>
  <c r="D11" i="5"/>
  <c r="D10" i="5" s="1"/>
  <c r="C11" i="5"/>
  <c r="C9" i="5" s="1"/>
  <c r="I9" i="5" s="1"/>
  <c r="F12" i="1"/>
  <c r="G12" i="1"/>
  <c r="E12" i="1"/>
  <c r="D12" i="1"/>
  <c r="F11" i="1"/>
  <c r="F10" i="1" s="1"/>
  <c r="G11" i="1"/>
  <c r="G10" i="1" s="1"/>
  <c r="E11" i="1"/>
  <c r="D11" i="1"/>
  <c r="D10" i="1" s="1"/>
  <c r="C12" i="1"/>
  <c r="C17" i="1"/>
  <c r="C11" i="1"/>
  <c r="C9" i="1" s="1"/>
  <c r="I9" i="1" s="1"/>
  <c r="K9" i="1" s="1"/>
  <c r="I12" i="5" l="1"/>
  <c r="K12" i="5" s="1"/>
  <c r="I12" i="4"/>
  <c r="K12" i="4" s="1"/>
  <c r="K11" i="4"/>
  <c r="J11" i="4"/>
  <c r="J9" i="4"/>
  <c r="K9" i="4"/>
  <c r="K9" i="5"/>
  <c r="J9" i="5"/>
  <c r="J9" i="1"/>
  <c r="I12" i="1"/>
  <c r="K12" i="1" s="1"/>
  <c r="I11" i="5"/>
  <c r="J11" i="5" s="1"/>
  <c r="I11" i="1"/>
  <c r="E10" i="1"/>
  <c r="I10" i="1" s="1"/>
  <c r="K10" i="1" s="1"/>
  <c r="D10" i="4"/>
  <c r="I10" i="4" s="1"/>
  <c r="G10" i="5"/>
  <c r="I10" i="5" s="1"/>
  <c r="J12" i="5" l="1"/>
  <c r="J12" i="4"/>
  <c r="J10" i="4"/>
  <c r="K10" i="4"/>
  <c r="K10" i="5"/>
  <c r="J10" i="5"/>
  <c r="J12" i="1"/>
  <c r="K11" i="1"/>
  <c r="J11" i="1"/>
  <c r="J10" i="1"/>
  <c r="F26" i="5"/>
  <c r="D26" i="5"/>
  <c r="C26" i="5"/>
  <c r="G25" i="5" l="1"/>
  <c r="G24" i="5"/>
  <c r="G17" i="5"/>
  <c r="G19" i="5"/>
  <c r="G22" i="5"/>
  <c r="F20" i="5"/>
  <c r="G15" i="1"/>
  <c r="I15" i="1" s="1"/>
  <c r="K15" i="1" s="1"/>
  <c r="G14" i="1"/>
  <c r="I14" i="1" s="1"/>
  <c r="K14" i="1" s="1"/>
  <c r="G15" i="5"/>
  <c r="I15" i="5" s="1"/>
  <c r="G14" i="5"/>
  <c r="I14" i="5" s="1"/>
  <c r="G20" i="5"/>
  <c r="G34" i="5"/>
  <c r="F34" i="5"/>
  <c r="E34" i="5"/>
  <c r="D34" i="5"/>
  <c r="C34" i="5"/>
  <c r="E30" i="5"/>
  <c r="D30" i="5"/>
  <c r="C30" i="5"/>
  <c r="E29" i="5"/>
  <c r="D29" i="5"/>
  <c r="C29" i="5"/>
  <c r="E28" i="5"/>
  <c r="D28" i="5"/>
  <c r="C28" i="5"/>
  <c r="G26" i="5"/>
  <c r="E26" i="5"/>
  <c r="F25" i="5"/>
  <c r="E25" i="5"/>
  <c r="D25" i="5"/>
  <c r="C25" i="5"/>
  <c r="F24" i="5"/>
  <c r="E24" i="5"/>
  <c r="D24" i="5"/>
  <c r="C24" i="5"/>
  <c r="F22" i="5"/>
  <c r="E22" i="5"/>
  <c r="D22" i="5"/>
  <c r="C22" i="5"/>
  <c r="F19" i="5"/>
  <c r="E19" i="5"/>
  <c r="D19" i="5"/>
  <c r="C19" i="5"/>
  <c r="F17" i="5"/>
  <c r="E17" i="5"/>
  <c r="D17" i="5"/>
  <c r="C17" i="5"/>
  <c r="G28" i="4"/>
  <c r="F28" i="4"/>
  <c r="D28" i="4"/>
  <c r="E28" i="4"/>
  <c r="C28" i="4"/>
  <c r="F27" i="4"/>
  <c r="G27" i="4"/>
  <c r="D27" i="4"/>
  <c r="E27" i="4"/>
  <c r="C27" i="4"/>
  <c r="E26" i="4"/>
  <c r="F25" i="4"/>
  <c r="G25" i="4"/>
  <c r="F24" i="4"/>
  <c r="G24" i="4"/>
  <c r="D25" i="4"/>
  <c r="E25" i="4"/>
  <c r="D24" i="4"/>
  <c r="E24" i="4"/>
  <c r="C25" i="4"/>
  <c r="C24" i="4"/>
  <c r="F22" i="4"/>
  <c r="G22" i="4"/>
  <c r="D22" i="4"/>
  <c r="E22" i="4"/>
  <c r="C22" i="4"/>
  <c r="G21" i="4"/>
  <c r="F21" i="4"/>
  <c r="D21" i="4"/>
  <c r="E21" i="4"/>
  <c r="C21" i="4"/>
  <c r="F20" i="4"/>
  <c r="G20" i="4"/>
  <c r="F19" i="4"/>
  <c r="G19" i="4"/>
  <c r="E19" i="4"/>
  <c r="D19" i="4"/>
  <c r="C19" i="4"/>
  <c r="C17" i="4"/>
  <c r="G17" i="4"/>
  <c r="F17" i="4"/>
  <c r="E17" i="4"/>
  <c r="D17" i="4"/>
  <c r="F36" i="4"/>
  <c r="E36" i="4"/>
  <c r="D36" i="4"/>
  <c r="C36" i="4"/>
  <c r="E32" i="4"/>
  <c r="D32" i="4"/>
  <c r="C32" i="4"/>
  <c r="E31" i="4"/>
  <c r="D31" i="4"/>
  <c r="C31" i="4"/>
  <c r="E30" i="4"/>
  <c r="D30" i="4"/>
  <c r="C30" i="4"/>
  <c r="G26" i="4"/>
  <c r="F26" i="4"/>
  <c r="D26" i="4"/>
  <c r="C26" i="4"/>
  <c r="G36" i="1"/>
  <c r="F36" i="1"/>
  <c r="E36" i="1"/>
  <c r="E32" i="1"/>
  <c r="E31" i="1"/>
  <c r="E30" i="1"/>
  <c r="G28" i="1"/>
  <c r="F28" i="1"/>
  <c r="E28" i="1"/>
  <c r="F27" i="1"/>
  <c r="G27" i="1"/>
  <c r="E27" i="1"/>
  <c r="G26" i="1"/>
  <c r="F26" i="1"/>
  <c r="E26" i="1"/>
  <c r="F25" i="1"/>
  <c r="G25" i="1"/>
  <c r="E25" i="1"/>
  <c r="F24" i="1"/>
  <c r="G24" i="1"/>
  <c r="E24" i="1"/>
  <c r="F22" i="1"/>
  <c r="G22" i="1"/>
  <c r="E22" i="1"/>
  <c r="F21" i="1"/>
  <c r="G21" i="1"/>
  <c r="E21" i="1"/>
  <c r="E20" i="1"/>
  <c r="F20" i="1"/>
  <c r="G20" i="1"/>
  <c r="F19" i="1"/>
  <c r="G19" i="1"/>
  <c r="F17" i="1"/>
  <c r="G17" i="1"/>
  <c r="D36" i="1"/>
  <c r="C36" i="1"/>
  <c r="D32" i="1"/>
  <c r="C32" i="1"/>
  <c r="D31" i="1"/>
  <c r="C31" i="1"/>
  <c r="D28" i="1"/>
  <c r="D27" i="1"/>
  <c r="D26" i="1"/>
  <c r="D25" i="1"/>
  <c r="D24" i="1"/>
  <c r="D22" i="1"/>
  <c r="D21" i="1"/>
  <c r="D20" i="1"/>
  <c r="D19" i="1"/>
  <c r="D17" i="1"/>
  <c r="D30" i="1"/>
  <c r="C30" i="1"/>
  <c r="C26" i="1"/>
  <c r="C28" i="1"/>
  <c r="C27" i="1"/>
  <c r="C25" i="1"/>
  <c r="C24" i="1"/>
  <c r="C22" i="1"/>
  <c r="C21" i="1"/>
  <c r="C20" i="1"/>
  <c r="C19" i="1"/>
  <c r="I17" i="5" l="1"/>
  <c r="I22" i="5"/>
  <c r="J22" i="5" s="1"/>
  <c r="I36" i="4"/>
  <c r="K36" i="4" s="1"/>
  <c r="I31" i="4"/>
  <c r="K31" i="4" s="1"/>
  <c r="I21" i="4"/>
  <c r="K21" i="4" s="1"/>
  <c r="I30" i="4"/>
  <c r="J30" i="4" s="1"/>
  <c r="I26" i="5"/>
  <c r="I24" i="5"/>
  <c r="I20" i="5"/>
  <c r="I25" i="5"/>
  <c r="I19" i="5"/>
  <c r="I34" i="5"/>
  <c r="J34" i="5" s="1"/>
  <c r="I29" i="5"/>
  <c r="I30" i="5"/>
  <c r="I28" i="5"/>
  <c r="I20" i="4"/>
  <c r="K20" i="4" s="1"/>
  <c r="I17" i="4"/>
  <c r="K17" i="4" s="1"/>
  <c r="I24" i="4"/>
  <c r="J24" i="4" s="1"/>
  <c r="I28" i="4"/>
  <c r="K28" i="4" s="1"/>
  <c r="I19" i="4"/>
  <c r="J19" i="4" s="1"/>
  <c r="I26" i="4"/>
  <c r="K26" i="4" s="1"/>
  <c r="I25" i="4"/>
  <c r="K25" i="4" s="1"/>
  <c r="I32" i="4"/>
  <c r="K32" i="4" s="1"/>
  <c r="I22" i="4"/>
  <c r="J22" i="4" s="1"/>
  <c r="I27" i="4"/>
  <c r="J27" i="4" s="1"/>
  <c r="K14" i="5"/>
  <c r="J14" i="5"/>
  <c r="K15" i="5"/>
  <c r="J15" i="5"/>
  <c r="J15" i="1"/>
  <c r="I30" i="1"/>
  <c r="K30" i="1" s="1"/>
  <c r="J14" i="1"/>
  <c r="I27" i="1"/>
  <c r="K27" i="1" s="1"/>
  <c r="I31" i="1"/>
  <c r="K31" i="1" s="1"/>
  <c r="I24" i="1"/>
  <c r="K24" i="1" s="1"/>
  <c r="I17" i="1"/>
  <c r="K17" i="1" s="1"/>
  <c r="I32" i="1"/>
  <c r="K32" i="1" s="1"/>
  <c r="I25" i="1"/>
  <c r="K25" i="1" s="1"/>
  <c r="I36" i="1"/>
  <c r="K36" i="1" s="1"/>
  <c r="I19" i="1"/>
  <c r="K19" i="1" s="1"/>
  <c r="I26" i="1"/>
  <c r="K26" i="1" s="1"/>
  <c r="I22" i="1"/>
  <c r="K22" i="1" s="1"/>
  <c r="I28" i="1"/>
  <c r="K28" i="1" s="1"/>
  <c r="I21" i="1"/>
  <c r="K21" i="1" s="1"/>
  <c r="I20" i="1"/>
  <c r="J31" i="4" l="1"/>
  <c r="J36" i="4"/>
  <c r="K30" i="4"/>
  <c r="J25" i="4"/>
  <c r="K27" i="4"/>
  <c r="J21" i="4"/>
  <c r="J17" i="4"/>
  <c r="J28" i="4"/>
  <c r="J20" i="4"/>
  <c r="K24" i="4"/>
  <c r="J26" i="4"/>
  <c r="K19" i="4"/>
  <c r="K22" i="4"/>
  <c r="J32" i="4"/>
  <c r="J17" i="5"/>
  <c r="K17" i="5"/>
  <c r="J24" i="5"/>
  <c r="K24" i="5"/>
  <c r="J30" i="5"/>
  <c r="K30" i="5"/>
  <c r="K34" i="5"/>
  <c r="J28" i="5"/>
  <c r="K28" i="5"/>
  <c r="J25" i="5"/>
  <c r="K25" i="5"/>
  <c r="K31" i="5"/>
  <c r="J31" i="5"/>
  <c r="K20" i="5"/>
  <c r="J20" i="5"/>
  <c r="K21" i="5"/>
  <c r="J21" i="5"/>
  <c r="K19" i="5"/>
  <c r="J19" i="5"/>
  <c r="J29" i="5"/>
  <c r="K29" i="5"/>
  <c r="K22" i="5"/>
  <c r="J26" i="5"/>
  <c r="K26" i="5"/>
  <c r="J35" i="5"/>
  <c r="J18" i="5"/>
  <c r="K18" i="5"/>
  <c r="K32" i="5"/>
  <c r="J32" i="5"/>
  <c r="J20" i="1"/>
  <c r="K20" i="1"/>
  <c r="J17" i="1"/>
  <c r="J36" i="1"/>
  <c r="J22" i="1"/>
  <c r="J19" i="1"/>
  <c r="J25" i="1"/>
  <c r="J21" i="1"/>
  <c r="J31" i="1"/>
  <c r="J32" i="1"/>
  <c r="J30" i="1"/>
  <c r="J26" i="1"/>
  <c r="J27" i="1"/>
  <c r="J28" i="1"/>
  <c r="J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Mita, Satoko C</author>
    <author>Phillips, Chiara F</author>
  </authors>
  <commentList>
    <comment ref="B3" authorId="0" shapeId="0" xr:uid="{4BDF1825-3D75-4C9E-B886-7F9655A48F5C}">
      <text>
        <r>
          <rPr>
            <sz val="9"/>
            <color indexed="81"/>
            <rFont val="Tahoma"/>
            <family val="2"/>
          </rPr>
          <t xml:space="preserve">Enter name of facility and CACFP Agreement number in the space provided on the tab titled 'Breakfast.' </t>
        </r>
      </text>
    </comment>
    <comment ref="B6" authorId="1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Enter the total number of participants served in the applicable age group including those participants receiving an approved non-dairy beverage
</t>
        </r>
      </text>
    </comment>
    <comment ref="B7" authorId="1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Enter the number of participants served an approved non-dairy beverage substitution in the applicable age group 
</t>
        </r>
      </text>
    </comment>
    <comment ref="B28" authorId="0" shapeId="0" xr:uid="{30E56C81-4F32-419B-B578-690D80DCF62D}">
      <text>
        <r>
          <rPr>
            <b/>
            <sz val="9"/>
            <color indexed="81"/>
            <rFont val="Tahoma"/>
            <family val="2"/>
          </rPr>
          <t>Group A</t>
        </r>
        <r>
          <rPr>
            <sz val="9"/>
            <color indexed="81"/>
            <rFont val="Tahoma"/>
            <family val="2"/>
          </rPr>
          <t xml:space="preserve">
• Bread type coating
• Bread sticks (hard)
• Chow Mein noodles
• Savory Crackers (saltines and snack crackers)
• Croutons
• Pretzels (hard)
• Stuffing (dry)
</t>
        </r>
      </text>
    </comment>
    <comment ref="B29" authorId="0" shapeId="0" xr:uid="{2CC730DF-F2FC-4AAA-A5C5-AE86B1752A81}">
      <text>
        <r>
          <rPr>
            <b/>
            <sz val="9"/>
            <color indexed="81"/>
            <rFont val="Tahoma"/>
            <family val="2"/>
          </rPr>
          <t>Group B</t>
        </r>
        <r>
          <rPr>
            <sz val="9"/>
            <color indexed="81"/>
            <rFont val="Tahoma"/>
            <family val="2"/>
          </rPr>
          <t xml:space="preserve">
• Bagels
• Batter type coating
• Biscuits
• Breads - all (for example sliced, French, Italian)
• Buns (hamburger and hot dog)
• Sweet Crackers (graham crackers - all shapes, animal crackers)
• Egg roll skins
• English muffins
• Pita bread
• Pizza crust
• Pretzels (soft)
• Rolls
• Tortillas
• Tortilla chips
• Taco shells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" authorId="0" shapeId="0" xr:uid="{1F98CBCC-46BA-4A2A-9840-B2C411309FB3}">
      <text>
        <r>
          <rPr>
            <b/>
            <sz val="9"/>
            <color indexed="81"/>
            <rFont val="Tahoma"/>
            <family val="2"/>
          </rPr>
          <t>Group C</t>
        </r>
        <r>
          <rPr>
            <sz val="9"/>
            <color indexed="81"/>
            <rFont val="Tahoma"/>
            <family val="2"/>
          </rPr>
          <t xml:space="preserve">
• Cornbread
• Corn muffins
• Croissants
• Pancakes
• Pie crust
• Waffles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 xr:uid="{CBB1B410-A6F3-4C37-8C08-15F931EC6725}">
      <text>
        <r>
          <rPr>
            <b/>
            <sz val="9"/>
            <color indexed="81"/>
            <rFont val="Tahoma"/>
            <family val="2"/>
          </rPr>
          <t>Group D
•</t>
        </r>
        <r>
          <rPr>
            <sz val="9"/>
            <color indexed="81"/>
            <rFont val="Tahoma"/>
            <family val="2"/>
          </rPr>
          <t xml:space="preserve"> Muffins (all, except corn)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6AAC131A-A0C8-4653-A628-BE004B16902A}">
      <text>
        <r>
          <rPr>
            <b/>
            <sz val="9"/>
            <color indexed="81"/>
            <rFont val="Tahoma"/>
            <family val="2"/>
          </rPr>
          <t xml:space="preserve">Group E
</t>
        </r>
        <r>
          <rPr>
            <sz val="9"/>
            <color indexed="81"/>
            <rFont val="Tahoma"/>
            <family val="2"/>
          </rPr>
          <t>• French toast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 xr:uid="{17F62A9E-002B-4C31-871D-769529F68CEF}">
      <text>
        <r>
          <rPr>
            <b/>
            <sz val="9"/>
            <color indexed="81"/>
            <rFont val="Tahoma"/>
            <family val="2"/>
          </rPr>
          <t>Group H</t>
        </r>
        <r>
          <rPr>
            <sz val="9"/>
            <color indexed="81"/>
            <rFont val="Tahoma"/>
            <family val="2"/>
          </rPr>
          <t xml:space="preserve">
• Cereal Grains (barley, quinoa, etc.)
• Breakfast cereals (cooked)
• Bulgur or cracked wheat
• Macaroni (all shapes)
• Noodles (all varieties)
• Pasta (all shapes)
• Ravioli (noodle only)
• Rice
</t>
        </r>
      </text>
    </comment>
    <comment ref="B36" authorId="0" shapeId="0" xr:uid="{A6F03B13-EA1D-4AB1-842C-20D64B75456F}">
      <text>
        <r>
          <rPr>
            <b/>
            <sz val="9"/>
            <color indexed="81"/>
            <rFont val="Tahoma"/>
            <family val="2"/>
          </rPr>
          <t>Group I</t>
        </r>
        <r>
          <rPr>
            <sz val="9"/>
            <color indexed="81"/>
            <rFont val="Tahoma"/>
            <family val="2"/>
          </rPr>
          <t xml:space="preserve">
• Ready to eat breakfast cereal (cold, dry)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Mita, Satoko C</author>
    <author>Phillips, Chiara F</author>
  </authors>
  <commentList>
    <comment ref="B3" authorId="0" shapeId="0" xr:uid="{05B744E3-B00D-44A7-9010-ACDB56350B82}">
      <text>
        <r>
          <rPr>
            <sz val="9"/>
            <color indexed="81"/>
            <rFont val="Tahoma"/>
            <family val="2"/>
          </rPr>
          <t xml:space="preserve">Enter name of facility and CACFP Agreement number in the space provided on the tab titled 'Breakfast.' </t>
        </r>
      </text>
    </comment>
    <comment ref="B6" authorId="1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the total number of participants served in the applicable age group including those participants receiving an approved non-dairy beverage
</t>
        </r>
      </text>
    </comment>
    <comment ref="B7" authorId="1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the number of participants served an approved non-dairy beverage substitution in the applicable age group 
</t>
        </r>
      </text>
    </comment>
    <comment ref="B30" authorId="0" shapeId="0" xr:uid="{EACD5E90-E94B-4D67-B554-3C413FCAC00B}">
      <text>
        <r>
          <rPr>
            <b/>
            <sz val="9"/>
            <color indexed="81"/>
            <rFont val="Tahoma"/>
            <family val="2"/>
          </rPr>
          <t xml:space="preserve">Group A
</t>
        </r>
        <r>
          <rPr>
            <sz val="9"/>
            <color indexed="81"/>
            <rFont val="Tahoma"/>
            <family val="2"/>
          </rPr>
          <t>• Bread type coating
• Bread sticks (hard)
• Chow Mein noodles
• Savory Crackers (saltines and snack crackers)
• Croutons
• Pretzels (hard)
• Stuffing (dry)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 xr:uid="{6CD0BFB1-DD6D-413D-A560-60774CD1CB00}">
      <text>
        <r>
          <rPr>
            <b/>
            <sz val="9"/>
            <color indexed="81"/>
            <rFont val="Tahoma"/>
            <family val="2"/>
          </rPr>
          <t>Group B</t>
        </r>
        <r>
          <rPr>
            <sz val="9"/>
            <color indexed="81"/>
            <rFont val="Tahoma"/>
            <family val="2"/>
          </rPr>
          <t xml:space="preserve">
• Bagels
• Batter type coating
• Biscuits
• Breads - all (for example sliced, French, Italian)
• Buns (hamburger and hot dog)
• Sweet Crackers (graham crackers - all shapes, animal crackers)
• Egg roll skins
• English muffins
• Pita bread
• Pizza crust
• Pretzels (soft)
• Rolls
• Tortillas
• Tortilla chips
• Taco shells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F347E679-15C0-4CA0-86C4-B49BC654E3EA}">
      <text>
        <r>
          <rPr>
            <b/>
            <sz val="9"/>
            <color indexed="81"/>
            <rFont val="Tahoma"/>
            <family val="2"/>
          </rPr>
          <t>Group C</t>
        </r>
        <r>
          <rPr>
            <sz val="9"/>
            <color indexed="81"/>
            <rFont val="Tahoma"/>
            <family val="2"/>
          </rPr>
          <t xml:space="preserve">
• Cornbread
• Corn muffins
• Croissants
• Pancakes
• Pie crust
• Waffles
</t>
        </r>
      </text>
    </comment>
    <comment ref="B33" authorId="0" shapeId="0" xr:uid="{99588398-ECEB-4FBA-8275-89320C8482C4}">
      <text>
        <r>
          <rPr>
            <b/>
            <sz val="9"/>
            <color indexed="81"/>
            <rFont val="Tahoma"/>
            <family val="2"/>
          </rPr>
          <t>Group D</t>
        </r>
        <r>
          <rPr>
            <sz val="9"/>
            <color indexed="81"/>
            <rFont val="Tahoma"/>
            <family val="2"/>
          </rPr>
          <t xml:space="preserve">
• Muffins (all, except corn)
</t>
        </r>
      </text>
    </comment>
    <comment ref="B34" authorId="0" shapeId="0" xr:uid="{A9D23019-1B32-48C8-930E-569E8A66B74D}">
      <text>
        <r>
          <rPr>
            <b/>
            <sz val="9"/>
            <color indexed="81"/>
            <rFont val="Tahoma"/>
            <family val="2"/>
          </rPr>
          <t>Group E</t>
        </r>
        <r>
          <rPr>
            <sz val="9"/>
            <color indexed="81"/>
            <rFont val="Tahoma"/>
            <family val="2"/>
          </rPr>
          <t xml:space="preserve">
• French toast
</t>
        </r>
      </text>
    </comment>
    <comment ref="B35" authorId="0" shapeId="0" xr:uid="{E040289B-8A52-46E8-86BE-8B8C30047D17}">
      <text>
        <r>
          <rPr>
            <b/>
            <sz val="9"/>
            <color indexed="81"/>
            <rFont val="Tahoma"/>
            <family val="2"/>
          </rPr>
          <t>Group H</t>
        </r>
        <r>
          <rPr>
            <sz val="9"/>
            <color indexed="81"/>
            <rFont val="Tahoma"/>
            <family val="2"/>
          </rPr>
          <t xml:space="preserve">
• Cereal Grains (barley, quinoa, etc.)
• Breakfast cereals (cooked)
• Bulgur or cracked wheat
• Macaroni (all shapes)
• Noodles (all varieties)
• Pasta (all shapes)
• Ravioli (noodle only)
• Rice
</t>
        </r>
      </text>
    </comment>
    <comment ref="B38" authorId="0" shapeId="0" xr:uid="{4809B5B9-266C-4823-94A1-940D4C3AA752}">
      <text>
        <r>
          <rPr>
            <b/>
            <sz val="9"/>
            <color indexed="81"/>
            <rFont val="Tahoma"/>
            <family val="2"/>
          </rPr>
          <t>Group I</t>
        </r>
        <r>
          <rPr>
            <sz val="9"/>
            <color indexed="81"/>
            <rFont val="Tahoma"/>
            <family val="2"/>
          </rPr>
          <t xml:space="preserve">
• Ready to eat breakfast cereal (cold, dry)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Mita, Satoko C</author>
    <author>Phillips, Chiara F</author>
  </authors>
  <commentList>
    <comment ref="B3" authorId="0" shapeId="0" xr:uid="{663D4626-F9F6-43ED-82B8-5B6B8569E082}">
      <text>
        <r>
          <rPr>
            <sz val="9"/>
            <color indexed="81"/>
            <rFont val="Tahoma"/>
            <family val="2"/>
          </rPr>
          <t xml:space="preserve">Enter name of facility and CACFP Agreement number in the space provided on the tab titled 'Breakfast.' </t>
        </r>
      </text>
    </comment>
    <comment ref="B6" authorId="1" shapeId="0" xr:uid="{00000000-0006-0000-0200-000001000000}">
      <text>
        <r>
          <rPr>
            <sz val="9"/>
            <color indexed="81"/>
            <rFont val="Tahoma"/>
            <family val="2"/>
          </rPr>
          <t xml:space="preserve">Enter the total number of participants served in the applicable age group including those participants receiving an approved non-dairy beverage
</t>
        </r>
      </text>
    </comment>
    <comment ref="B7" authorId="1" shapeId="0" xr:uid="{00000000-0006-0000-0200-000002000000}">
      <text>
        <r>
          <rPr>
            <sz val="9"/>
            <color indexed="81"/>
            <rFont val="Tahoma"/>
            <family val="2"/>
          </rPr>
          <t xml:space="preserve">Enter the number of participants served an approved non-dairy beverage substitution in the applicable age group </t>
        </r>
      </text>
    </comment>
    <comment ref="B30" authorId="0" shapeId="0" xr:uid="{E7F184EB-647A-427A-B442-5048926B45AB}">
      <text>
        <r>
          <rPr>
            <b/>
            <sz val="9"/>
            <color indexed="81"/>
            <rFont val="Tahoma"/>
            <family val="2"/>
          </rPr>
          <t>Group A</t>
        </r>
        <r>
          <rPr>
            <sz val="9"/>
            <color indexed="81"/>
            <rFont val="Tahoma"/>
            <family val="2"/>
          </rPr>
          <t xml:space="preserve">
• Bread type coating
• Bread sticks (hard)
• Chow Mein noodles
• Savory Crackers (saltines and snack crackers)
• Croutons
• Pretzels (hard)
• Stuffing (dry)
</t>
        </r>
      </text>
    </comment>
    <comment ref="B31" authorId="0" shapeId="0" xr:uid="{6D9E0262-6828-4F82-8E21-8552B60539B7}">
      <text>
        <r>
          <rPr>
            <b/>
            <sz val="9"/>
            <color indexed="81"/>
            <rFont val="Tahoma"/>
            <family val="2"/>
          </rPr>
          <t>Group B</t>
        </r>
        <r>
          <rPr>
            <sz val="9"/>
            <color indexed="81"/>
            <rFont val="Tahoma"/>
            <family val="2"/>
          </rPr>
          <t xml:space="preserve">
• Bagels
• Batter type coating
• Biscuits
• Breads - all (for example sliced, French, Italian)
• Buns (hamburger and hot dog)
• Sweet Crackers (graham crackers - all shapes, animal crackers)
• Egg roll skins
• English muffins
• Pita bread
• Pizza crust
• Pretzels (soft)
• Rolls
• Tortillas
• Tortilla chips
• Taco shells
</t>
        </r>
      </text>
    </comment>
    <comment ref="B32" authorId="0" shapeId="0" xr:uid="{DDEC814B-F4CF-48DA-A2E3-8D445F2089E2}">
      <text>
        <r>
          <rPr>
            <b/>
            <sz val="9"/>
            <color indexed="81"/>
            <rFont val="Tahoma"/>
            <family val="2"/>
          </rPr>
          <t xml:space="preserve">Group C
</t>
        </r>
        <r>
          <rPr>
            <sz val="9"/>
            <color indexed="81"/>
            <rFont val="Tahoma"/>
            <family val="2"/>
          </rPr>
          <t>• Cornbread
• Corn muffins
• Croissants
• Pancakes
• Pie crust
• Waffles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 xr:uid="{16DC12BC-91DC-411D-BFA8-7E989C436EDD}">
      <text>
        <r>
          <rPr>
            <b/>
            <sz val="9"/>
            <color indexed="81"/>
            <rFont val="Tahoma"/>
            <family val="2"/>
          </rPr>
          <t>Group D</t>
        </r>
        <r>
          <rPr>
            <sz val="9"/>
            <color indexed="81"/>
            <rFont val="Tahoma"/>
            <family val="2"/>
          </rPr>
          <t xml:space="preserve">
• Muffins (all, except corn)
</t>
        </r>
      </text>
    </comment>
    <comment ref="B34" authorId="0" shapeId="0" xr:uid="{B65727E4-F0C7-40B0-A2A7-FDDC6D68D86A}">
      <text>
        <r>
          <rPr>
            <b/>
            <sz val="9"/>
            <color indexed="81"/>
            <rFont val="Tahoma"/>
            <family val="2"/>
          </rPr>
          <t xml:space="preserve">Group E
</t>
        </r>
        <r>
          <rPr>
            <sz val="9"/>
            <color indexed="81"/>
            <rFont val="Tahoma"/>
            <family val="2"/>
          </rPr>
          <t>• French toast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5" authorId="0" shapeId="0" xr:uid="{9239E49E-E81A-46AD-A4BE-52CBE82969DC}">
      <text>
        <r>
          <rPr>
            <b/>
            <sz val="9"/>
            <color indexed="81"/>
            <rFont val="Tahoma"/>
            <family val="2"/>
          </rPr>
          <t>Group H</t>
        </r>
        <r>
          <rPr>
            <sz val="9"/>
            <color indexed="81"/>
            <rFont val="Tahoma"/>
            <family val="2"/>
          </rPr>
          <t xml:space="preserve">
• Cereal Grains (barley, quinoa, etc.)
• Breakfast cereals (cooked)
• Bulgur or cracked wheat
• Macaroni (all shapes)
• Noodles (all varieties)
• Pasta (all shapes)
• Ravioli (noodle only)
• Rice
</t>
        </r>
      </text>
    </comment>
    <comment ref="B38" authorId="0" shapeId="0" xr:uid="{95293FEC-0625-400A-8C67-29D2039AE362}">
      <text>
        <r>
          <rPr>
            <b/>
            <sz val="9"/>
            <color indexed="81"/>
            <rFont val="Tahoma"/>
            <family val="2"/>
          </rPr>
          <t>Group I</t>
        </r>
        <r>
          <rPr>
            <sz val="9"/>
            <color indexed="81"/>
            <rFont val="Tahoma"/>
            <family val="2"/>
          </rPr>
          <t xml:space="preserve">
• Ready to eat breakfast cereal (cold, dry)
</t>
        </r>
      </text>
    </comment>
  </commentList>
</comments>
</file>

<file path=xl/sharedStrings.xml><?xml version="1.0" encoding="utf-8"?>
<sst xmlns="http://schemas.openxmlformats.org/spreadsheetml/2006/main" count="174" uniqueCount="74">
  <si>
    <t>Ages</t>
  </si>
  <si>
    <t>Adults</t>
  </si>
  <si>
    <t>Meal Component</t>
  </si>
  <si>
    <t>Lean meat, poultry, or fish</t>
  </si>
  <si>
    <t>Large egg</t>
  </si>
  <si>
    <t>Cooked dry beans or peas</t>
  </si>
  <si>
    <t>Peanut butter or soy nut butter or other nut or seed butters</t>
  </si>
  <si>
    <t>Vegetables</t>
  </si>
  <si>
    <t>Cooked</t>
  </si>
  <si>
    <t>Dry</t>
  </si>
  <si>
    <t>Ounces</t>
  </si>
  <si>
    <t>Cups</t>
  </si>
  <si>
    <t>Milk (1% or skim)</t>
  </si>
  <si>
    <t>Peanuts, soy nuts, tree nuts, or seeds</t>
  </si>
  <si>
    <t>Agreement #:</t>
  </si>
  <si>
    <t>Meat/Meat Alternate</t>
  </si>
  <si>
    <t>BREAKFAST</t>
  </si>
  <si>
    <t>LUNCH/SUPPER</t>
  </si>
  <si>
    <t>SNACK</t>
  </si>
  <si>
    <t xml:space="preserve">Name of Facility: </t>
  </si>
  <si>
    <t>Number of Participants Served an Approved Non-Dairy Beverage</t>
  </si>
  <si>
    <t>Approved Non-Dairy Beverage</t>
  </si>
  <si>
    <t xml:space="preserve">Total Number of Participants Served </t>
  </si>
  <si>
    <t>Grains</t>
  </si>
  <si>
    <t>Vegetables/Fruits*</t>
  </si>
  <si>
    <t xml:space="preserve">Instructions </t>
  </si>
  <si>
    <t>Purpose</t>
  </si>
  <si>
    <t xml:space="preserve">      For Flakes and Rounds</t>
  </si>
  <si>
    <t xml:space="preserve">           Ounces</t>
  </si>
  <si>
    <t xml:space="preserve">           Cups</t>
  </si>
  <si>
    <t xml:space="preserve">      For Puffed Cereal</t>
  </si>
  <si>
    <t xml:space="preserve">      For Granola</t>
  </si>
  <si>
    <t>12-23 Months</t>
  </si>
  <si>
    <t>3-5</t>
  </si>
  <si>
    <t>Whole Milk</t>
  </si>
  <si>
    <t xml:space="preserve">Yogurt </t>
  </si>
  <si>
    <t>Yogurt</t>
  </si>
  <si>
    <t xml:space="preserve">Grains </t>
  </si>
  <si>
    <t xml:space="preserve">   Group A</t>
  </si>
  <si>
    <t xml:space="preserve">   Group B</t>
  </si>
  <si>
    <t xml:space="preserve">   Group C</t>
  </si>
  <si>
    <t xml:space="preserve">   Group H</t>
  </si>
  <si>
    <t xml:space="preserve">   Group D  </t>
  </si>
  <si>
    <t xml:space="preserve">   Group D </t>
  </si>
  <si>
    <t xml:space="preserve">   Group E </t>
  </si>
  <si>
    <t xml:space="preserve">   Group E  </t>
  </si>
  <si>
    <t xml:space="preserve">   Group I  </t>
  </si>
  <si>
    <t xml:space="preserve">   Group I</t>
  </si>
  <si>
    <t>Total
Amount Needed</t>
  </si>
  <si>
    <t>Adults
(Non-program)**</t>
  </si>
  <si>
    <t>Substitution for Milk: Yogurt (Adults only)</t>
  </si>
  <si>
    <t>6-18</t>
  </si>
  <si>
    <t>This institution is an equal opportunity provider.</t>
  </si>
  <si>
    <t>**Adult (Non-program) are non-CACFP participants. Example: Teachers and caregivers</t>
  </si>
  <si>
    <t>***Rounded at the 2nd decimal point.</t>
  </si>
  <si>
    <r>
      <rPr>
        <b/>
        <sz val="12"/>
        <rFont val="Calibri"/>
        <family val="2"/>
        <scheme val="minor"/>
      </rPr>
      <t>Step 3</t>
    </r>
    <r>
      <rPr>
        <sz val="12"/>
        <rFont val="Calibri"/>
        <family val="2"/>
        <scheme val="minor"/>
      </rPr>
      <t xml:space="preserve">: In the </t>
    </r>
    <r>
      <rPr>
        <b/>
        <sz val="12"/>
        <rFont val="Calibri"/>
        <family val="2"/>
        <scheme val="minor"/>
      </rPr>
      <t>pink</t>
    </r>
    <r>
      <rPr>
        <sz val="12"/>
        <rFont val="Calibri"/>
        <family val="2"/>
        <scheme val="minor"/>
      </rPr>
      <t xml:space="preserve"> cells, enter the total number of participants to be served in each age group, including those served an approved non-dairy beverage.</t>
    </r>
  </si>
  <si>
    <t>Tofu</t>
  </si>
  <si>
    <t>Natural or processed cheese</t>
  </si>
  <si>
    <t>Vegetable/Fruit**</t>
  </si>
  <si>
    <t>Meat/Meat Alternate*</t>
  </si>
  <si>
    <t>Adults
(Non-program)***</t>
  </si>
  <si>
    <t>***Adult (Non-program) are non-CACFP participants. Example: Teachers and caregivers</t>
  </si>
  <si>
    <t>*Meat/Meat Alternate can be served instead of grains at breakfast up to 3 times per week.</t>
  </si>
  <si>
    <r>
      <rPr>
        <b/>
        <sz val="12"/>
        <color theme="1"/>
        <rFont val="Calibri"/>
        <family val="2"/>
        <scheme val="minor"/>
      </rPr>
      <t>Step 1:</t>
    </r>
    <r>
      <rPr>
        <sz val="12"/>
        <color theme="1"/>
        <rFont val="Calibri"/>
        <family val="2"/>
        <scheme val="minor"/>
      </rPr>
      <t xml:space="preserve"> Click on the tab titled '</t>
    </r>
    <r>
      <rPr>
        <b/>
        <sz val="12"/>
        <color theme="1"/>
        <rFont val="Calibri"/>
        <family val="2"/>
        <scheme val="minor"/>
      </rPr>
      <t>Breakfast</t>
    </r>
    <r>
      <rPr>
        <sz val="12"/>
        <color theme="1"/>
        <rFont val="Calibri"/>
        <family val="2"/>
        <scheme val="minor"/>
      </rPr>
      <t>.' Then, enter name of facility and CACFP Agreement Number. The name of the facility and CACFP agreement number will automatically populate onto the tabs for Lunch-Supper and Snack.</t>
    </r>
  </si>
  <si>
    <r>
      <rPr>
        <b/>
        <sz val="12"/>
        <color theme="1"/>
        <rFont val="Calibri"/>
        <family val="2"/>
        <scheme val="minor"/>
      </rPr>
      <t xml:space="preserve">Step 2: </t>
    </r>
    <r>
      <rPr>
        <sz val="12"/>
        <color theme="1"/>
        <rFont val="Calibri"/>
        <family val="2"/>
        <scheme val="minor"/>
      </rPr>
      <t>Click on the tab at the bottom of the workbook for the meal that is being served (Breakfast, Lunch-Supper, Snack).</t>
    </r>
  </si>
  <si>
    <t>****Rounded at the 2nd decimal point.</t>
  </si>
  <si>
    <r>
      <t xml:space="preserve">Department of Health and Human Services
Division of Child and Family Well-Being, Community Nutrition Services Section
Child and Adult Care Food Program
</t>
    </r>
    <r>
      <rPr>
        <b/>
        <sz val="14"/>
        <color theme="1"/>
        <rFont val="Calibri"/>
        <family val="2"/>
        <scheme val="minor"/>
      </rPr>
      <t>Meal Component Calculation Workbook</t>
    </r>
  </si>
  <si>
    <t xml:space="preserve">**Dried fruit credits as twice the volume served. Example: 1/4 cup raisins = 1/2 cup fruit serving </t>
  </si>
  <si>
    <t xml:space="preserve">*Dried fruit credits as twice the volume served. Example: 1/4 cup raisins = 1/2 cup fruit serving </t>
  </si>
  <si>
    <t xml:space="preserve">Use this workbook to calculate the minimum amount of food required to meet the serving requirements for all participants in each age group being served breakfast, lunch/supper, and snack. Please note that larger portion sizes than specified may need to be served to children 13 through 18 years old to meet their nutritional needs. </t>
  </si>
  <si>
    <r>
      <rPr>
        <b/>
        <sz val="12"/>
        <color theme="1"/>
        <rFont val="Calibri"/>
        <family val="2"/>
        <scheme val="minor"/>
      </rPr>
      <t xml:space="preserve">Step 4: </t>
    </r>
    <r>
      <rPr>
        <sz val="12"/>
        <color theme="1"/>
        <rFont val="Calibri"/>
        <family val="2"/>
        <scheme val="minor"/>
      </rPr>
      <t>In the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light pink </t>
    </r>
    <r>
      <rPr>
        <sz val="12"/>
        <rFont val="Calibri"/>
        <family val="2"/>
        <scheme val="minor"/>
      </rPr>
      <t>ce</t>
    </r>
    <r>
      <rPr>
        <sz val="12"/>
        <color theme="1"/>
        <rFont val="Calibri"/>
        <family val="2"/>
        <scheme val="minor"/>
      </rPr>
      <t>lls, enter the number of participants in each age group who are served an approved non-dairy beverage.</t>
    </r>
  </si>
  <si>
    <r>
      <rPr>
        <b/>
        <sz val="12"/>
        <color theme="1"/>
        <rFont val="Calibri"/>
        <family val="2"/>
        <scheme val="minor"/>
      </rPr>
      <t xml:space="preserve">Step 5: </t>
    </r>
    <r>
      <rPr>
        <sz val="12"/>
        <color theme="1"/>
        <rFont val="Calibri"/>
        <family val="2"/>
        <scheme val="minor"/>
      </rPr>
      <t xml:space="preserve">The workbook will calculate the minimum amount of food required for each age group and the total amount needed. For grains/breads, refer to Exhibit A of the Food Buying Guide to find the grain product served. A link to Exhibit A is provided for each grain group. This workbook will also provide the list of grains for each group by clicking on or hovering over that specific cell. </t>
    </r>
  </si>
  <si>
    <t>Fruits*</t>
  </si>
  <si>
    <t>NC CACFP 03/2023                                       This institution is an equal opportunity provider.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</si>
</sst>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\ &quot;fl. oz.&quot;"/>
    <numFmt numFmtId="165" formatCode="0\ &quot;oz.&quot;"/>
    <numFmt numFmtId="166" formatCode="0\ &quot;Tbsp.&quot;"/>
    <numFmt numFmtId="167" formatCode="0.0\ &quot;oz.&quot;"/>
    <numFmt numFmtId="168" formatCode="0\ &quot;gm&quot;"/>
    <numFmt numFmtId="169" formatCode="#\ ?/?\ &quot;cup&quot;"/>
    <numFmt numFmtId="170" formatCode="#\ ?/?\ &quot;egg&quot;"/>
    <numFmt numFmtId="171" formatCode="0.00\ &quot;oz.&quot;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4" tint="0.3999755851924192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mediumGray"/>
    </fill>
    <fill>
      <patternFill patternType="mediumGray">
        <bgColor theme="0"/>
      </patternFill>
    </fill>
    <fill>
      <patternFill patternType="mediumGray">
        <fgColor auto="1"/>
        <bgColor theme="0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71">
    <xf numFmtId="0" fontId="0" fillId="0" borderId="0" xfId="0"/>
    <xf numFmtId="0" fontId="9" fillId="0" borderId="0" xfId="0" applyFont="1"/>
    <xf numFmtId="0" fontId="11" fillId="0" borderId="0" xfId="0" applyFont="1"/>
    <xf numFmtId="0" fontId="0" fillId="2" borderId="0" xfId="0" applyFill="1"/>
    <xf numFmtId="0" fontId="9" fillId="3" borderId="9" xfId="0" applyFont="1" applyFill="1" applyBorder="1" applyAlignment="1" applyProtection="1">
      <alignment horizontal="center"/>
      <protection locked="0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>
      <alignment wrapText="1"/>
    </xf>
    <xf numFmtId="0" fontId="15" fillId="2" borderId="8" xfId="0" applyFont="1" applyFill="1" applyBorder="1" applyAlignment="1">
      <alignment wrapText="1"/>
    </xf>
    <xf numFmtId="0" fontId="9" fillId="2" borderId="8" xfId="0" applyFont="1" applyFill="1" applyBorder="1"/>
    <xf numFmtId="0" fontId="0" fillId="2" borderId="8" xfId="0" applyFill="1" applyBorder="1"/>
    <xf numFmtId="0" fontId="9" fillId="3" borderId="1" xfId="0" applyFont="1" applyFill="1" applyBorder="1" applyAlignment="1" applyProtection="1">
      <alignment horizontal="center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0" fontId="9" fillId="3" borderId="24" xfId="0" applyFont="1" applyFill="1" applyBorder="1" applyAlignment="1" applyProtection="1">
      <alignment horizontal="center"/>
      <protection locked="0"/>
    </xf>
    <xf numFmtId="0" fontId="9" fillId="3" borderId="18" xfId="0" applyFont="1" applyFill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/>
    <xf numFmtId="0" fontId="9" fillId="0" borderId="0" xfId="0" applyFont="1" applyAlignment="1">
      <alignment horizontal="left"/>
    </xf>
    <xf numFmtId="0" fontId="8" fillId="3" borderId="25" xfId="0" applyFont="1" applyFill="1" applyBorder="1"/>
    <xf numFmtId="0" fontId="0" fillId="4" borderId="1" xfId="0" applyFill="1" applyBorder="1" applyAlignment="1">
      <alignment horizontal="right"/>
    </xf>
    <xf numFmtId="49" fontId="0" fillId="4" borderId="1" xfId="0" applyNumberFormat="1" applyFill="1" applyBorder="1" applyAlignment="1">
      <alignment horizontal="right"/>
    </xf>
    <xf numFmtId="169" fontId="0" fillId="2" borderId="0" xfId="0" applyNumberFormat="1" applyFill="1"/>
    <xf numFmtId="0" fontId="9" fillId="0" borderId="2" xfId="0" applyFont="1" applyBorder="1" applyAlignment="1">
      <alignment horizontal="left"/>
    </xf>
    <xf numFmtId="0" fontId="8" fillId="3" borderId="19" xfId="0" applyFont="1" applyFill="1" applyBorder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left" indent="3"/>
    </xf>
    <xf numFmtId="0" fontId="0" fillId="2" borderId="0" xfId="0" applyFill="1" applyAlignment="1">
      <alignment horizontal="center"/>
    </xf>
    <xf numFmtId="0" fontId="10" fillId="6" borderId="20" xfId="0" applyFont="1" applyFill="1" applyBorder="1" applyAlignment="1">
      <alignment wrapText="1"/>
    </xf>
    <xf numFmtId="0" fontId="9" fillId="6" borderId="18" xfId="0" applyFont="1" applyFill="1" applyBorder="1" applyAlignment="1" applyProtection="1">
      <alignment horizontal="center" wrapText="1"/>
      <protection locked="0"/>
    </xf>
    <xf numFmtId="0" fontId="9" fillId="6" borderId="1" xfId="0" applyFont="1" applyFill="1" applyBorder="1" applyAlignment="1" applyProtection="1">
      <alignment horizontal="center" wrapText="1"/>
      <protection locked="0"/>
    </xf>
    <xf numFmtId="0" fontId="9" fillId="6" borderId="15" xfId="0" applyFont="1" applyFill="1" applyBorder="1" applyAlignment="1" applyProtection="1">
      <alignment horizontal="center" wrapText="1"/>
      <protection locked="0"/>
    </xf>
    <xf numFmtId="0" fontId="10" fillId="6" borderId="26" xfId="0" applyFont="1" applyFill="1" applyBorder="1" applyAlignment="1">
      <alignment wrapText="1"/>
    </xf>
    <xf numFmtId="0" fontId="9" fillId="6" borderId="21" xfId="0" applyFont="1" applyFill="1" applyBorder="1" applyAlignment="1" applyProtection="1">
      <alignment horizontal="center" wrapText="1"/>
      <protection locked="0"/>
    </xf>
    <xf numFmtId="0" fontId="9" fillId="6" borderId="3" xfId="0" applyFont="1" applyFill="1" applyBorder="1" applyAlignment="1" applyProtection="1">
      <alignment horizontal="center" wrapText="1"/>
      <protection locked="0"/>
    </xf>
    <xf numFmtId="0" fontId="17" fillId="7" borderId="23" xfId="0" applyFont="1" applyFill="1" applyBorder="1"/>
    <xf numFmtId="0" fontId="17" fillId="7" borderId="5" xfId="0" applyFont="1" applyFill="1" applyBorder="1" applyAlignment="1">
      <alignment horizontal="center"/>
    </xf>
    <xf numFmtId="49" fontId="17" fillId="7" borderId="5" xfId="0" applyNumberFormat="1" applyFont="1" applyFill="1" applyBorder="1" applyAlignment="1">
      <alignment horizontal="center"/>
    </xf>
    <xf numFmtId="49" fontId="17" fillId="7" borderId="5" xfId="0" applyNumberFormat="1" applyFont="1" applyFill="1" applyBorder="1" applyAlignment="1">
      <alignment horizontal="center" wrapTex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23" xfId="0" applyFont="1" applyFill="1" applyBorder="1" applyAlignment="1">
      <alignment horizontal="left"/>
    </xf>
    <xf numFmtId="0" fontId="1" fillId="8" borderId="19" xfId="0" applyFont="1" applyFill="1" applyBorder="1"/>
    <xf numFmtId="0" fontId="1" fillId="8" borderId="13" xfId="0" applyFont="1" applyFill="1" applyBorder="1"/>
    <xf numFmtId="0" fontId="2" fillId="8" borderId="13" xfId="0" applyFont="1" applyFill="1" applyBorder="1" applyAlignment="1">
      <alignment horizontal="left" wrapText="1" indent="1" readingOrder="1"/>
    </xf>
    <xf numFmtId="0" fontId="3" fillId="8" borderId="13" xfId="0" applyFont="1" applyFill="1" applyBorder="1" applyAlignment="1">
      <alignment horizontal="left" wrapText="1" indent="1" readingOrder="1"/>
    </xf>
    <xf numFmtId="0" fontId="6" fillId="8" borderId="13" xfId="0" applyFont="1" applyFill="1" applyBorder="1" applyAlignment="1">
      <alignment horizontal="left" wrapText="1" indent="3" readingOrder="1"/>
    </xf>
    <xf numFmtId="0" fontId="3" fillId="8" borderId="20" xfId="0" applyFont="1" applyFill="1" applyBorder="1" applyAlignment="1">
      <alignment horizontal="left" wrapText="1" indent="1" readingOrder="1"/>
    </xf>
    <xf numFmtId="0" fontId="4" fillId="8" borderId="17" xfId="0" applyFont="1" applyFill="1" applyBorder="1" applyAlignment="1">
      <alignment horizontal="left" wrapText="1" readingOrder="1"/>
    </xf>
    <xf numFmtId="0" fontId="4" fillId="8" borderId="19" xfId="0" applyFont="1" applyFill="1" applyBorder="1" applyAlignment="1">
      <alignment horizontal="left" wrapText="1" readingOrder="1"/>
    </xf>
    <xf numFmtId="0" fontId="5" fillId="8" borderId="13" xfId="0" applyFont="1" applyFill="1" applyBorder="1" applyAlignment="1">
      <alignment horizontal="left" indent="3"/>
    </xf>
    <xf numFmtId="0" fontId="5" fillId="8" borderId="13" xfId="0" applyFont="1" applyFill="1" applyBorder="1"/>
    <xf numFmtId="0" fontId="5" fillId="8" borderId="20" xfId="0" applyFont="1" applyFill="1" applyBorder="1"/>
    <xf numFmtId="0" fontId="6" fillId="8" borderId="20" xfId="0" applyFont="1" applyFill="1" applyBorder="1" applyAlignment="1">
      <alignment horizontal="left" wrapText="1" indent="3" readingOrder="1"/>
    </xf>
    <xf numFmtId="0" fontId="1" fillId="9" borderId="19" xfId="0" applyFont="1" applyFill="1" applyBorder="1"/>
    <xf numFmtId="0" fontId="1" fillId="9" borderId="13" xfId="0" applyFont="1" applyFill="1" applyBorder="1"/>
    <xf numFmtId="0" fontId="1" fillId="9" borderId="13" xfId="0" applyFont="1" applyFill="1" applyBorder="1" applyAlignment="1">
      <alignment wrapText="1"/>
    </xf>
    <xf numFmtId="0" fontId="5" fillId="9" borderId="13" xfId="0" applyFont="1" applyFill="1" applyBorder="1" applyAlignment="1">
      <alignment horizontal="left" wrapText="1" indent="2"/>
    </xf>
    <xf numFmtId="0" fontId="5" fillId="9" borderId="20" xfId="0" applyFont="1" applyFill="1" applyBorder="1" applyAlignment="1">
      <alignment horizontal="left" wrapText="1" indent="2"/>
    </xf>
    <xf numFmtId="0" fontId="4" fillId="9" borderId="17" xfId="0" applyFont="1" applyFill="1" applyBorder="1" applyAlignment="1">
      <alignment horizontal="left" wrapText="1" readingOrder="1"/>
    </xf>
    <xf numFmtId="0" fontId="4" fillId="9" borderId="19" xfId="0" applyFont="1" applyFill="1" applyBorder="1" applyAlignment="1">
      <alignment horizontal="left" wrapText="1" readingOrder="1"/>
    </xf>
    <xf numFmtId="0" fontId="5" fillId="9" borderId="13" xfId="0" applyFont="1" applyFill="1" applyBorder="1" applyAlignment="1">
      <alignment horizontal="left" indent="3"/>
    </xf>
    <xf numFmtId="0" fontId="5" fillId="9" borderId="13" xfId="0" applyFont="1" applyFill="1" applyBorder="1"/>
    <xf numFmtId="0" fontId="5" fillId="9" borderId="20" xfId="0" applyFont="1" applyFill="1" applyBorder="1"/>
    <xf numFmtId="0" fontId="17" fillId="10" borderId="17" xfId="0" applyFont="1" applyFill="1" applyBorder="1"/>
    <xf numFmtId="171" fontId="0" fillId="0" borderId="36" xfId="0" applyNumberFormat="1" applyBorder="1"/>
    <xf numFmtId="0" fontId="5" fillId="2" borderId="45" xfId="0" applyFont="1" applyFill="1" applyBorder="1"/>
    <xf numFmtId="0" fontId="0" fillId="0" borderId="3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8" xfId="0" applyBorder="1"/>
    <xf numFmtId="167" fontId="0" fillId="2" borderId="0" xfId="0" applyNumberFormat="1" applyFill="1"/>
    <xf numFmtId="0" fontId="0" fillId="2" borderId="0" xfId="0" applyFill="1" applyAlignment="1">
      <alignment horizontal="left"/>
    </xf>
    <xf numFmtId="49" fontId="8" fillId="12" borderId="12" xfId="0" applyNumberFormat="1" applyFont="1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32" xfId="0" applyFill="1" applyBorder="1"/>
    <xf numFmtId="0" fontId="0" fillId="13" borderId="35" xfId="0" applyFill="1" applyBorder="1"/>
    <xf numFmtId="0" fontId="0" fillId="13" borderId="0" xfId="0" applyFill="1" applyAlignment="1">
      <alignment horizontal="center" wrapText="1"/>
    </xf>
    <xf numFmtId="0" fontId="0" fillId="13" borderId="32" xfId="0" applyFill="1" applyBorder="1" applyAlignment="1">
      <alignment wrapText="1"/>
    </xf>
    <xf numFmtId="0" fontId="0" fillId="13" borderId="12" xfId="0" applyFill="1" applyBorder="1"/>
    <xf numFmtId="0" fontId="0" fillId="13" borderId="33" xfId="0" applyFill="1" applyBorder="1" applyAlignment="1">
      <alignment horizontal="center"/>
    </xf>
    <xf numFmtId="0" fontId="0" fillId="13" borderId="34" xfId="0" applyFill="1" applyBorder="1"/>
    <xf numFmtId="0" fontId="0" fillId="13" borderId="30" xfId="0" applyFill="1" applyBorder="1"/>
    <xf numFmtId="0" fontId="0" fillId="13" borderId="8" xfId="0" applyFill="1" applyBorder="1"/>
    <xf numFmtId="49" fontId="0" fillId="13" borderId="8" xfId="0" applyNumberFormat="1" applyFill="1" applyBorder="1" applyAlignment="1">
      <alignment horizontal="right"/>
    </xf>
    <xf numFmtId="0" fontId="0" fillId="12" borderId="31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49" fontId="0" fillId="13" borderId="1" xfId="0" applyNumberFormat="1" applyFill="1" applyBorder="1" applyAlignment="1">
      <alignment horizontal="right"/>
    </xf>
    <xf numFmtId="49" fontId="0" fillId="13" borderId="9" xfId="0" applyNumberFormat="1" applyFill="1" applyBorder="1" applyAlignment="1">
      <alignment horizontal="right"/>
    </xf>
    <xf numFmtId="0" fontId="15" fillId="3" borderId="8" xfId="0" applyFont="1" applyFill="1" applyBorder="1" applyAlignment="1">
      <alignment wrapText="1"/>
    </xf>
    <xf numFmtId="0" fontId="9" fillId="6" borderId="8" xfId="0" applyFont="1" applyFill="1" applyBorder="1" applyAlignment="1">
      <alignment wrapText="1"/>
    </xf>
    <xf numFmtId="164" fontId="0" fillId="0" borderId="10" xfId="0" applyNumberFormat="1" applyBorder="1"/>
    <xf numFmtId="164" fontId="0" fillId="0" borderId="39" xfId="0" applyNumberFormat="1" applyBorder="1"/>
    <xf numFmtId="164" fontId="0" fillId="0" borderId="15" xfId="0" applyNumberFormat="1" applyBorder="1"/>
    <xf numFmtId="164" fontId="0" fillId="0" borderId="31" xfId="0" applyNumberFormat="1" applyBorder="1"/>
    <xf numFmtId="164" fontId="0" fillId="0" borderId="40" xfId="0" applyNumberFormat="1" applyBorder="1"/>
    <xf numFmtId="169" fontId="0" fillId="0" borderId="15" xfId="0" applyNumberFormat="1" applyBorder="1"/>
    <xf numFmtId="169" fontId="0" fillId="0" borderId="40" xfId="0" applyNumberFormat="1" applyBorder="1"/>
    <xf numFmtId="165" fontId="0" fillId="0" borderId="36" xfId="0" applyNumberFormat="1" applyBorder="1"/>
    <xf numFmtId="165" fontId="0" fillId="0" borderId="41" xfId="0" applyNumberFormat="1" applyBorder="1"/>
    <xf numFmtId="167" fontId="0" fillId="0" borderId="15" xfId="0" applyNumberFormat="1" applyBorder="1"/>
    <xf numFmtId="167" fontId="0" fillId="0" borderId="40" xfId="0" applyNumberFormat="1" applyBorder="1"/>
    <xf numFmtId="170" fontId="0" fillId="0" borderId="15" xfId="0" applyNumberFormat="1" applyBorder="1"/>
    <xf numFmtId="170" fontId="0" fillId="0" borderId="40" xfId="0" applyNumberFormat="1" applyBorder="1"/>
    <xf numFmtId="166" fontId="0" fillId="0" borderId="15" xfId="0" applyNumberFormat="1" applyBorder="1"/>
    <xf numFmtId="166" fontId="0" fillId="0" borderId="40" xfId="0" applyNumberFormat="1" applyBorder="1"/>
    <xf numFmtId="165" fontId="0" fillId="0" borderId="11" xfId="0" applyNumberFormat="1" applyBorder="1"/>
    <xf numFmtId="165" fontId="0" fillId="0" borderId="47" xfId="0" applyNumberFormat="1" applyBorder="1"/>
    <xf numFmtId="169" fontId="0" fillId="0" borderId="37" xfId="0" applyNumberFormat="1" applyBorder="1"/>
    <xf numFmtId="169" fontId="0" fillId="0" borderId="38" xfId="0" applyNumberFormat="1" applyBorder="1"/>
    <xf numFmtId="168" fontId="0" fillId="0" borderId="15" xfId="0" applyNumberFormat="1" applyBorder="1"/>
    <xf numFmtId="168" fontId="0" fillId="0" borderId="40" xfId="0" applyNumberFormat="1" applyBorder="1"/>
    <xf numFmtId="169" fontId="0" fillId="0" borderId="36" xfId="0" applyNumberFormat="1" applyBorder="1"/>
    <xf numFmtId="169" fontId="0" fillId="0" borderId="41" xfId="0" applyNumberFormat="1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7" xfId="0" applyBorder="1"/>
    <xf numFmtId="0" fontId="0" fillId="2" borderId="31" xfId="0" applyFill="1" applyBorder="1"/>
    <xf numFmtId="0" fontId="0" fillId="2" borderId="40" xfId="0" applyFill="1" applyBorder="1"/>
    <xf numFmtId="0" fontId="0" fillId="2" borderId="41" xfId="0" applyFill="1" applyBorder="1"/>
    <xf numFmtId="0" fontId="0" fillId="12" borderId="15" xfId="0" applyFill="1" applyBorder="1"/>
    <xf numFmtId="0" fontId="0" fillId="12" borderId="31" xfId="0" applyFill="1" applyBorder="1"/>
    <xf numFmtId="0" fontId="0" fillId="12" borderId="40" xfId="0" applyFill="1" applyBorder="1"/>
    <xf numFmtId="0" fontId="0" fillId="13" borderId="10" xfId="0" applyFill="1" applyBorder="1"/>
    <xf numFmtId="0" fontId="0" fillId="13" borderId="42" xfId="0" applyFill="1" applyBorder="1"/>
    <xf numFmtId="0" fontId="0" fillId="13" borderId="39" xfId="0" applyFill="1" applyBorder="1"/>
    <xf numFmtId="0" fontId="0" fillId="13" borderId="15" xfId="0" applyFill="1" applyBorder="1"/>
    <xf numFmtId="0" fontId="0" fillId="13" borderId="31" xfId="0" applyFill="1" applyBorder="1"/>
    <xf numFmtId="0" fontId="0" fillId="13" borderId="40" xfId="0" applyFill="1" applyBorder="1"/>
    <xf numFmtId="0" fontId="1" fillId="9" borderId="13" xfId="0" applyFont="1" applyFill="1" applyBorder="1" applyAlignment="1">
      <alignment vertical="center" wrapText="1"/>
    </xf>
    <xf numFmtId="165" fontId="0" fillId="0" borderId="15" xfId="0" applyNumberFormat="1" applyBorder="1"/>
    <xf numFmtId="167" fontId="0" fillId="0" borderId="11" xfId="0" applyNumberFormat="1" applyBorder="1"/>
    <xf numFmtId="167" fontId="0" fillId="2" borderId="15" xfId="0" applyNumberFormat="1" applyFill="1" applyBorder="1"/>
    <xf numFmtId="169" fontId="0" fillId="2" borderId="15" xfId="0" applyNumberFormat="1" applyFill="1" applyBorder="1"/>
    <xf numFmtId="169" fontId="0" fillId="2" borderId="36" xfId="0" applyNumberFormat="1" applyFill="1" applyBorder="1"/>
    <xf numFmtId="167" fontId="0" fillId="0" borderId="31" xfId="0" applyNumberFormat="1" applyBorder="1" applyAlignment="1">
      <alignment horizontal="center"/>
    </xf>
    <xf numFmtId="169" fontId="0" fillId="0" borderId="31" xfId="0" applyNumberFormat="1" applyBorder="1" applyAlignment="1">
      <alignment horizontal="center"/>
    </xf>
    <xf numFmtId="169" fontId="0" fillId="0" borderId="43" xfId="0" applyNumberForma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164" fontId="0" fillId="0" borderId="4" xfId="0" applyNumberFormat="1" applyBorder="1"/>
    <xf numFmtId="0" fontId="0" fillId="13" borderId="5" xfId="0" applyFill="1" applyBorder="1"/>
    <xf numFmtId="0" fontId="0" fillId="13" borderId="14" xfId="0" applyFill="1" applyBorder="1"/>
    <xf numFmtId="164" fontId="0" fillId="0" borderId="1" xfId="0" applyNumberFormat="1" applyBorder="1"/>
    <xf numFmtId="164" fontId="0" fillId="0" borderId="16" xfId="0" applyNumberFormat="1" applyBorder="1"/>
    <xf numFmtId="164" fontId="0" fillId="0" borderId="14" xfId="0" applyNumberFormat="1" applyBorder="1"/>
    <xf numFmtId="0" fontId="0" fillId="12" borderId="14" xfId="0" applyFill="1" applyBorder="1"/>
    <xf numFmtId="0" fontId="0" fillId="12" borderId="1" xfId="0" applyFill="1" applyBorder="1"/>
    <xf numFmtId="169" fontId="0" fillId="0" borderId="1" xfId="0" applyNumberFormat="1" applyBorder="1"/>
    <xf numFmtId="0" fontId="0" fillId="12" borderId="6" xfId="0" applyFill="1" applyBorder="1"/>
    <xf numFmtId="0" fontId="0" fillId="12" borderId="7" xfId="0" applyFill="1" applyBorder="1"/>
    <xf numFmtId="165" fontId="0" fillId="0" borderId="7" xfId="0" applyNumberFormat="1" applyBorder="1"/>
    <xf numFmtId="0" fontId="0" fillId="13" borderId="4" xfId="0" applyFill="1" applyBorder="1"/>
    <xf numFmtId="167" fontId="0" fillId="0" borderId="14" xfId="0" applyNumberFormat="1" applyBorder="1"/>
    <xf numFmtId="167" fontId="0" fillId="0" borderId="1" xfId="0" applyNumberFormat="1" applyBorder="1"/>
    <xf numFmtId="165" fontId="0" fillId="0" borderId="1" xfId="0" applyNumberFormat="1" applyBorder="1"/>
    <xf numFmtId="170" fontId="0" fillId="0" borderId="14" xfId="0" applyNumberFormat="1" applyBorder="1"/>
    <xf numFmtId="170" fontId="0" fillId="0" borderId="1" xfId="0" applyNumberFormat="1" applyBorder="1"/>
    <xf numFmtId="169" fontId="0" fillId="0" borderId="14" xfId="0" applyNumberFormat="1" applyBorder="1"/>
    <xf numFmtId="166" fontId="0" fillId="0" borderId="14" xfId="0" applyNumberFormat="1" applyBorder="1"/>
    <xf numFmtId="166" fontId="0" fillId="0" borderId="1" xfId="0" applyNumberFormat="1" applyBorder="1"/>
    <xf numFmtId="0" fontId="0" fillId="13" borderId="5" xfId="0" applyFill="1" applyBorder="1" applyAlignment="1">
      <alignment vertical="center"/>
    </xf>
    <xf numFmtId="0" fontId="0" fillId="13" borderId="14" xfId="0" applyFill="1" applyBorder="1" applyAlignment="1">
      <alignment vertical="center"/>
    </xf>
    <xf numFmtId="0" fontId="0" fillId="0" borderId="14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/>
    </xf>
    <xf numFmtId="164" fontId="0" fillId="0" borderId="14" xfId="0" applyNumberFormat="1" applyBorder="1" applyAlignment="1">
      <alignment vertical="center"/>
    </xf>
    <xf numFmtId="0" fontId="0" fillId="12" borderId="15" xfId="0" applyFill="1" applyBorder="1" applyAlignment="1">
      <alignment vertical="center"/>
    </xf>
    <xf numFmtId="0" fontId="0" fillId="12" borderId="40" xfId="0" applyFill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0" fillId="0" borderId="15" xfId="0" applyNumberFormat="1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165" fontId="0" fillId="0" borderId="7" xfId="0" applyNumberFormat="1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13" borderId="4" xfId="0" applyFill="1" applyBorder="1" applyAlignment="1">
      <alignment vertical="center"/>
    </xf>
    <xf numFmtId="167" fontId="0" fillId="0" borderId="15" xfId="0" applyNumberFormat="1" applyBorder="1" applyAlignment="1">
      <alignment vertical="center"/>
    </xf>
    <xf numFmtId="0" fontId="0" fillId="13" borderId="1" xfId="0" applyFill="1" applyBorder="1" applyAlignment="1">
      <alignment vertical="center"/>
    </xf>
    <xf numFmtId="164" fontId="0" fillId="0" borderId="10" xfId="0" applyNumberFormat="1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39" xfId="0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vertical="center"/>
    </xf>
    <xf numFmtId="0" fontId="0" fillId="12" borderId="31" xfId="0" applyFill="1" applyBorder="1" applyAlignment="1">
      <alignment horizontal="center" vertical="center"/>
    </xf>
    <xf numFmtId="0" fontId="0" fillId="13" borderId="6" xfId="0" applyFill="1" applyBorder="1" applyAlignment="1">
      <alignment vertical="center"/>
    </xf>
    <xf numFmtId="0" fontId="0" fillId="13" borderId="7" xfId="0" applyFill="1" applyBorder="1" applyAlignment="1">
      <alignment vertical="center"/>
    </xf>
    <xf numFmtId="0" fontId="0" fillId="12" borderId="10" xfId="0" applyFill="1" applyBorder="1" applyAlignment="1">
      <alignment vertical="center"/>
    </xf>
    <xf numFmtId="0" fontId="0" fillId="12" borderId="2" xfId="0" applyFill="1" applyBorder="1" applyAlignment="1">
      <alignment horizontal="center" vertical="center"/>
    </xf>
    <xf numFmtId="0" fontId="0" fillId="12" borderId="39" xfId="0" applyFill="1" applyBorder="1" applyAlignment="1">
      <alignment vertical="center"/>
    </xf>
    <xf numFmtId="165" fontId="0" fillId="0" borderId="14" xfId="0" applyNumberFormat="1" applyBorder="1"/>
    <xf numFmtId="167" fontId="2" fillId="0" borderId="1" xfId="0" applyNumberFormat="1" applyFont="1" applyBorder="1"/>
    <xf numFmtId="0" fontId="0" fillId="13" borderId="1" xfId="0" applyFill="1" applyBorder="1"/>
    <xf numFmtId="167" fontId="0" fillId="0" borderId="6" xfId="0" applyNumberFormat="1" applyBorder="1"/>
    <xf numFmtId="167" fontId="0" fillId="0" borderId="7" xfId="0" applyNumberFormat="1" applyBorder="1"/>
    <xf numFmtId="171" fontId="0" fillId="0" borderId="7" xfId="0" applyNumberFormat="1" applyBorder="1"/>
    <xf numFmtId="169" fontId="0" fillId="0" borderId="28" xfId="0" applyNumberFormat="1" applyBorder="1"/>
    <xf numFmtId="169" fontId="0" fillId="0" borderId="29" xfId="0" applyNumberFormat="1" applyBorder="1"/>
    <xf numFmtId="169" fontId="0" fillId="0" borderId="35" xfId="0" applyNumberFormat="1" applyBorder="1"/>
    <xf numFmtId="168" fontId="0" fillId="0" borderId="14" xfId="0" applyNumberFormat="1" applyBorder="1"/>
    <xf numFmtId="168" fontId="0" fillId="0" borderId="1" xfId="0" applyNumberFormat="1" applyBorder="1"/>
    <xf numFmtId="0" fontId="0" fillId="14" borderId="1" xfId="0" applyFill="1" applyBorder="1"/>
    <xf numFmtId="169" fontId="0" fillId="0" borderId="6" xfId="0" applyNumberFormat="1" applyBorder="1"/>
    <xf numFmtId="169" fontId="0" fillId="0" borderId="7" xfId="0" applyNumberFormat="1" applyBorder="1"/>
    <xf numFmtId="168" fontId="0" fillId="5" borderId="1" xfId="0" applyNumberFormat="1" applyFill="1" applyBorder="1"/>
    <xf numFmtId="0" fontId="0" fillId="13" borderId="24" xfId="0" applyFill="1" applyBorder="1"/>
    <xf numFmtId="0" fontId="0" fillId="13" borderId="9" xfId="0" applyFill="1" applyBorder="1"/>
    <xf numFmtId="0" fontId="0" fillId="0" borderId="14" xfId="0" applyBorder="1"/>
    <xf numFmtId="164" fontId="0" fillId="4" borderId="16" xfId="0" applyNumberFormat="1" applyFill="1" applyBorder="1"/>
    <xf numFmtId="0" fontId="0" fillId="13" borderId="6" xfId="0" applyFill="1" applyBorder="1"/>
    <xf numFmtId="0" fontId="0" fillId="13" borderId="7" xfId="0" applyFill="1" applyBorder="1"/>
    <xf numFmtId="165" fontId="0" fillId="0" borderId="6" xfId="0" applyNumberFormat="1" applyBorder="1"/>
    <xf numFmtId="169" fontId="0" fillId="0" borderId="46" xfId="0" applyNumberFormat="1" applyBorder="1" applyAlignment="1">
      <alignment horizontal="center"/>
    </xf>
    <xf numFmtId="169" fontId="0" fillId="0" borderId="44" xfId="0" applyNumberFormat="1" applyBorder="1" applyAlignment="1">
      <alignment horizontal="center"/>
    </xf>
    <xf numFmtId="0" fontId="0" fillId="13" borderId="21" xfId="0" applyFill="1" applyBorder="1"/>
    <xf numFmtId="0" fontId="0" fillId="13" borderId="3" xfId="0" applyFill="1" applyBorder="1"/>
    <xf numFmtId="167" fontId="0" fillId="0" borderId="18" xfId="0" applyNumberFormat="1" applyBorder="1"/>
    <xf numFmtId="0" fontId="0" fillId="13" borderId="18" xfId="0" applyFill="1" applyBorder="1"/>
    <xf numFmtId="169" fontId="0" fillId="0" borderId="18" xfId="0" applyNumberFormat="1" applyBorder="1"/>
    <xf numFmtId="168" fontId="0" fillId="0" borderId="18" xfId="0" applyNumberFormat="1" applyBorder="1"/>
    <xf numFmtId="169" fontId="0" fillId="0" borderId="27" xfId="0" applyNumberFormat="1" applyBorder="1"/>
    <xf numFmtId="0" fontId="0" fillId="0" borderId="0" xfId="0" applyAlignment="1">
      <alignment horizontal="center" vertical="top"/>
    </xf>
    <xf numFmtId="0" fontId="9" fillId="0" borderId="8" xfId="0" applyFont="1" applyBorder="1" applyAlignment="1">
      <alignment vertical="top" wrapText="1"/>
    </xf>
    <xf numFmtId="0" fontId="9" fillId="2" borderId="3" xfId="0" applyFont="1" applyFill="1" applyBorder="1" applyAlignment="1">
      <alignment horizontal="center"/>
    </xf>
    <xf numFmtId="0" fontId="8" fillId="15" borderId="9" xfId="0" applyFont="1" applyFill="1" applyBorder="1"/>
    <xf numFmtId="0" fontId="14" fillId="15" borderId="8" xfId="0" applyFont="1" applyFill="1" applyBorder="1" applyAlignment="1">
      <alignment horizontal="left" vertical="center"/>
    </xf>
    <xf numFmtId="0" fontId="19" fillId="9" borderId="13" xfId="1" applyFill="1" applyBorder="1" applyProtection="1"/>
    <xf numFmtId="0" fontId="19" fillId="9" borderId="22" xfId="1" applyFill="1" applyBorder="1" applyProtection="1"/>
    <xf numFmtId="0" fontId="19" fillId="8" borderId="13" xfId="1" applyFill="1" applyBorder="1" applyProtection="1"/>
    <xf numFmtId="0" fontId="8" fillId="2" borderId="3" xfId="0" applyFont="1" applyFill="1" applyBorder="1"/>
    <xf numFmtId="0" fontId="9" fillId="0" borderId="0" xfId="0" applyFont="1" applyAlignment="1">
      <alignment horizontal="center" vertical="top" wrapText="1"/>
    </xf>
    <xf numFmtId="0" fontId="18" fillId="11" borderId="15" xfId="0" applyFont="1" applyFill="1" applyBorder="1" applyAlignment="1">
      <alignment horizontal="center"/>
    </xf>
    <xf numFmtId="0" fontId="18" fillId="11" borderId="31" xfId="0" applyFont="1" applyFill="1" applyBorder="1" applyAlignment="1">
      <alignment horizontal="center"/>
    </xf>
    <xf numFmtId="0" fontId="18" fillId="11" borderId="18" xfId="0" applyFont="1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0" fillId="13" borderId="31" xfId="0" applyFill="1" applyBorder="1" applyAlignment="1">
      <alignment horizontal="center"/>
    </xf>
    <xf numFmtId="0" fontId="0" fillId="13" borderId="40" xfId="0" applyFill="1" applyBorder="1" applyAlignment="1">
      <alignment horizontal="center"/>
    </xf>
    <xf numFmtId="0" fontId="0" fillId="13" borderId="3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48" xfId="0" applyFill="1" applyBorder="1" applyAlignment="1">
      <alignment horizontal="center"/>
    </xf>
    <xf numFmtId="0" fontId="9" fillId="0" borderId="2" xfId="0" applyFont="1" applyBorder="1" applyAlignment="1" applyProtection="1">
      <alignment horizontal="left"/>
      <protection locked="0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49" fontId="17" fillId="7" borderId="10" xfId="0" applyNumberFormat="1" applyFont="1" applyFill="1" applyBorder="1" applyAlignment="1">
      <alignment horizontal="center" vertical="center" wrapText="1"/>
    </xf>
    <xf numFmtId="49" fontId="17" fillId="7" borderId="42" xfId="0" applyNumberFormat="1" applyFont="1" applyFill="1" applyBorder="1" applyAlignment="1">
      <alignment horizontal="center" vertical="center" wrapText="1"/>
    </xf>
    <xf numFmtId="49" fontId="17" fillId="7" borderId="39" xfId="0" applyNumberFormat="1" applyFont="1" applyFill="1" applyBorder="1" applyAlignment="1">
      <alignment horizontal="center" vertical="center" wrapText="1"/>
    </xf>
    <xf numFmtId="49" fontId="8" fillId="12" borderId="15" xfId="0" applyNumberFormat="1" applyFont="1" applyFill="1" applyBorder="1" applyAlignment="1">
      <alignment horizontal="center"/>
    </xf>
    <xf numFmtId="49" fontId="8" fillId="12" borderId="31" xfId="0" applyNumberFormat="1" applyFont="1" applyFill="1" applyBorder="1" applyAlignment="1">
      <alignment horizontal="center"/>
    </xf>
    <xf numFmtId="49" fontId="8" fillId="12" borderId="40" xfId="0" applyNumberFormat="1" applyFont="1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13" borderId="46" xfId="0" applyFill="1" applyBorder="1" applyAlignment="1">
      <alignment horizontal="center"/>
    </xf>
    <xf numFmtId="0" fontId="0" fillId="13" borderId="47" xfId="0" applyFill="1" applyBorder="1" applyAlignment="1">
      <alignment horizontal="center"/>
    </xf>
    <xf numFmtId="169" fontId="0" fillId="2" borderId="0" xfId="0" applyNumberFormat="1" applyFill="1" applyAlignment="1">
      <alignment horizontal="left"/>
    </xf>
    <xf numFmtId="0" fontId="9" fillId="0" borderId="2" xfId="0" applyFont="1" applyBorder="1" applyAlignment="1">
      <alignment horizontal="left"/>
    </xf>
    <xf numFmtId="0" fontId="2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left" indent="3"/>
    </xf>
    <xf numFmtId="169" fontId="0" fillId="2" borderId="45" xfId="0" applyNumberFormat="1" applyFill="1" applyBorder="1"/>
    <xf numFmtId="0" fontId="0" fillId="2" borderId="0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99"/>
      <color rgb="FFFF6565"/>
      <color rgb="FFFFE7E7"/>
      <color rgb="FFFFCCCC"/>
      <color rgb="FFFF256E"/>
      <color rgb="FFD9E2F3"/>
      <color rgb="FFB4C6E7"/>
      <color rgb="FFFF6699"/>
      <color rgb="FFF8CDB2"/>
      <color rgb="FFE9FF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5493260</xdr:colOff>
      <xdr:row>0</xdr:row>
      <xdr:rowOff>167640</xdr:rowOff>
    </xdr:from>
    <xdr:to>
      <xdr:col>2</xdr:col>
      <xdr:colOff>1247</xdr:colOff>
      <xdr:row>4</xdr:row>
      <xdr:rowOff>36577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EE3FCE-7AA5-47E4-90D6-F7BB5437C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220" y="167640"/>
          <a:ext cx="671319" cy="600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foodbuyingguide.fns.usda.gov/Content/TablesFBG/ExhibitA.pdf" TargetMode="External"/><Relationship Id="rId7" Type="http://schemas.openxmlformats.org/officeDocument/2006/relationships/hyperlink" Target="https://foodbuyingguide.fns.usda.gov/Content/TablesFBG/ExhibitA.pdf" TargetMode="External"/><Relationship Id="rId2" Type="http://schemas.openxmlformats.org/officeDocument/2006/relationships/hyperlink" Target="https://foodbuyingguide.fns.usda.gov/Content/TablesFBG/ExhibitA.pdf" TargetMode="External"/><Relationship Id="rId1" Type="http://schemas.openxmlformats.org/officeDocument/2006/relationships/hyperlink" Target="https://foodbuyingguide.fns.usda.gov/Content/TablesFBG/ExhibitA.pdf" TargetMode="External"/><Relationship Id="rId6" Type="http://schemas.openxmlformats.org/officeDocument/2006/relationships/hyperlink" Target="https://foodbuyingguide.fns.usda.gov/Content/TablesFBG/ExhibitA.pdf" TargetMode="External"/><Relationship Id="rId5" Type="http://schemas.openxmlformats.org/officeDocument/2006/relationships/hyperlink" Target="https://foodbuyingguide.fns.usda.gov/Content/TablesFBG/ExhibitA.pdf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foodbuyingguide.fns.usda.gov/Content/TablesFBG/ExhibitA.pdf" TargetMode="External"/><Relationship Id="rId9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foodbuyingguide.fns.usda.gov/Content/TablesFBG/ExhibitA.pdf" TargetMode="External"/><Relationship Id="rId7" Type="http://schemas.openxmlformats.org/officeDocument/2006/relationships/hyperlink" Target="https://foodbuyingguide.fns.usda.gov/Content/TablesFBG/ExhibitA.pdf" TargetMode="External"/><Relationship Id="rId2" Type="http://schemas.openxmlformats.org/officeDocument/2006/relationships/hyperlink" Target="https://foodbuyingguide.fns.usda.gov/Content/TablesFBG/ExhibitA.pdf" TargetMode="External"/><Relationship Id="rId1" Type="http://schemas.openxmlformats.org/officeDocument/2006/relationships/hyperlink" Target="https://foodbuyingguide.fns.usda.gov/Content/TablesFBG/ExhibitA.pdf" TargetMode="External"/><Relationship Id="rId6" Type="http://schemas.openxmlformats.org/officeDocument/2006/relationships/hyperlink" Target="https://foodbuyingguide.fns.usda.gov/Content/TablesFBG/ExhibitA.pdf" TargetMode="External"/><Relationship Id="rId5" Type="http://schemas.openxmlformats.org/officeDocument/2006/relationships/hyperlink" Target="https://foodbuyingguide.fns.usda.gov/Content/TablesFBG/ExhibitA.pdf" TargetMode="External"/><Relationship Id="rId10" Type="http://schemas.openxmlformats.org/officeDocument/2006/relationships/comments" Target="../comments2.xml"/><Relationship Id="rId4" Type="http://schemas.openxmlformats.org/officeDocument/2006/relationships/hyperlink" Target="https://foodbuyingguide.fns.usda.gov/Content/TablesFBG/ExhibitA.pdf" TargetMode="External"/><Relationship Id="rId9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s://foodbuyingguide.fns.usda.gov/Content/TablesFBG/ExhibitA.pdf" TargetMode="External"/><Relationship Id="rId7" Type="http://schemas.openxmlformats.org/officeDocument/2006/relationships/hyperlink" Target="https://foodbuyingguide.fns.usda.gov/Content/TablesFBG/ExhibitA.pdf" TargetMode="External"/><Relationship Id="rId2" Type="http://schemas.openxmlformats.org/officeDocument/2006/relationships/hyperlink" Target="https://foodbuyingguide.fns.usda.gov/Content/TablesFBG/ExhibitA.pdf" TargetMode="External"/><Relationship Id="rId1" Type="http://schemas.openxmlformats.org/officeDocument/2006/relationships/hyperlink" Target="https://foodbuyingguide.fns.usda.gov/Content/TablesFBG/ExhibitA.pdf" TargetMode="External"/><Relationship Id="rId6" Type="http://schemas.openxmlformats.org/officeDocument/2006/relationships/hyperlink" Target="https://foodbuyingguide.fns.usda.gov/Content/TablesFBG/ExhibitA.pdf" TargetMode="External"/><Relationship Id="rId5" Type="http://schemas.openxmlformats.org/officeDocument/2006/relationships/hyperlink" Target="https://foodbuyingguide.fns.usda.gov/Content/TablesFBG/ExhibitA.pdf" TargetMode="External"/><Relationship Id="rId10" Type="http://schemas.openxmlformats.org/officeDocument/2006/relationships/comments" Target="../comments3.xml"/><Relationship Id="rId4" Type="http://schemas.openxmlformats.org/officeDocument/2006/relationships/hyperlink" Target="https://foodbuyingguide.fns.usda.gov/Content/TablesFBG/ExhibitA.pdf" TargetMode="External"/><Relationship Id="rId9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64A4A-6D73-4A53-8F96-CBB3E13BF361}">
  <sheetPr>
    <tabColor rgb="FF002060"/>
    <pageSetUpPr fitToPage="1"/>
  </sheetPr>
  <dimension ref="A2:N35"/>
  <sheetViews>
    <sheetView showGridLines="0" showRowColHeaders="0" tabSelected="1" zoomScaleNormal="100" workbookViewId="0">
      <selection activeCell="B29" sqref="B29"/>
    </sheetView>
  </sheetViews>
  <sheetFormatPr defaultRowHeight="15" x14ac:dyDescent="0.25"/>
  <cols>
    <col min="1" max="1" width="6.42578125" customWidth="1"/>
    <col min="2" max="2" width="91.7109375" customWidth="1"/>
  </cols>
  <sheetData>
    <row r="2" spans="1:10" ht="14.45" customHeight="1" x14ac:dyDescent="0.25">
      <c r="A2" s="243" t="s">
        <v>66</v>
      </c>
      <c r="B2" s="243"/>
    </row>
    <row r="3" spans="1:10" x14ac:dyDescent="0.25">
      <c r="A3" s="243"/>
      <c r="B3" s="243"/>
    </row>
    <row r="4" spans="1:10" x14ac:dyDescent="0.25">
      <c r="A4" s="243"/>
      <c r="B4" s="243"/>
    </row>
    <row r="5" spans="1:10" x14ac:dyDescent="0.25">
      <c r="A5" s="243"/>
      <c r="B5" s="243"/>
    </row>
    <row r="6" spans="1:10" x14ac:dyDescent="0.25">
      <c r="A6" s="243"/>
      <c r="B6" s="243"/>
    </row>
    <row r="7" spans="1:10" x14ac:dyDescent="0.25">
      <c r="A7" s="234"/>
      <c r="B7" s="234"/>
    </row>
    <row r="8" spans="1:10" ht="15.75" x14ac:dyDescent="0.25">
      <c r="B8" s="237" t="s">
        <v>26</v>
      </c>
    </row>
    <row r="9" spans="1:10" ht="64.5" customHeight="1" x14ac:dyDescent="0.25">
      <c r="B9" s="235" t="s">
        <v>69</v>
      </c>
      <c r="C9" s="1"/>
      <c r="D9" s="1"/>
      <c r="E9" s="1"/>
      <c r="F9" s="1"/>
      <c r="G9" s="1"/>
      <c r="H9" s="1"/>
      <c r="I9" s="1"/>
      <c r="J9" s="1"/>
    </row>
    <row r="10" spans="1:10" ht="15.75" x14ac:dyDescent="0.25">
      <c r="B10" s="242"/>
      <c r="C10" s="1"/>
    </row>
    <row r="11" spans="1:10" ht="18.75" x14ac:dyDescent="0.3">
      <c r="B11" s="238" t="s">
        <v>25</v>
      </c>
      <c r="C11" s="2"/>
    </row>
    <row r="12" spans="1:10" ht="47.25" x14ac:dyDescent="0.25">
      <c r="B12" s="6" t="s">
        <v>63</v>
      </c>
      <c r="C12" s="1"/>
      <c r="D12" s="1"/>
      <c r="E12" s="1"/>
      <c r="F12" s="1"/>
      <c r="G12" s="1"/>
      <c r="H12" s="1"/>
      <c r="I12" s="1"/>
      <c r="J12" s="1"/>
    </row>
    <row r="13" spans="1:10" ht="15.75" x14ac:dyDescent="0.25">
      <c r="B13" s="6"/>
      <c r="C13" s="1"/>
      <c r="D13" s="1"/>
      <c r="E13" s="1"/>
      <c r="F13" s="1"/>
      <c r="G13" s="1"/>
      <c r="H13" s="1"/>
      <c r="I13" s="1"/>
      <c r="J13" s="1"/>
    </row>
    <row r="14" spans="1:10" ht="31.5" x14ac:dyDescent="0.25">
      <c r="B14" s="6" t="s">
        <v>64</v>
      </c>
      <c r="C14" s="1"/>
      <c r="D14" s="1"/>
      <c r="E14" s="1"/>
      <c r="F14" s="1"/>
      <c r="G14" s="1"/>
      <c r="H14" s="1"/>
      <c r="I14" s="1"/>
      <c r="J14" s="1"/>
    </row>
    <row r="15" spans="1:10" ht="15.75" x14ac:dyDescent="0.25">
      <c r="B15" s="6"/>
      <c r="C15" s="1"/>
      <c r="D15" s="1"/>
      <c r="E15" s="1"/>
      <c r="F15" s="1"/>
      <c r="G15" s="1"/>
      <c r="H15" s="1"/>
      <c r="I15" s="1"/>
      <c r="J15" s="1"/>
    </row>
    <row r="16" spans="1:10" ht="31.5" x14ac:dyDescent="0.25">
      <c r="B16" s="91" t="s">
        <v>55</v>
      </c>
      <c r="C16" s="1"/>
      <c r="D16" s="1"/>
      <c r="E16" s="1"/>
      <c r="F16" s="1"/>
      <c r="G16" s="1"/>
      <c r="H16" s="1"/>
      <c r="I16" s="1"/>
      <c r="J16" s="1"/>
    </row>
    <row r="17" spans="2:14" ht="15.75" x14ac:dyDescent="0.25">
      <c r="B17" s="7"/>
      <c r="C17" s="1"/>
      <c r="D17" s="1"/>
      <c r="E17" s="1"/>
      <c r="F17" s="1"/>
      <c r="G17" s="1"/>
      <c r="H17" s="1"/>
      <c r="I17" s="1"/>
      <c r="J17" s="1"/>
    </row>
    <row r="18" spans="2:14" ht="31.5" x14ac:dyDescent="0.25">
      <c r="B18" s="92" t="s">
        <v>70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ht="15.75" x14ac:dyDescent="0.25">
      <c r="B19" s="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ht="65.25" customHeight="1" x14ac:dyDescent="0.25">
      <c r="B20" s="6" t="s">
        <v>71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14" ht="15.75" x14ac:dyDescent="0.25">
      <c r="B21" s="8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4" ht="15.75" x14ac:dyDescent="0.25">
      <c r="B22" s="9"/>
      <c r="C22" s="1"/>
      <c r="D22" s="1"/>
      <c r="E22" s="1"/>
      <c r="F22" s="1"/>
      <c r="G22" s="1"/>
      <c r="H22" s="1"/>
      <c r="I22" s="1"/>
    </row>
    <row r="23" spans="2:14" ht="15.75" x14ac:dyDescent="0.25">
      <c r="B23" s="236" t="s">
        <v>73</v>
      </c>
      <c r="C23" s="1"/>
      <c r="D23" s="1"/>
      <c r="E23" s="1"/>
      <c r="F23" s="1"/>
      <c r="G23" s="1"/>
    </row>
    <row r="24" spans="2:14" x14ac:dyDescent="0.25">
      <c r="B24" s="3"/>
    </row>
    <row r="25" spans="2:14" x14ac:dyDescent="0.25">
      <c r="B25" s="3"/>
    </row>
    <row r="26" spans="2:14" x14ac:dyDescent="0.25">
      <c r="B26" s="3"/>
    </row>
    <row r="27" spans="2:14" x14ac:dyDescent="0.25">
      <c r="B27" s="3"/>
    </row>
    <row r="28" spans="2:14" x14ac:dyDescent="0.25">
      <c r="B28" s="3"/>
    </row>
    <row r="29" spans="2:14" x14ac:dyDescent="0.25">
      <c r="B29" s="3"/>
    </row>
    <row r="30" spans="2:14" x14ac:dyDescent="0.25">
      <c r="B30" s="3"/>
    </row>
    <row r="31" spans="2:14" x14ac:dyDescent="0.25">
      <c r="B31" s="3"/>
    </row>
    <row r="32" spans="2:14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</sheetData>
  <sheetProtection algorithmName="SHA-512" hashValue="ubOswXMf19eJXfPtTMbeB2GDQCmO7PzlatAKZLk2AIwaNpnitjjNl1LAPmE32b31+/vQyq6EuStVK3KKonfNGA==" saltValue="XIFAVP4DAtSFAR3lQ4T70w==" spinCount="100000" sheet="1" objects="1" scenarios="1"/>
  <mergeCells count="1">
    <mergeCell ref="A2:B6"/>
  </mergeCells>
  <pageMargins left="0.7" right="0.7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B2:CC533"/>
  <sheetViews>
    <sheetView showGridLines="0" showRowColHeaders="0" showWhiteSpace="0" zoomScaleNormal="100" workbookViewId="0">
      <pane xSplit="2" ySplit="7" topLeftCell="C24" activePane="bottomRight" state="frozen"/>
      <selection activeCell="C21" sqref="C21"/>
      <selection pane="topRight" activeCell="C21" sqref="C21"/>
      <selection pane="bottomLeft" activeCell="C21" sqref="C21"/>
      <selection pane="bottomRight" activeCell="H22" sqref="H22"/>
    </sheetView>
  </sheetViews>
  <sheetFormatPr defaultColWidth="8.85546875" defaultRowHeight="15" x14ac:dyDescent="0.25"/>
  <cols>
    <col min="1" max="1" width="5.7109375" customWidth="1"/>
    <col min="2" max="2" width="37.140625" customWidth="1"/>
    <col min="3" max="7" width="15.140625" customWidth="1"/>
    <col min="8" max="8" width="20.28515625" customWidth="1"/>
    <col min="9" max="9" width="20.7109375" customWidth="1"/>
    <col min="10" max="10" width="8.85546875" style="3"/>
    <col min="11" max="11" width="22.7109375" style="3" customWidth="1"/>
    <col min="12" max="81" width="8.85546875" style="3"/>
  </cols>
  <sheetData>
    <row r="2" spans="2:11" ht="21" x14ac:dyDescent="0.35">
      <c r="B2" s="244" t="s">
        <v>16</v>
      </c>
      <c r="C2" s="245"/>
      <c r="D2" s="245"/>
      <c r="E2" s="245"/>
      <c r="F2" s="245"/>
      <c r="G2" s="245"/>
      <c r="H2" s="245"/>
      <c r="I2" s="245"/>
      <c r="J2" s="245"/>
      <c r="K2" s="246"/>
    </row>
    <row r="3" spans="2:11" ht="18.600000000000001" customHeight="1" x14ac:dyDescent="0.25">
      <c r="B3" s="15" t="s">
        <v>19</v>
      </c>
      <c r="C3" s="253"/>
      <c r="D3" s="253"/>
      <c r="E3" s="253"/>
      <c r="F3" s="15" t="s">
        <v>14</v>
      </c>
      <c r="G3" s="14"/>
      <c r="H3" s="16"/>
    </row>
    <row r="4" spans="2:11" ht="9.9499999999999993" customHeight="1" thickBot="1" x14ac:dyDescent="0.3"/>
    <row r="5" spans="2:11" ht="30" customHeight="1" thickBot="1" x14ac:dyDescent="0.3">
      <c r="B5" s="38" t="s">
        <v>0</v>
      </c>
      <c r="C5" s="39" t="s">
        <v>32</v>
      </c>
      <c r="D5" s="39">
        <v>2</v>
      </c>
      <c r="E5" s="40" t="s">
        <v>33</v>
      </c>
      <c r="F5" s="41" t="s">
        <v>51</v>
      </c>
      <c r="G5" s="39" t="s">
        <v>1</v>
      </c>
      <c r="H5" s="42" t="s">
        <v>60</v>
      </c>
      <c r="I5" s="256" t="s">
        <v>48</v>
      </c>
      <c r="J5" s="257"/>
      <c r="K5" s="258"/>
    </row>
    <row r="6" spans="2:11" ht="15.75" x14ac:dyDescent="0.25">
      <c r="B6" s="17" t="s">
        <v>22</v>
      </c>
      <c r="C6" s="12"/>
      <c r="D6" s="4"/>
      <c r="E6" s="4"/>
      <c r="F6" s="4"/>
      <c r="G6" s="4"/>
      <c r="H6" s="5"/>
      <c r="I6" s="259"/>
      <c r="J6" s="260"/>
      <c r="K6" s="261"/>
    </row>
    <row r="7" spans="2:11" ht="30.75" customHeight="1" thickBot="1" x14ac:dyDescent="0.3">
      <c r="B7" s="31" t="s">
        <v>20</v>
      </c>
      <c r="C7" s="32"/>
      <c r="D7" s="33"/>
      <c r="E7" s="33"/>
      <c r="F7" s="33"/>
      <c r="G7" s="33"/>
      <c r="H7" s="34"/>
      <c r="I7" s="247"/>
      <c r="J7" s="248"/>
      <c r="K7" s="249"/>
    </row>
    <row r="8" spans="2:11" ht="16.5" thickBot="1" x14ac:dyDescent="0.3">
      <c r="B8" s="66" t="s">
        <v>2</v>
      </c>
      <c r="C8" s="218"/>
      <c r="D8" s="219"/>
      <c r="E8" s="90"/>
      <c r="F8" s="90"/>
      <c r="G8" s="219"/>
      <c r="H8" s="219"/>
      <c r="I8" s="262"/>
      <c r="J8" s="263"/>
      <c r="K8" s="264"/>
    </row>
    <row r="9" spans="2:11" x14ac:dyDescent="0.25">
      <c r="B9" s="56" t="s">
        <v>34</v>
      </c>
      <c r="C9" s="151" t="str">
        <f>IF((C6*4-C11)=0,"",(C6*4-C11))</f>
        <v/>
      </c>
      <c r="D9" s="152"/>
      <c r="E9" s="152"/>
      <c r="F9" s="152"/>
      <c r="G9" s="152"/>
      <c r="H9" s="152"/>
      <c r="I9" s="93" t="str">
        <f>C9</f>
        <v/>
      </c>
      <c r="J9" s="141" t="str">
        <f>IF(OR(I9&lt;8, I9=""), "", "or")</f>
        <v/>
      </c>
      <c r="K9" s="94" t="str">
        <f>IF(OR(I9&lt;8,I9=""),"",IF(I9&lt;32,TEXT(CONVERT(I9,"oz","cup"),"#### ?/? cup"),IF(I9&lt;128,INT(CONVERT(I9,"oz","qt"))&amp;" qt. "&amp;TEXT(CONVERT(MOD(I9,32),"oz","cup"),"##### ?/? cup"),INT(CONVERT(I9,"oz","gal"))&amp;" gal. "&amp;IF((MOD(I9,128))&gt;=32,INT(CONVERT(MOD(I9,128),"oz","qt"))&amp;" qt. "&amp;TEXT(CONVERT(MOD(MOD(I9,128),32),"oz","cup"),"##### ?/? cup"),TEXT(CONVERT(MOD(I9,128),"oz","cup"),"##### ?/? cup")))))</f>
        <v/>
      </c>
    </row>
    <row r="10" spans="2:11" x14ac:dyDescent="0.25">
      <c r="B10" s="57" t="s">
        <v>12</v>
      </c>
      <c r="C10" s="153"/>
      <c r="D10" s="154" t="str">
        <f>IF((D6*4-D11)=0,"",(D6*4-D11))</f>
        <v/>
      </c>
      <c r="E10" s="154" t="str">
        <f>IF((E6*6-E11)=0,"",(E6*6-E11))</f>
        <v/>
      </c>
      <c r="F10" s="154" t="str">
        <f t="shared" ref="F10:G10" si="0">IF((F6*8-F11)=0,"",(F6*8-F11))</f>
        <v/>
      </c>
      <c r="G10" s="154" t="str">
        <f t="shared" si="0"/>
        <v/>
      </c>
      <c r="H10" s="154" t="str">
        <f t="shared" ref="H10" si="1">IF((H6*8-H11)=0,"",(H6*8-H11))</f>
        <v/>
      </c>
      <c r="I10" s="95" t="str">
        <f>IF(SUM(D10:H10)=0,"",SUM(D10:H10))</f>
        <v/>
      </c>
      <c r="J10" s="142" t="str">
        <f t="shared" ref="J10:J12" si="2">IF(OR(I10&lt;8, I10=""), "", "or")</f>
        <v/>
      </c>
      <c r="K10" s="97" t="str">
        <f>IF(OR(I10&lt;8, I10=""),"",IF(I10&lt;32,TEXT(CONVERT(I10,"oz","cup"), "##### ?/? cup"),IF(I10&lt;128, INT(CONVERT(I10,"oz","qt")) &amp;" qt. "&amp;TEXT(CONVERT(MOD(I10,32),"oz","cup"), "##### ?/? cup"),INT(CONVERT(I10,"oz","gal"))&amp;" gal. "&amp; IF((MOD(I10,128))&gt;=32, INT(CONVERT(MOD(I10,128),"oz","qt")) &amp; " qt. " &amp; TEXT(CONVERT(MOD(MOD(I10,128),32),"oz","cup"),"##### ?/? cup"),TEXT(CONVERT(MOD(I10,128),"oz","cup"),"##### ?/? cup")))))</f>
        <v/>
      </c>
    </row>
    <row r="11" spans="2:11" ht="21.6" hidden="1" customHeight="1" x14ac:dyDescent="0.25">
      <c r="B11" s="57"/>
      <c r="C11" s="220">
        <f>C7*4</f>
        <v>0</v>
      </c>
      <c r="D11" s="18">
        <f t="shared" ref="D11" si="3">D7*4</f>
        <v>0</v>
      </c>
      <c r="E11" s="19">
        <f>E7*6</f>
        <v>0</v>
      </c>
      <c r="F11" s="19">
        <f t="shared" ref="F11:G11" si="4">F7*8</f>
        <v>0</v>
      </c>
      <c r="G11" s="19">
        <f t="shared" si="4"/>
        <v>0</v>
      </c>
      <c r="H11" s="19">
        <f t="shared" ref="H11" si="5">H7*8</f>
        <v>0</v>
      </c>
      <c r="I11" s="221" t="str">
        <f>IF(SUM(D11:G11)=0,"",SUM(D11:G11))</f>
        <v/>
      </c>
      <c r="J11" s="96" t="str">
        <f t="shared" si="2"/>
        <v/>
      </c>
      <c r="K11" s="121"/>
    </row>
    <row r="12" spans="2:11" x14ac:dyDescent="0.25">
      <c r="B12" s="57" t="s">
        <v>21</v>
      </c>
      <c r="C12" s="156" t="str">
        <f>IF(C7*4=0,"",C7*4)</f>
        <v/>
      </c>
      <c r="D12" s="154" t="str">
        <f>IF(D7*4=0,"",D7*4)</f>
        <v/>
      </c>
      <c r="E12" s="154" t="str">
        <f>IF(E7*6=0,"",E7*6)</f>
        <v/>
      </c>
      <c r="F12" s="154" t="str">
        <f t="shared" ref="F12:G12" si="6">IF(F7*8=0,"",F7*8)</f>
        <v/>
      </c>
      <c r="G12" s="154" t="str">
        <f t="shared" si="6"/>
        <v/>
      </c>
      <c r="H12" s="154" t="str">
        <f t="shared" ref="H12" si="7">IF(H7*8=0,"",H7*8)</f>
        <v/>
      </c>
      <c r="I12" s="95" t="str">
        <f>IF(SUM(C12:H12)=0,"",SUM(C12:H12))</f>
        <v/>
      </c>
      <c r="J12" s="142" t="str">
        <f t="shared" si="2"/>
        <v/>
      </c>
      <c r="K12" s="97" t="str">
        <f>IF(OR(I12&lt;8, I12=""),"",IF(I12&lt;32,TEXT(CONVERT(I12,"oz","cup"), "##### ?/? cup"),IF(I12&lt;128, INT(CONVERT(I12,"oz","qt")) &amp;" qt. "&amp; TEXT(CONVERT(MOD(I12,32),"oz","cup"), "##### ?/? cup"),INT(CONVERT(I12,"oz","gal"))&amp;" gal. "&amp; IF((MOD(I12,128))&gt;=32, INT(CONVERT(MOD(I12,128),"oz","qt")) &amp; " qt. " &amp; TEXT(CONVERT(MOD(MOD(I12,128),32),"oz","cup"),"##### ?/? cup" ),TEXT(CONVERT(MOD(I12,128),"oz","cup"),"##### ?/? cup" )))))</f>
        <v/>
      </c>
    </row>
    <row r="13" spans="2:11" ht="31.5" customHeight="1" x14ac:dyDescent="0.25">
      <c r="B13" s="132" t="s">
        <v>50</v>
      </c>
      <c r="C13" s="153"/>
      <c r="D13" s="205"/>
      <c r="E13" s="205"/>
      <c r="F13" s="205"/>
      <c r="G13" s="205"/>
      <c r="H13" s="205"/>
      <c r="I13" s="247"/>
      <c r="J13" s="248"/>
      <c r="K13" s="249"/>
    </row>
    <row r="14" spans="2:11" x14ac:dyDescent="0.25">
      <c r="B14" s="59" t="s">
        <v>11</v>
      </c>
      <c r="C14" s="153"/>
      <c r="D14" s="205"/>
      <c r="E14" s="205"/>
      <c r="F14" s="205"/>
      <c r="G14" s="159" t="str">
        <f>IF(G6*(3/4)=0,"",G6*(3/4))</f>
        <v/>
      </c>
      <c r="H14" s="159" t="str">
        <f>IF(H6*(3/4)=0,"",H6*(3/4))</f>
        <v/>
      </c>
      <c r="I14" s="98" t="str">
        <f>IF(SUM(G14:H14)=0,"",SUM(G14:H14))</f>
        <v/>
      </c>
      <c r="J14" s="139" t="str">
        <f>IF(OR(I14&lt;4, I14=""), "", "or")</f>
        <v/>
      </c>
      <c r="K14" s="99" t="str">
        <f>IF(OR(I14="", I14&lt;4),"", IF(I14&gt;=16, INT(CONVERT(I14, "cup","gal")) &amp; " gal. "&amp; IF((MOD(I14,16))&gt;=4, INT(CONVERT(MOD(I14,16),"cup","qt")) &amp; " qt. " &amp; TEXT(MOD(MOD(I14,16),4), "##### ?/? cup"), TEXT(MOD(MOD(I14,16),4), "##### ?/? cup")), INT(CONVERT(I14, "cup","qt"))  &amp; " qt. " &amp; TEXT(MOD(I14, 4), "##### ?/? cup")))</f>
        <v/>
      </c>
    </row>
    <row r="15" spans="2:11" ht="15.75" thickBot="1" x14ac:dyDescent="0.3">
      <c r="B15" s="60" t="s">
        <v>10</v>
      </c>
      <c r="C15" s="222"/>
      <c r="D15" s="223"/>
      <c r="E15" s="223"/>
      <c r="F15" s="223"/>
      <c r="G15" s="162" t="str">
        <f>IF(G6*6=0,"",G6*6)</f>
        <v/>
      </c>
      <c r="H15" s="162" t="str">
        <f>IF(H6*6=0,"",H6*6)</f>
        <v/>
      </c>
      <c r="I15" s="100" t="str">
        <f>IF(SUM(G15:H15)=0,"",SUM(G15:H15))</f>
        <v/>
      </c>
      <c r="J15" s="140" t="str">
        <f>IF(OR(I15="",I15&lt;16),"","or")</f>
        <v/>
      </c>
      <c r="K15" s="101" t="str">
        <f>IF(OR(I15="",I15&lt;16),"",INT(CONVERT(I15,"ozm","lbm"))&amp;" lb. "&amp;IF(MOD(I15,16)=0,"",TEXT(MOD(I15,16),"0.0 oz.")))</f>
        <v/>
      </c>
    </row>
    <row r="16" spans="2:11" x14ac:dyDescent="0.25">
      <c r="B16" s="44" t="s">
        <v>59</v>
      </c>
      <c r="C16" s="163"/>
      <c r="D16" s="152"/>
      <c r="E16" s="152"/>
      <c r="F16" s="152"/>
      <c r="G16" s="152"/>
      <c r="H16" s="152"/>
      <c r="I16" s="250"/>
      <c r="J16" s="251"/>
      <c r="K16" s="252"/>
    </row>
    <row r="17" spans="2:11" x14ac:dyDescent="0.25">
      <c r="B17" s="46" t="s">
        <v>3</v>
      </c>
      <c r="C17" s="164" t="str">
        <f>IF(C6*0.5=0,"",C6*0.5)</f>
        <v/>
      </c>
      <c r="D17" s="165" t="str">
        <f>IF(D6*0.5=0,"",D6*0.5)</f>
        <v/>
      </c>
      <c r="E17" s="165" t="str">
        <f>IF(E6*0.5=0,"",E6*0.5)</f>
        <v/>
      </c>
      <c r="F17" s="166" t="str">
        <f>IF(F6*1=0,"",F6*1)</f>
        <v/>
      </c>
      <c r="G17" s="166" t="str">
        <f>IF(G6*2=0,"",G6*2)</f>
        <v/>
      </c>
      <c r="H17" s="166" t="str">
        <f>IF(H6*2=0,"",H6*2)</f>
        <v/>
      </c>
      <c r="I17" s="102" t="str">
        <f t="shared" ref="I17:I22" si="8">IF(SUM(C17:H17)=0,"",SUM(C17:H17))</f>
        <v/>
      </c>
      <c r="J17" s="138" t="str">
        <f>IF(OR(I17="",I17&lt;16),"","or")</f>
        <v/>
      </c>
      <c r="K17" s="103" t="str">
        <f>IF(OR(I17="",I17&lt;16),"",INT(CONVERT(I17,"ozm","lbm")) &amp; " lb. " &amp; IF(MOD(I17,16)=0, "", TEXT((MOD(I17,16)), "0.0 oz.")))</f>
        <v/>
      </c>
    </row>
    <row r="18" spans="2:11" x14ac:dyDescent="0.25">
      <c r="B18" s="46" t="s">
        <v>56</v>
      </c>
      <c r="C18" s="164" t="str">
        <f>IF(C6*1.1=0,"",C6*1.1)</f>
        <v/>
      </c>
      <c r="D18" s="165" t="str">
        <f t="shared" ref="D18:E18" si="9">IF(D6*1.1=0,"",D6*1.1)</f>
        <v/>
      </c>
      <c r="E18" s="165" t="str">
        <f t="shared" si="9"/>
        <v/>
      </c>
      <c r="F18" s="165" t="str">
        <f>IF(F6*2.2=0,"",F6*2.2)</f>
        <v/>
      </c>
      <c r="G18" s="165" t="str">
        <f>IF(G6*2.2*2=0,"",G6*2.2*2)</f>
        <v/>
      </c>
      <c r="H18" s="165" t="str">
        <f>IF(H6*2.2*2=0,"",H6*2.2*2)</f>
        <v/>
      </c>
      <c r="I18" s="102" t="str">
        <f t="shared" si="8"/>
        <v/>
      </c>
      <c r="J18" s="138" t="str">
        <f t="shared" ref="J18:J19" si="10">IF(OR(I18="",I18&lt;16),"","or")</f>
        <v/>
      </c>
      <c r="K18" s="103" t="str">
        <f>IF(OR(I18="",I18&lt;16),"",INT(CONVERT(I18,"ozm","lbm")) &amp; " lb. " &amp; IF(MOD(I18,16)=0, "", TEXT(MOD(I18,16), "0.0 oz.")))</f>
        <v/>
      </c>
    </row>
    <row r="19" spans="2:11" x14ac:dyDescent="0.25">
      <c r="B19" s="46" t="s">
        <v>57</v>
      </c>
      <c r="C19" s="164" t="str">
        <f>IF(C6*0.5=0,"",C6*0.5)</f>
        <v/>
      </c>
      <c r="D19" s="165" t="str">
        <f>IF(D6*0.5=0,"",D6*0.5)</f>
        <v/>
      </c>
      <c r="E19" s="165" t="str">
        <f>IF(E6*0.5=0,"",E6*0.5)</f>
        <v/>
      </c>
      <c r="F19" s="166" t="str">
        <f t="shared" ref="F19" si="11">IF(F6*1=0,"",F6*1)</f>
        <v/>
      </c>
      <c r="G19" s="166" t="str">
        <f>IF(G6*2=0,"",G6*2)</f>
        <v/>
      </c>
      <c r="H19" s="166" t="str">
        <f>IF(H6*2=0,"",H6*2)</f>
        <v/>
      </c>
      <c r="I19" s="102" t="str">
        <f t="shared" si="8"/>
        <v/>
      </c>
      <c r="J19" s="138" t="str">
        <f t="shared" si="10"/>
        <v/>
      </c>
      <c r="K19" s="103" t="str">
        <f>IF(OR(I19="",I19&lt;16),"",INT(CONVERT(I19,"ozm","lbm")) &amp; " lb. " &amp; IF(MOD(I19,16)=0, "", TEXT((MOD(I19,16)), "0.0 oz.")))</f>
        <v/>
      </c>
    </row>
    <row r="20" spans="2:11" x14ac:dyDescent="0.25">
      <c r="B20" s="47" t="s">
        <v>4</v>
      </c>
      <c r="C20" s="167" t="str">
        <f>IF(C6*0.25=0,"",C6*0.25)</f>
        <v/>
      </c>
      <c r="D20" s="168" t="str">
        <f t="shared" ref="D20:E20" si="12">IF(D6*0.25=0,"",D6*0.25)</f>
        <v/>
      </c>
      <c r="E20" s="168" t="str">
        <f t="shared" si="12"/>
        <v/>
      </c>
      <c r="F20" s="168" t="str">
        <f>IF(F6*0.5=0,"",F6*0.5)</f>
        <v/>
      </c>
      <c r="G20" s="168" t="str">
        <f t="shared" ref="G20:H20" si="13">IF(G6*1=0,"",G6*1)</f>
        <v/>
      </c>
      <c r="H20" s="168" t="str">
        <f t="shared" si="13"/>
        <v/>
      </c>
      <c r="I20" s="104" t="str">
        <f t="shared" si="8"/>
        <v/>
      </c>
      <c r="J20" s="138" t="str">
        <f>IF(OR(I20="",I20&lt;12),"","or")</f>
        <v/>
      </c>
      <c r="K20" s="105" t="str">
        <f>IF(OR(I20="", I20=0),"",IF(12&lt;=I20, IF(MOD(I20,12)&lt;&gt;0, QUOTIENT(I20,12) &amp; " dozen " &amp; TEXT(MOD(I20,12),"## ?/?") &amp; " egg", QUOTIENT(I20,12) &amp; " dozen"), ""))</f>
        <v/>
      </c>
    </row>
    <row r="21" spans="2:11" x14ac:dyDescent="0.25">
      <c r="B21" s="47" t="s">
        <v>5</v>
      </c>
      <c r="C21" s="169" t="str">
        <f>IF(C6*(1/8)=0,"",C6*(1/8))</f>
        <v/>
      </c>
      <c r="D21" s="159" t="str">
        <f t="shared" ref="D21:E21" si="14">IF(D6*(1/8)=0,"",D6*(1/8))</f>
        <v/>
      </c>
      <c r="E21" s="159" t="str">
        <f t="shared" si="14"/>
        <v/>
      </c>
      <c r="F21" s="159" t="str">
        <f>IF(F6*0.25=0,"",F6*0.25)</f>
        <v/>
      </c>
      <c r="G21" s="159" t="str">
        <f>IF(G6*0.5=0,"",G6*0.5)</f>
        <v/>
      </c>
      <c r="H21" s="159" t="str">
        <f>IF(H6*0.5=0,"",H6*0.5)</f>
        <v/>
      </c>
      <c r="I21" s="98" t="str">
        <f t="shared" si="8"/>
        <v/>
      </c>
      <c r="J21" s="138" t="str">
        <f>IF(OR(I21="",I21&lt;4),"","or")</f>
        <v/>
      </c>
      <c r="K21" s="99" t="str">
        <f>IF(OR(I21="", I21&lt;4),"", IF(I21&gt;=16, INT(CONVERT(I21, "cup","gal")) &amp; " gal. "&amp; IF((MOD(I21,16))&gt;=4, INT(CONVERT(MOD(I21,16),"cup","qt")) &amp; " qt. " &amp; TEXT(MOD(MOD(I21,16),4), "##### ?/? cup"), TEXT(MOD(MOD(I21,16),4), "##### ?/? cup")), INT(CONVERT(I21, "cup","qt"))  &amp; " qt. " &amp; TEXT(MOD(I21, 4), "##### ?/? cup")))</f>
        <v/>
      </c>
    </row>
    <row r="22" spans="2:11" ht="30.75" customHeight="1" x14ac:dyDescent="0.25">
      <c r="B22" s="47" t="s">
        <v>6</v>
      </c>
      <c r="C22" s="170" t="str">
        <f>IF(C6*1=0,"",C6*1)</f>
        <v/>
      </c>
      <c r="D22" s="171" t="str">
        <f t="shared" ref="D22:E22" si="15">IF(D6*1=0,"",D6*1)</f>
        <v/>
      </c>
      <c r="E22" s="171" t="str">
        <f t="shared" si="15"/>
        <v/>
      </c>
      <c r="F22" s="171" t="str">
        <f t="shared" ref="F22" si="16">IF(F6*(2)=0,"",F6*2)</f>
        <v/>
      </c>
      <c r="G22" s="171" t="str">
        <f>IF(G6*(4)=0,"",G6*4)</f>
        <v/>
      </c>
      <c r="H22" s="171" t="str">
        <f>IF(H6*(4)=0,"",H6*4)</f>
        <v/>
      </c>
      <c r="I22" s="106" t="str">
        <f t="shared" si="8"/>
        <v/>
      </c>
      <c r="J22" s="138" t="str">
        <f>IF(OR(I22="",I22&lt;4),"","or")</f>
        <v/>
      </c>
      <c r="K22" s="107" t="str">
        <f>IF(OR(I22="",I22&lt;4),"",IF(I22&lt;64,IF(MOD(I22,4)=0,TEXT(CONVERT(I22,"tbs","cup"),"#### ?/? cup"),TEXT(CONVERT(I22-MOD(I22,4),"tbs","cup"),"#### ?/? cup ")&amp;MOD(I22,4)&amp;" Tbsp."),
(INT(I22/64)&amp;" qt. " &amp; IF(MOD(I22,64)&lt;4, MOD(I22,64) &amp; " Tbsp.",TEXT(CONVERT((MOD(I22,64)-MOD(MOD(I22,64),4)),"tbs","cup"),"#### ?/? cup ")  &amp; MOD(MOD(I22,64),4) &amp; " Tbsp."))))</f>
        <v/>
      </c>
    </row>
    <row r="23" spans="2:11" x14ac:dyDescent="0.25">
      <c r="B23" s="47" t="s">
        <v>35</v>
      </c>
      <c r="C23" s="153"/>
      <c r="D23" s="205"/>
      <c r="E23" s="89"/>
      <c r="F23" s="89"/>
      <c r="G23" s="205"/>
      <c r="H23" s="205"/>
      <c r="I23" s="247"/>
      <c r="J23" s="248"/>
      <c r="K23" s="249"/>
    </row>
    <row r="24" spans="2:11" x14ac:dyDescent="0.25">
      <c r="B24" s="48" t="s">
        <v>11</v>
      </c>
      <c r="C24" s="169" t="str">
        <f>IF(C6*0.25=0,"",C6*0.25)</f>
        <v/>
      </c>
      <c r="D24" s="159" t="str">
        <f t="shared" ref="D24:E24" si="17">IF(D6*0.25=0,"",D6*0.25)</f>
        <v/>
      </c>
      <c r="E24" s="159" t="str">
        <f t="shared" si="17"/>
        <v/>
      </c>
      <c r="F24" s="159" t="str">
        <f t="shared" ref="F24" si="18">IF(F6*0.5=0,"",F6*0.5)</f>
        <v/>
      </c>
      <c r="G24" s="159" t="str">
        <f>IF(G6*1=0,"",G6*1)</f>
        <v/>
      </c>
      <c r="H24" s="159" t="str">
        <f>IF(H6*1=0,"",H6*1)</f>
        <v/>
      </c>
      <c r="I24" s="98" t="str">
        <f>IF(SUM(C24:H24)=0,"",SUM(C24:H24))</f>
        <v/>
      </c>
      <c r="J24" s="139" t="str">
        <f>IF(OR(I24&lt;4, I24=""), "", "or")</f>
        <v/>
      </c>
      <c r="K24" s="99" t="str">
        <f>IF(OR(I24="", I24&lt;4),"", IF(I24&gt;=16, INT(CONVERT(I24, "cup","gal")) &amp; " gal. "&amp; IF((MOD(I24,16))&gt;=4, INT(CONVERT(MOD(I24,16),"cup","qt")) &amp; " qt. " &amp; TEXT(MOD(MOD(I24,16),4), "##### ?/? cup"), TEXT(MOD(MOD(I24,16),4), "##### ?/? cup")), INT(CONVERT(I24, "cup","qt"))  &amp; " qt. " &amp; TEXT(MOD(I24, 4), "##### ?/? cup")))</f>
        <v/>
      </c>
    </row>
    <row r="25" spans="2:11" ht="15.75" thickBot="1" x14ac:dyDescent="0.3">
      <c r="B25" s="55" t="s">
        <v>10</v>
      </c>
      <c r="C25" s="224" t="str">
        <f>IF(C6*2=0,"",C6*2)</f>
        <v/>
      </c>
      <c r="D25" s="162" t="str">
        <f t="shared" ref="D25:E25" si="19">IF(D6*2=0,"",D6*2)</f>
        <v/>
      </c>
      <c r="E25" s="162" t="str">
        <f t="shared" si="19"/>
        <v/>
      </c>
      <c r="F25" s="162" t="str">
        <f t="shared" ref="F25" si="20">IF(F6*4=0,"",F6*4)</f>
        <v/>
      </c>
      <c r="G25" s="162" t="str">
        <f>IF(G6*8=0,"",G6*8)</f>
        <v/>
      </c>
      <c r="H25" s="162" t="str">
        <f>IF(H6*8=0,"",H6*8)</f>
        <v/>
      </c>
      <c r="I25" s="108" t="str">
        <f>IF(SUM(C25:H25)=0,"",SUM(C25:H25))</f>
        <v/>
      </c>
      <c r="J25" s="225" t="str">
        <f>IF(OR(I25&lt;16, I25=""), "", "or")</f>
        <v/>
      </c>
      <c r="K25" s="109" t="str">
        <f>IF(OR(I25="", I25&lt;16), "",INT(CONVERT(I25,"ozm","lbm")) &amp; " lb. " &amp; IF(MOD(I25,16)=0, "", TEXT(MOD(I25,16), "0 oz.")))</f>
        <v/>
      </c>
    </row>
    <row r="26" spans="2:11" ht="15.75" thickBot="1" x14ac:dyDescent="0.3">
      <c r="B26" s="61" t="s">
        <v>58</v>
      </c>
      <c r="C26" s="209" t="str">
        <f>IF(C6*(0.25)=0,"",C6*(0.25))</f>
        <v/>
      </c>
      <c r="D26" s="210" t="str">
        <f>IF(D6*(0.25)=0,"",D6*(0.25))</f>
        <v/>
      </c>
      <c r="E26" s="210" t="str">
        <f>IF(E6*(0.5)=0,"",E6*(0.5))</f>
        <v/>
      </c>
      <c r="F26" s="210" t="str">
        <f>IF(F6*(0.5)=0,"",F6*0.5)</f>
        <v/>
      </c>
      <c r="G26" s="210" t="str">
        <f>IF(G6*(0.5)=0,"",G6*(0.5))</f>
        <v/>
      </c>
      <c r="H26" s="210" t="str">
        <f>IF(H6*(0.5)=0,"",H6*(0.5))</f>
        <v/>
      </c>
      <c r="I26" s="110" t="str">
        <f>IF(SUM(C26:H26)=0,"",SUM(C26:H26))</f>
        <v/>
      </c>
      <c r="J26" s="226" t="str">
        <f t="shared" ref="J26" si="21">IF(OR(I26&lt;4, I26=""), "", "or")</f>
        <v/>
      </c>
      <c r="K26" s="111" t="str">
        <f>IF(OR(I26="", I26&lt;4),"", IF(I26&gt;=16, INT(CONVERT(I26, "cup","gal")) &amp; " gal. "&amp; IF((MOD(I26,16))&gt;=4, INT(CONVERT(MOD(I26,16),"cup","qt")) &amp; " qt. " &amp; TEXT(MOD(MOD(I26,16),4), "##### ?/? cup"), TEXT(MOD(MOD(I26,16),4), "##### ?/? cup")), INT(CONVERT(I26, "cup","qt"))  &amp; " qt. " &amp; TEXT(MOD(I26, 4), "##### ?/? cup")))</f>
        <v/>
      </c>
    </row>
    <row r="27" spans="2:11" x14ac:dyDescent="0.25">
      <c r="B27" s="51" t="s">
        <v>37</v>
      </c>
      <c r="C27" s="227"/>
      <c r="D27" s="228"/>
      <c r="E27" s="228"/>
      <c r="F27" s="228"/>
      <c r="G27" s="228"/>
      <c r="H27" s="228"/>
      <c r="I27" s="250"/>
      <c r="J27" s="251"/>
      <c r="K27" s="252"/>
    </row>
    <row r="28" spans="2:11" x14ac:dyDescent="0.25">
      <c r="B28" s="241" t="s">
        <v>38</v>
      </c>
      <c r="C28" s="229" t="str">
        <f>IF(0.4*C6=0,"",0.4*C6)</f>
        <v/>
      </c>
      <c r="D28" s="165" t="str">
        <f>IF(0.4*D6=0,"",0.4*D6)</f>
        <v/>
      </c>
      <c r="E28" s="165" t="str">
        <f>IF(0.4*E6=0,"",0.4*E6)</f>
        <v/>
      </c>
      <c r="F28" s="165" t="str">
        <f>IF(0.8*F6=0,"",0.8*F6)</f>
        <v/>
      </c>
      <c r="G28" s="165" t="str">
        <f>IF(0.8*2*G6=0,"",0.8*2*G6)</f>
        <v/>
      </c>
      <c r="H28" s="165" t="str">
        <f>IF(0.8*2*H6=0,"",0.8*2*H6)</f>
        <v/>
      </c>
      <c r="I28" s="102" t="str">
        <f>IF(SUM(C28:H28)=0,"",SUM(C28:H28))</f>
        <v/>
      </c>
      <c r="J28" s="138" t="str">
        <f>IF(OR(I28&lt;16, I28=""), "", "or")</f>
        <v/>
      </c>
      <c r="K28" s="103" t="str">
        <f>IF(OR(I28="",I28&lt;16),"",INT(CONVERT(I28,"ozm","lbm"))&amp;" lb. "&amp;IF(MOD(I28,16)=0,"",TEXT(MOD(I28,16), "0.0 oz.")))</f>
        <v/>
      </c>
    </row>
    <row r="29" spans="2:11" x14ac:dyDescent="0.25">
      <c r="B29" s="241" t="s">
        <v>39</v>
      </c>
      <c r="C29" s="229" t="str">
        <f>IF(C6*0.5=0,"",C6*0.5)</f>
        <v/>
      </c>
      <c r="D29" s="165" t="str">
        <f>IF(D6*0.5=0,"",D6*0.5)</f>
        <v/>
      </c>
      <c r="E29" s="165" t="str">
        <f>IF(E6*0.5=0,"",0.5*E6)</f>
        <v/>
      </c>
      <c r="F29" s="165" t="str">
        <f>IF(F6*1=0,"",1*F6)</f>
        <v/>
      </c>
      <c r="G29" s="165" t="str">
        <f>IF(G6*(1*2)=0,"",(1*2)*G6)</f>
        <v/>
      </c>
      <c r="H29" s="165" t="str">
        <f>IF(H6*(1*2)=0,"",(1*2)*H6)</f>
        <v/>
      </c>
      <c r="I29" s="102" t="str">
        <f>IF(SUM(C29:H29)=0,"",SUM(C29:H29))</f>
        <v/>
      </c>
      <c r="J29" s="138" t="str">
        <f t="shared" ref="J29:J32" si="22">IF(OR(I29&lt;16, I29=""), "", "or")</f>
        <v/>
      </c>
      <c r="K29" s="103" t="str">
        <f>IF(OR(I29="",I29&lt;16),"",INT(CONVERT(I29,"ozm","lbm"))&amp;" lb. "&amp;IF(MOD(I29,16)=0,"",TEXT(MOD(I29,16), "0.0 oz.")))</f>
        <v/>
      </c>
    </row>
    <row r="30" spans="2:11" x14ac:dyDescent="0.25">
      <c r="B30" s="241" t="s">
        <v>40</v>
      </c>
      <c r="C30" s="229" t="str">
        <f>IF(C6*0.6=0,"",C6*0.6)</f>
        <v/>
      </c>
      <c r="D30" s="165" t="str">
        <f>IF(D6*0.6=0,"",D6*0.6)</f>
        <v/>
      </c>
      <c r="E30" s="165" t="str">
        <f>IF(E6*0.6=0,"",E6*0.6)</f>
        <v/>
      </c>
      <c r="F30" s="165" t="str">
        <f>IF(F6*1.2=0,"",F6*1.2)</f>
        <v/>
      </c>
      <c r="G30" s="165" t="str">
        <f>IF(G6*(1.2*2)=0,"",G6*(1.2*2))</f>
        <v/>
      </c>
      <c r="H30" s="165" t="str">
        <f>IF(H6*(1.2*2)=0,"",H6*(1.2*2))</f>
        <v/>
      </c>
      <c r="I30" s="102" t="str">
        <f>IF(SUM(C30:H30)=0,"",SUM(C30:H30))</f>
        <v/>
      </c>
      <c r="J30" s="138" t="str">
        <f t="shared" si="22"/>
        <v/>
      </c>
      <c r="K30" s="103" t="str">
        <f>IF(OR(I30="",I30&lt;16),"",INT(CONVERT(I30,"ozm","lbm"))&amp;" lb. "&amp;IF(MOD(I30,16)=0,"",TEXT(MOD(I30,16), "0.0 oz.")))</f>
        <v/>
      </c>
    </row>
    <row r="31" spans="2:11" x14ac:dyDescent="0.25">
      <c r="B31" s="241" t="s">
        <v>42</v>
      </c>
      <c r="C31" s="229" t="str">
        <f>IF(C6*1=0,"",C6*1)</f>
        <v/>
      </c>
      <c r="D31" s="165" t="str">
        <f t="shared" ref="D31:E31" si="23">IF(D6*1=0,"",D6*1)</f>
        <v/>
      </c>
      <c r="E31" s="165" t="str">
        <f t="shared" si="23"/>
        <v/>
      </c>
      <c r="F31" s="165" t="str">
        <f>IF(F6*2=0,"",F6*2)</f>
        <v/>
      </c>
      <c r="G31" s="165" t="str">
        <f>IF(G6*(2*2)=0,"",G6*(2*2))</f>
        <v/>
      </c>
      <c r="H31" s="165" t="str">
        <f>IF(H6*(2*2)=0,"",H6*(2*2))</f>
        <v/>
      </c>
      <c r="I31" s="102" t="str">
        <f>IF(SUM(C31:H31)=0,"",SUM(C31:H31))</f>
        <v/>
      </c>
      <c r="J31" s="138" t="str">
        <f t="shared" si="22"/>
        <v/>
      </c>
      <c r="K31" s="103" t="str">
        <f>IF(OR(I31="",I31&lt;16),"",INT(CONVERT(I31,"ozm","lbm"))&amp;" lb. "&amp;IF(MOD(I31,16)=0,"",TEXT(MOD(I31,16), "0.0 oz.")))</f>
        <v/>
      </c>
    </row>
    <row r="32" spans="2:11" x14ac:dyDescent="0.25">
      <c r="B32" s="241" t="s">
        <v>44</v>
      </c>
      <c r="C32" s="229" t="str">
        <f>IF(C6*1.2=0,"",C6*1.2)</f>
        <v/>
      </c>
      <c r="D32" s="165" t="str">
        <f>IF(D6*1.2=0,"",D6*1.2)</f>
        <v/>
      </c>
      <c r="E32" s="165" t="str">
        <f>IF(E6*1.2=0,"",E6*1.2)</f>
        <v/>
      </c>
      <c r="F32" s="165" t="str">
        <f>IF(F6*2.4=0,"",F6*2.4)</f>
        <v/>
      </c>
      <c r="G32" s="165" t="str">
        <f>IF(G6*(2.4*2)=0,"",G6*(2.4*2))</f>
        <v/>
      </c>
      <c r="H32" s="165" t="str">
        <f>IF(H6*(2.4*2)=0,"",H6*(2.4*2))</f>
        <v/>
      </c>
      <c r="I32" s="102" t="str">
        <f>IF(SUM(C32:H32)=0,"",SUM(C32:H32))</f>
        <v/>
      </c>
      <c r="J32" s="138" t="str">
        <f t="shared" si="22"/>
        <v/>
      </c>
      <c r="K32" s="103" t="str">
        <f>IF(OR(I32="",I32&lt;16),"",INT(CONVERT(I32,"ozm","lbm"))&amp;" lb. "&amp;IF(MOD(I32,16)=0,"",TEXT(MOD(I32,16), "0.0 oz.")))</f>
        <v/>
      </c>
    </row>
    <row r="33" spans="2:11" x14ac:dyDescent="0.25">
      <c r="B33" s="241" t="s">
        <v>41</v>
      </c>
      <c r="C33" s="230"/>
      <c r="D33" s="205"/>
      <c r="E33" s="205"/>
      <c r="F33" s="205"/>
      <c r="G33" s="205"/>
      <c r="H33" s="205"/>
      <c r="I33" s="247"/>
      <c r="J33" s="248"/>
      <c r="K33" s="249"/>
    </row>
    <row r="34" spans="2:11" x14ac:dyDescent="0.25">
      <c r="B34" s="52" t="s">
        <v>8</v>
      </c>
      <c r="C34" s="231" t="str">
        <f>IF(C6*0.25=0,"",C6*0.25)</f>
        <v/>
      </c>
      <c r="D34" s="159" t="str">
        <f>IF(D6*0.25=0,"",D6*0.25)</f>
        <v/>
      </c>
      <c r="E34" s="159" t="str">
        <f>IF(E6*0.25=0,"",E6*0.25)</f>
        <v/>
      </c>
      <c r="F34" s="159" t="str">
        <f>IF(F6*0.5=0,"",F6*0.5)</f>
        <v/>
      </c>
      <c r="G34" s="159" t="str">
        <f>IF(G6*1=0,"",G6*1)</f>
        <v/>
      </c>
      <c r="H34" s="159" t="str">
        <f>IF(H6*1=0,"",H6*1)</f>
        <v/>
      </c>
      <c r="I34" s="98" t="str">
        <f>IF(SUM(C34:H34)=0,"",SUM(C34:H34))</f>
        <v/>
      </c>
      <c r="J34" s="139" t="str">
        <f>IF(OR(I34&lt;4, I34=""), "", "or")</f>
        <v/>
      </c>
      <c r="K34" s="99" t="str">
        <f>IF(OR(I34="", I34&lt;4),"", IF(I34&gt;=16, INT(CONVERT(I34, "cup","gal")) &amp; " gal. "&amp; IF((MOD(I34,16))&gt;=4, INT(CONVERT(MOD(I34,16),"cup","qt")) &amp; " qt. " &amp; TEXT(MOD(MOD(I34,16),4), "##### ?/? cup"), TEXT(MOD(MOD(I34,16),4), "##### ?/? cup")), INT(CONVERT(I34, "cup","qt"))  &amp; " qt. " &amp; TEXT(MOD(I34, 4), "##### ?/? cup")))</f>
        <v/>
      </c>
    </row>
    <row r="35" spans="2:11" x14ac:dyDescent="0.25">
      <c r="B35" s="52" t="s">
        <v>9</v>
      </c>
      <c r="C35" s="232" t="str">
        <f>IF(C6*28*(1/2)=0,"",C6*28*(1/2))</f>
        <v/>
      </c>
      <c r="D35" s="213" t="str">
        <f t="shared" ref="D35:E35" si="24">IF(D6*28*(1/2)=0,"",D6*28*(1/2))</f>
        <v/>
      </c>
      <c r="E35" s="213" t="str">
        <f t="shared" si="24"/>
        <v/>
      </c>
      <c r="F35" s="213" t="str">
        <f>IF(F6*28=0,"",F6*28)</f>
        <v/>
      </c>
      <c r="G35" s="213" t="str">
        <f>IF(G6*28*2=0,"",G6*28*2)</f>
        <v/>
      </c>
      <c r="H35" s="213" t="str">
        <f>IF(H6*28*2=0,"",H6*28*2)</f>
        <v/>
      </c>
      <c r="I35" s="112" t="str">
        <f>IF(SUM(C35:H35)=0,"",SUM(C35:H35))</f>
        <v/>
      </c>
      <c r="J35" s="139" t="str">
        <f>IF(I35="", "", "or")</f>
        <v/>
      </c>
      <c r="K35" s="113" t="str">
        <f>IF(I35="","",IF(I35&gt;=453.6, INT(ROUND(I35/28.34952,0)/16) &amp; " lb." &amp; TEXT(MOD(I35/28.34952,16), " 0.00 oz.") &amp; "****",TEXT((CONVERT(I35,"g","ozm"))," 0.00 oz.") &amp; "****"))</f>
        <v/>
      </c>
    </row>
    <row r="36" spans="2:11" x14ac:dyDescent="0.25">
      <c r="B36" s="241" t="s">
        <v>46</v>
      </c>
      <c r="C36" s="230"/>
      <c r="D36" s="205"/>
      <c r="E36" s="205"/>
      <c r="F36" s="205"/>
      <c r="G36" s="205"/>
      <c r="H36" s="205"/>
      <c r="I36" s="247"/>
      <c r="J36" s="248"/>
      <c r="K36" s="249"/>
    </row>
    <row r="37" spans="2:11" x14ac:dyDescent="0.25">
      <c r="B37" s="45" t="s">
        <v>27</v>
      </c>
      <c r="C37" s="230"/>
      <c r="D37" s="214"/>
      <c r="E37" s="205"/>
      <c r="F37" s="205"/>
      <c r="G37" s="205"/>
      <c r="H37" s="205"/>
      <c r="I37" s="247"/>
      <c r="J37" s="248"/>
      <c r="K37" s="249"/>
    </row>
    <row r="38" spans="2:11" x14ac:dyDescent="0.25">
      <c r="B38" s="53" t="s">
        <v>28</v>
      </c>
      <c r="C38" s="229" t="str">
        <f>IF(1*(1/2)*C6=0,"",1*(1/2)*C6)</f>
        <v/>
      </c>
      <c r="D38" s="165" t="str">
        <f t="shared" ref="D38:E38" si="25">IF(1*(1/2)*D6=0,"",1*(1/2)*D6)</f>
        <v/>
      </c>
      <c r="E38" s="165" t="str">
        <f t="shared" si="25"/>
        <v/>
      </c>
      <c r="F38" s="166" t="str">
        <f>IF(1*F6=0,"",1*F6)</f>
        <v/>
      </c>
      <c r="G38" s="166" t="str">
        <f>IF(2*G6=0,"",2*G6)</f>
        <v/>
      </c>
      <c r="H38" s="166" t="str">
        <f>IF(2*H6=0,"",2*H6)</f>
        <v/>
      </c>
      <c r="I38" s="102" t="str">
        <f>IF(SUM(C38:H38)=0,"",SUM(C38:H38))</f>
        <v/>
      </c>
      <c r="J38" s="138" t="str">
        <f>IF(OR(I38="", I38&lt;16),"", "or")</f>
        <v/>
      </c>
      <c r="K38" s="103" t="str">
        <f>IF(OR(I38="",I38&lt;16),"",INT(CONVERT(I38,"ozm","lbm"))&amp;" lb. "&amp;IF(MOD(I38,16)=0,"",TEXT((MOD(I38,16)),"0.0 oz.")))</f>
        <v/>
      </c>
    </row>
    <row r="39" spans="2:11" x14ac:dyDescent="0.25">
      <c r="B39" s="53" t="s">
        <v>29</v>
      </c>
      <c r="C39" s="231" t="str">
        <f>IF(1*(1/2)*C6=0,"",1*(1/2)*C6)</f>
        <v/>
      </c>
      <c r="D39" s="159" t="str">
        <f t="shared" ref="D39:E39" si="26">IF(1*(1/2)*D6=0,"",1*(1/2)*D6)</f>
        <v/>
      </c>
      <c r="E39" s="159" t="str">
        <f t="shared" si="26"/>
        <v/>
      </c>
      <c r="F39" s="159" t="str">
        <f>IF(1*F6=0,"",1*F6)</f>
        <v/>
      </c>
      <c r="G39" s="159" t="str">
        <f>IF(2*G6=0,"",2*G6)</f>
        <v/>
      </c>
      <c r="H39" s="159" t="str">
        <f>IF(2*H6=0,"",2*H6)</f>
        <v/>
      </c>
      <c r="I39" s="98" t="str">
        <f>IF(SUM(C39:H39)=0,"",SUM(C39:H39))</f>
        <v/>
      </c>
      <c r="J39" s="138" t="str">
        <f>IF(OR(I39&lt;4, I39=""), "", "or")</f>
        <v/>
      </c>
      <c r="K39" s="99" t="str">
        <f>IF(OR(I39="", I39&lt;4),"", IF(I39&gt;=16, INT(CONVERT(I39, "cup","gal")) &amp; " gal. "&amp; IF((MOD(I39,16))&gt;=4, INT(CONVERT(MOD(I39,16),"cup","qt")) &amp; " qt. " &amp; TEXT(MOD(MOD(I39,16),4), "##### ?/? cup"), TEXT(MOD(MOD(I39,16),4), "##### ?/? cup")), INT(CONVERT(I39, "cup","qt"))  &amp; " qt. " &amp; TEXT(MOD(I39, 4), "##### ?/? cup")))</f>
        <v/>
      </c>
    </row>
    <row r="40" spans="2:11" x14ac:dyDescent="0.25">
      <c r="B40" s="45" t="s">
        <v>30</v>
      </c>
      <c r="C40" s="230"/>
      <c r="D40" s="205"/>
      <c r="E40" s="205"/>
      <c r="F40" s="205"/>
      <c r="G40" s="205"/>
      <c r="H40" s="205"/>
      <c r="I40" s="247"/>
      <c r="J40" s="248"/>
      <c r="K40" s="249"/>
    </row>
    <row r="41" spans="2:11" x14ac:dyDescent="0.25">
      <c r="B41" s="53" t="s">
        <v>28</v>
      </c>
      <c r="C41" s="229" t="str">
        <f>IF(1*(1/2)*C6=0,"",1*(1/2)*C6)</f>
        <v/>
      </c>
      <c r="D41" s="165" t="str">
        <f t="shared" ref="D41:E41" si="27">IF(1*(1/2)*D6=0,"",1*(1/2)*D6)</f>
        <v/>
      </c>
      <c r="E41" s="165" t="str">
        <f t="shared" si="27"/>
        <v/>
      </c>
      <c r="F41" s="166" t="str">
        <f>IF(1*F6=0,"",1*F6)</f>
        <v/>
      </c>
      <c r="G41" s="166" t="str">
        <f>IF(2*G6=0,"",2*G6)</f>
        <v/>
      </c>
      <c r="H41" s="166" t="str">
        <f>IF(2*H6=0,"",2*H6)</f>
        <v/>
      </c>
      <c r="I41" s="102" t="str">
        <f>IF(SUM(C41:H41)=0,"",SUM(C41:H41))</f>
        <v/>
      </c>
      <c r="J41" s="138" t="str">
        <f>IF(OR(I41="", I41&lt;16),"", "or")</f>
        <v/>
      </c>
      <c r="K41" s="103" t="str">
        <f>IF(OR(I41="",I41&lt;16),"",INT(CONVERT(I41,"ozm","lbm"))&amp;" lb. "&amp; IF(MOD(I41,16)=0,"",TEXT((MOD(I41,16)), "0.0 oz.")))</f>
        <v/>
      </c>
    </row>
    <row r="42" spans="2:11" x14ac:dyDescent="0.25">
      <c r="B42" s="53" t="s">
        <v>29</v>
      </c>
      <c r="C42" s="231" t="str">
        <f>IF(1.25*(1/2)*C6=0,"",1.25*(1/2)*C6)</f>
        <v/>
      </c>
      <c r="D42" s="159" t="str">
        <f t="shared" ref="D42:E42" si="28">IF(1.25*(1/2)*D6=0,"",1.25*(1/2)*D6)</f>
        <v/>
      </c>
      <c r="E42" s="159" t="str">
        <f t="shared" si="28"/>
        <v/>
      </c>
      <c r="F42" s="159" t="str">
        <f>IF(1.25*F6=0,"",1.25*F6)</f>
        <v/>
      </c>
      <c r="G42" s="159" t="str">
        <f>IF(1.25*2*G6=0,"",1.25*2*G6)</f>
        <v/>
      </c>
      <c r="H42" s="159" t="str">
        <f>IF(1.25*2*H6=0,"",1.25*2*H6)</f>
        <v/>
      </c>
      <c r="I42" s="98" t="str">
        <f>IF(SUM(C42:H42)=0,"",SUM(C42:H42))</f>
        <v/>
      </c>
      <c r="J42" s="139" t="str">
        <f>IF(OR(I42&lt;4, I42=""), "", "or")</f>
        <v/>
      </c>
      <c r="K42" s="99" t="str">
        <f>IF(OR(I42="", I42&lt;4),"", IF(I42&gt;=16, INT(CONVERT(I42, "cup","gal")) &amp; " gal. "&amp; IF((MOD(I42,16))&gt;=4, INT(CONVERT(MOD(I42,16),"cup","qt")) &amp; " qt. " &amp; TEXT(MOD(MOD(I42,16),4), "##### ?/? cup"), TEXT(MOD(MOD(I42,16),4), "##### ?/? cup")), INT(CONVERT(I42, "cup","qt"))  &amp; " qt. " &amp; TEXT(MOD(I42, 4), "##### ?/? cup")))</f>
        <v/>
      </c>
    </row>
    <row r="43" spans="2:11" x14ac:dyDescent="0.25">
      <c r="B43" s="45" t="s">
        <v>31</v>
      </c>
      <c r="C43" s="230"/>
      <c r="D43" s="205"/>
      <c r="E43" s="205"/>
      <c r="F43" s="205"/>
      <c r="G43" s="205"/>
      <c r="H43" s="205"/>
      <c r="I43" s="247"/>
      <c r="J43" s="248"/>
      <c r="K43" s="249"/>
    </row>
    <row r="44" spans="2:11" x14ac:dyDescent="0.25">
      <c r="B44" s="53" t="s">
        <v>28</v>
      </c>
      <c r="C44" s="229" t="str">
        <f>IF(1*(1/2)*C6=0,"",1*(1/2)*C6)</f>
        <v/>
      </c>
      <c r="D44" s="165" t="str">
        <f t="shared" ref="D44:E44" si="29">IF(1*(1/2)*D6=0,"",1*(1/2)*D6)</f>
        <v/>
      </c>
      <c r="E44" s="165" t="str">
        <f t="shared" si="29"/>
        <v/>
      </c>
      <c r="F44" s="166" t="str">
        <f>IF(1*F6=0,"",1*F6)</f>
        <v/>
      </c>
      <c r="G44" s="166" t="str">
        <f>IF(1*2*G6=0,"",1*2*G6)</f>
        <v/>
      </c>
      <c r="H44" s="166" t="str">
        <f>IF(1*2*H6=0,"",1*2*H6)</f>
        <v/>
      </c>
      <c r="I44" s="102" t="str">
        <f>IF(SUM(C44:H44)=0,"",SUM(C44:H44))</f>
        <v/>
      </c>
      <c r="J44" s="138" t="str">
        <f>IF(OR(I44="", I44&lt;16),"", "or")</f>
        <v/>
      </c>
      <c r="K44" s="103" t="str">
        <f>IF(OR(I44="",I44&lt;16),"",INT(CONVERT(I44,"ozm","lbm"))&amp;" lb. "&amp; IF(MOD(I44,16)=0,"",TEXT((MOD(I44,16)),"0.0 oz.")))</f>
        <v/>
      </c>
    </row>
    <row r="45" spans="2:11" ht="15.75" thickBot="1" x14ac:dyDescent="0.3">
      <c r="B45" s="54" t="s">
        <v>29</v>
      </c>
      <c r="C45" s="233" t="str">
        <f>IF(0.25*(1/2)*C6=0,"",0.25*(1/2)*C6)</f>
        <v/>
      </c>
      <c r="D45" s="216" t="str">
        <f t="shared" ref="D45:E45" si="30">IF(0.25*(1/2)*D6=0,"",0.25*(1/2)*D6)</f>
        <v/>
      </c>
      <c r="E45" s="216" t="str">
        <f t="shared" si="30"/>
        <v/>
      </c>
      <c r="F45" s="216" t="str">
        <f>IF(0.25*F6=0,"",0.25*F6)</f>
        <v/>
      </c>
      <c r="G45" s="216" t="str">
        <f>IF(0.25*2*G6=0,"",0.25*2*G6)</f>
        <v/>
      </c>
      <c r="H45" s="216" t="str">
        <f>IF(0.25*2*H6=0,"",0.25*2*H6)</f>
        <v/>
      </c>
      <c r="I45" s="114" t="str">
        <f>IF(SUM(C45:H45)=0,"",SUM(C45:H45))</f>
        <v/>
      </c>
      <c r="J45" s="140" t="str">
        <f>IF(OR(I45&lt;4, I45=""), "", "or")</f>
        <v/>
      </c>
      <c r="K45" s="115" t="str">
        <f>IF(OR(I45="", I45&lt;4),"", IF(I45&gt;=16, INT(CONVERT(I45, "cup","gal")) &amp; " gal. "&amp; IF((MOD(I45,16))&gt;=4, INT(CONVERT(MOD(I45,16),"cup","qt")) &amp; " qt. " &amp; TEXT(MOD(MOD(I45,16),4), "##### ?/? cup"), TEXT(MOD(MOD(I45,16),4), "##### ?/? cup")), INT(CONVERT(I45, "cup","qt"))  &amp; " qt. " &amp; TEXT(MOD(I45, 4), "##### ?/? cup")))</f>
        <v/>
      </c>
    </row>
    <row r="46" spans="2:11" s="3" customFormat="1" x14ac:dyDescent="0.25">
      <c r="B46" s="68"/>
      <c r="C46" s="20"/>
      <c r="D46" s="20"/>
      <c r="E46" s="20"/>
      <c r="F46" s="20"/>
      <c r="G46" s="20"/>
      <c r="H46" s="20"/>
      <c r="I46" s="20"/>
    </row>
    <row r="47" spans="2:11" s="3" customFormat="1" x14ac:dyDescent="0.25">
      <c r="B47" s="28"/>
      <c r="C47" s="265" t="s">
        <v>62</v>
      </c>
      <c r="D47" s="265"/>
      <c r="E47" s="265"/>
      <c r="F47" s="265"/>
      <c r="G47" s="265"/>
      <c r="H47" s="265"/>
      <c r="I47" s="265"/>
      <c r="J47" s="265"/>
      <c r="K47" s="265"/>
    </row>
    <row r="48" spans="2:11" s="3" customFormat="1" x14ac:dyDescent="0.25">
      <c r="B48" s="29"/>
      <c r="C48" s="3" t="s">
        <v>67</v>
      </c>
    </row>
    <row r="49" spans="3:11" s="3" customFormat="1" x14ac:dyDescent="0.25">
      <c r="C49" s="255" t="s">
        <v>61</v>
      </c>
      <c r="D49" s="255"/>
      <c r="E49" s="255"/>
      <c r="F49" s="255"/>
      <c r="G49" s="255"/>
      <c r="H49" s="255"/>
      <c r="I49" s="255"/>
    </row>
    <row r="50" spans="3:11" s="3" customFormat="1" x14ac:dyDescent="0.25">
      <c r="C50" s="3" t="s">
        <v>65</v>
      </c>
    </row>
    <row r="51" spans="3:11" s="3" customFormat="1" x14ac:dyDescent="0.25"/>
    <row r="52" spans="3:11" s="3" customFormat="1" x14ac:dyDescent="0.25">
      <c r="C52" s="254" t="s">
        <v>52</v>
      </c>
      <c r="D52" s="254"/>
      <c r="E52" s="254"/>
      <c r="F52" s="254"/>
      <c r="G52" s="254"/>
      <c r="H52" s="254"/>
      <c r="I52" s="254"/>
      <c r="J52" s="254"/>
      <c r="K52" s="254"/>
    </row>
    <row r="53" spans="3:11" s="3" customFormat="1" x14ac:dyDescent="0.25"/>
    <row r="54" spans="3:11" s="3" customFormat="1" x14ac:dyDescent="0.25"/>
    <row r="55" spans="3:11" s="3" customFormat="1" x14ac:dyDescent="0.25"/>
    <row r="56" spans="3:11" s="3" customFormat="1" x14ac:dyDescent="0.25"/>
    <row r="57" spans="3:11" s="3" customFormat="1" x14ac:dyDescent="0.25"/>
    <row r="58" spans="3:11" s="3" customFormat="1" x14ac:dyDescent="0.25"/>
    <row r="59" spans="3:11" s="3" customFormat="1" x14ac:dyDescent="0.25"/>
    <row r="60" spans="3:11" s="3" customFormat="1" x14ac:dyDescent="0.25"/>
    <row r="61" spans="3:11" s="3" customFormat="1" x14ac:dyDescent="0.25"/>
    <row r="62" spans="3:11" s="3" customFormat="1" x14ac:dyDescent="0.25"/>
    <row r="63" spans="3:11" s="3" customFormat="1" x14ac:dyDescent="0.25"/>
    <row r="64" spans="3:11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</sheetData>
  <sheetProtection algorithmName="SHA-512" hashValue="C9QXSbfCtlrJ7PwIPGMHnaQz/V1pPrHqCy+jptXDoHIP0ID+PWNqufXus4uJvDTRZ3CCHQzir/rGLCHre1cXrA==" saltValue="ErYxS66GPQhJEVfQbGEopg==" spinCount="100000" sheet="1" objects="1" scenarios="1"/>
  <mergeCells count="18">
    <mergeCell ref="C52:K52"/>
    <mergeCell ref="C49:I49"/>
    <mergeCell ref="I5:K5"/>
    <mergeCell ref="I6:K6"/>
    <mergeCell ref="I7:K7"/>
    <mergeCell ref="I8:K8"/>
    <mergeCell ref="I13:K13"/>
    <mergeCell ref="I16:K16"/>
    <mergeCell ref="I43:K43"/>
    <mergeCell ref="C47:K47"/>
    <mergeCell ref="B2:K2"/>
    <mergeCell ref="I37:K37"/>
    <mergeCell ref="I40:K40"/>
    <mergeCell ref="I33:K33"/>
    <mergeCell ref="I36:K36"/>
    <mergeCell ref="I27:K27"/>
    <mergeCell ref="I23:K23"/>
    <mergeCell ref="C3:E3"/>
  </mergeCells>
  <hyperlinks>
    <hyperlink ref="B28" r:id="rId1" xr:uid="{38F8E9EF-A4E2-42B4-9F74-49C77E5E92C6}"/>
    <hyperlink ref="B29" r:id="rId2" xr:uid="{9442707E-1C6F-4A5D-B54D-00447429396A}"/>
    <hyperlink ref="B30" r:id="rId3" xr:uid="{F42FA723-6FB3-4779-A1BD-056710E6CB09}"/>
    <hyperlink ref="B31" r:id="rId4" xr:uid="{2C966EC9-BEF9-4A5B-B5FD-FDEA8F44BA67}"/>
    <hyperlink ref="B32" r:id="rId5" xr:uid="{CEFEE1F2-A405-4C46-BB5E-8CAA927F3954}"/>
    <hyperlink ref="B33" r:id="rId6" xr:uid="{FE13B713-9512-40EC-B5D5-7447E577978D}"/>
    <hyperlink ref="B36" r:id="rId7" xr:uid="{364AC15F-CD13-4E95-A92E-2B8E505A385F}"/>
  </hyperlinks>
  <printOptions horizontalCentered="1" verticalCentered="1"/>
  <pageMargins left="0.1" right="0.1" top="0.75" bottom="0.25" header="0.3" footer="0.3"/>
  <pageSetup scale="54" orientation="landscape" r:id="rId8"/>
  <headerFooter>
    <oddHeader xml:space="preserve">&amp;C&amp;"-,Bold"&amp;14Meal Component Calculation Worksheet
Child and Adult Care Food Program
</oddHeader>
    <oddFooter>&amp;L&amp;9NC CACFP 03/2023</oddFooter>
  </headerFooter>
  <ignoredErrors>
    <ignoredError sqref="F26 J20 J25:K25 K18" formula="1"/>
  </ignoredErrors>
  <legacy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B2:CV512"/>
  <sheetViews>
    <sheetView showGridLines="0" showRowColHeaders="0" showZeros="0" zoomScaleNormal="100" workbookViewId="0">
      <pane xSplit="2" ySplit="7" topLeftCell="C8" activePane="bottomRight" state="frozen"/>
      <selection activeCell="C21" sqref="C21"/>
      <selection pane="topRight" activeCell="C21" sqref="C21"/>
      <selection pane="bottomLeft" activeCell="C21" sqref="C21"/>
      <selection pane="bottomRight" activeCell="E24" sqref="E24"/>
    </sheetView>
  </sheetViews>
  <sheetFormatPr defaultColWidth="8.85546875" defaultRowHeight="15" x14ac:dyDescent="0.25"/>
  <cols>
    <col min="1" max="1" width="5.7109375" customWidth="1"/>
    <col min="2" max="2" width="36.5703125" customWidth="1"/>
    <col min="3" max="7" width="15.140625" customWidth="1"/>
    <col min="8" max="8" width="18.28515625" bestFit="1" customWidth="1"/>
    <col min="9" max="9" width="20.7109375" customWidth="1"/>
    <col min="10" max="10" width="8.85546875" style="30"/>
    <col min="11" max="11" width="22.7109375" style="3" customWidth="1"/>
    <col min="12" max="12" width="24.5703125" style="3" customWidth="1"/>
    <col min="13" max="100" width="8.85546875" style="3"/>
  </cols>
  <sheetData>
    <row r="2" spans="2:100" ht="21" x14ac:dyDescent="0.35">
      <c r="B2" s="244" t="s">
        <v>17</v>
      </c>
      <c r="C2" s="245"/>
      <c r="D2" s="245"/>
      <c r="E2" s="245"/>
      <c r="F2" s="245"/>
      <c r="G2" s="245"/>
      <c r="H2" s="245"/>
      <c r="I2" s="245"/>
      <c r="J2" s="245"/>
      <c r="K2" s="246"/>
    </row>
    <row r="3" spans="2:100" ht="18.600000000000001" customHeight="1" x14ac:dyDescent="0.25">
      <c r="B3" s="15" t="s">
        <v>19</v>
      </c>
      <c r="C3" s="266">
        <f>Breakfast!C3</f>
        <v>0</v>
      </c>
      <c r="D3" s="266"/>
      <c r="E3" s="266"/>
      <c r="F3" s="15" t="s">
        <v>14</v>
      </c>
      <c r="G3" s="21">
        <f>Breakfast!G3</f>
        <v>0</v>
      </c>
      <c r="H3" s="16"/>
    </row>
    <row r="4" spans="2:100" ht="9.9499999999999993" customHeight="1" thickBot="1" x14ac:dyDescent="0.3"/>
    <row r="5" spans="2:100" ht="35.450000000000003" customHeight="1" thickBot="1" x14ac:dyDescent="0.3">
      <c r="B5" s="38" t="s">
        <v>0</v>
      </c>
      <c r="C5" s="39" t="s">
        <v>32</v>
      </c>
      <c r="D5" s="39">
        <v>2</v>
      </c>
      <c r="E5" s="40" t="s">
        <v>33</v>
      </c>
      <c r="F5" s="41" t="s">
        <v>51</v>
      </c>
      <c r="G5" s="39" t="s">
        <v>1</v>
      </c>
      <c r="H5" s="42" t="s">
        <v>49</v>
      </c>
      <c r="I5" s="256" t="s">
        <v>48</v>
      </c>
      <c r="J5" s="257"/>
      <c r="K5" s="258"/>
    </row>
    <row r="6" spans="2:100" ht="15.75" x14ac:dyDescent="0.25">
      <c r="B6" s="22" t="s">
        <v>22</v>
      </c>
      <c r="C6" s="13"/>
      <c r="D6" s="10"/>
      <c r="E6" s="10"/>
      <c r="F6" s="10"/>
      <c r="G6" s="10"/>
      <c r="H6" s="11"/>
      <c r="I6" s="75"/>
      <c r="J6" s="76"/>
      <c r="K6" s="77"/>
    </row>
    <row r="7" spans="2:100" s="24" customFormat="1" ht="30.75" customHeight="1" thickBot="1" x14ac:dyDescent="0.3">
      <c r="B7" s="35" t="s">
        <v>20</v>
      </c>
      <c r="C7" s="36"/>
      <c r="D7" s="37"/>
      <c r="E7" s="37"/>
      <c r="F7" s="37"/>
      <c r="G7" s="37"/>
      <c r="H7" s="37"/>
      <c r="I7" s="78"/>
      <c r="J7" s="79"/>
      <c r="K7" s="80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</row>
    <row r="8" spans="2:100" ht="16.5" thickBot="1" x14ac:dyDescent="0.3">
      <c r="B8" s="66" t="s">
        <v>2</v>
      </c>
      <c r="C8" s="84"/>
      <c r="D8" s="85"/>
      <c r="E8" s="86"/>
      <c r="F8" s="86"/>
      <c r="G8" s="85"/>
      <c r="H8" s="85"/>
      <c r="I8" s="81"/>
      <c r="J8" s="82"/>
      <c r="K8" s="83"/>
    </row>
    <row r="9" spans="2:100" x14ac:dyDescent="0.25">
      <c r="B9" s="56" t="s">
        <v>34</v>
      </c>
      <c r="C9" s="148" t="str">
        <f>IF((C6*4-C11)=0,"",(C6*4-C11))</f>
        <v/>
      </c>
      <c r="D9" s="172"/>
      <c r="E9" s="172"/>
      <c r="F9" s="172"/>
      <c r="G9" s="172"/>
      <c r="H9" s="172"/>
      <c r="I9" s="190" t="str">
        <f>C9</f>
        <v/>
      </c>
      <c r="J9" s="191" t="str">
        <f>IF(OR(I9&lt;8, I9=""), "", "or")</f>
        <v/>
      </c>
      <c r="K9" s="192" t="str">
        <f>IF(OR(I9&lt;8,I9=""),"",IF(I9&lt;32,TEXT(CONVERT(I9,"oz","cup"),"#### ?/? cup"),IF(I9&lt;128,INT(CONVERT(I9,"oz","qt"))&amp;" qt. "&amp;TEXT(CONVERT(MOD(I9,32),"oz","cup"),"##### ?/? cup"),INT(CONVERT(I9,"oz","gal"))&amp;" gal. "&amp;IF((MOD(I9,128))&gt;=32,INT(CONVERT(MOD(I9,128),"oz","qt"))&amp;" qt. "&amp;TEXT(CONVERT(MOD(MOD(I9,128),32),"oz","cup"),"##### ?/? cup"),TEXT(CONVERT(MOD(I9,128),"oz","cup"),"##### ?/? cup")))))</f>
        <v/>
      </c>
    </row>
    <row r="10" spans="2:100" ht="13.9" customHeight="1" x14ac:dyDescent="0.25">
      <c r="B10" s="57" t="s">
        <v>12</v>
      </c>
      <c r="C10" s="173"/>
      <c r="D10" s="147" t="str">
        <f>IF((D6*4-D11)=0,"",(D6*4-D11))</f>
        <v/>
      </c>
      <c r="E10" s="147" t="str">
        <f>IF((E6*6-E11)=0,"",(E6*6-E11))</f>
        <v/>
      </c>
      <c r="F10" s="147" t="str">
        <f t="shared" ref="F10:G10" si="0">IF((F6*8-F11)=0,"",(F6*8-F11))</f>
        <v/>
      </c>
      <c r="G10" s="147" t="str">
        <f t="shared" si="0"/>
        <v/>
      </c>
      <c r="H10" s="147" t="str">
        <f t="shared" ref="H10" si="1">IF((H6*8-H11)=0,"",(H6*8-H11))</f>
        <v/>
      </c>
      <c r="I10" s="193" t="str">
        <f>IF(SUM(D10:H10)=0,"",SUM(D10:H10))</f>
        <v/>
      </c>
      <c r="J10" s="182" t="str">
        <f t="shared" ref="J10:J12" si="2">IF(OR(I10&lt;8, I10=""), "", "or")</f>
        <v/>
      </c>
      <c r="K10" s="183" t="str">
        <f>IF(OR(I10&lt;8, I10=""),"",IF(I10&lt;32,TEXT(CONVERT(I10,"oz","cup"), "##### ?/? cup"),IF(I10&lt;128, INT(CONVERT(I10,"oz","qt")) &amp;" qt. "&amp;TEXT(CONVERT(MOD(I10,32),"oz","cup"), "##### ?/? cup"),INT(CONVERT(I10,"oz","gal"))&amp;" gal. "&amp; IF((MOD(I10,128))&gt;=32, INT(CONVERT(MOD(I10,128),"oz","qt")) &amp; " qt. " &amp; TEXT(CONVERT(MOD(MOD(I10,128),32),"oz","cup"),"##### ?/? cup"),TEXT(CONVERT(MOD(I10,128),"oz","cup"),"##### ?/? cup")))))</f>
        <v/>
      </c>
    </row>
    <row r="11" spans="2:100" ht="26.45" hidden="1" customHeight="1" x14ac:dyDescent="0.25">
      <c r="B11" s="57"/>
      <c r="C11" s="174">
        <f>C7*4</f>
        <v>0</v>
      </c>
      <c r="D11" s="175">
        <f t="shared" ref="D11" si="3">D7*4</f>
        <v>0</v>
      </c>
      <c r="E11" s="176">
        <f>E7*6</f>
        <v>0</v>
      </c>
      <c r="F11" s="176">
        <f t="shared" ref="F11:G11" si="4">F7*8</f>
        <v>0</v>
      </c>
      <c r="G11" s="176">
        <f t="shared" si="4"/>
        <v>0</v>
      </c>
      <c r="H11" s="176">
        <f t="shared" ref="H11" si="5">H7*8</f>
        <v>0</v>
      </c>
      <c r="I11" s="194" t="str">
        <f>IF(SUM(D11:G11)=0,"",SUM(D11:G11))</f>
        <v/>
      </c>
      <c r="J11" s="195" t="str">
        <f t="shared" si="2"/>
        <v/>
      </c>
      <c r="K11" s="196" t="str">
        <f t="shared" ref="K11" si="6">IF(OR(I11&lt;8, I11=""),"",IF(I11&lt;32,CONVERT(I11,"oz","cup")&amp;" cup",IF(I11&lt;128, INT(CONVERT(I11,"oz","qt")) &amp;" quart "&amp;CONVERT(MOD(I11,32),"oz","cup")&amp;" cup",INT(CONVERT(I11,"oz","gal"))&amp;" gallon "&amp; IF((MOD(I11,128))&gt;=32, INT(CONVERT(MOD(I11,128),"oz","qt")) &amp; " quart " &amp; CONVERT(MOD(MOD(I11,128),32),"oz","cup") &amp; " cup ",CONVERT(MOD(I11,128),"oz","cup") &amp; " cup"))))</f>
        <v/>
      </c>
    </row>
    <row r="12" spans="2:100" x14ac:dyDescent="0.25">
      <c r="B12" s="57" t="s">
        <v>21</v>
      </c>
      <c r="C12" s="177" t="str">
        <f>IF(C7*4=0,"",C7*4)</f>
        <v/>
      </c>
      <c r="D12" s="147" t="str">
        <f t="shared" ref="D12" si="7">IF(D7*4=0,"",D7*4)</f>
        <v/>
      </c>
      <c r="E12" s="147" t="str">
        <f>IF(E7*6=0,"",E7*6)</f>
        <v/>
      </c>
      <c r="F12" s="147" t="str">
        <f t="shared" ref="F12:G12" si="8">IF(F7*8=0,"",F7*8)</f>
        <v/>
      </c>
      <c r="G12" s="147" t="str">
        <f t="shared" si="8"/>
        <v/>
      </c>
      <c r="H12" s="147" t="str">
        <f t="shared" ref="H12" si="9">IF(H7*8=0,"",H7*8)</f>
        <v/>
      </c>
      <c r="I12" s="193" t="str">
        <f>IF(SUM(C12:H12)=0,"",SUM(C12:H12))</f>
        <v/>
      </c>
      <c r="J12" s="182" t="str">
        <f t="shared" si="2"/>
        <v/>
      </c>
      <c r="K12" s="183" t="str">
        <f>IF(OR(I12&lt;8, I12=""),"",IF(I12&lt;32,TEXT(CONVERT(I12,"oz","cup"), "##### ?/? cup"),IF(I12&lt;128, INT(CONVERT(I12,"oz","qt")) &amp;" qt. "&amp; TEXT(CONVERT(MOD(I12,32),"oz","cup"), "##### ?/? cup"),INT(CONVERT(I12,"oz","gal"))&amp;" gal. "&amp; IF((MOD(I12,128))&gt;=32, INT(CONVERT(MOD(I12,128),"oz","qt")) &amp; " qt. " &amp; TEXT(CONVERT(MOD(MOD(I12,128),32),"oz","cup"),"##### ?/? cup" ),TEXT(CONVERT(MOD(I12,128),"oz","cup"),"##### ?/? cup" )))))</f>
        <v/>
      </c>
    </row>
    <row r="13" spans="2:100" ht="30" x14ac:dyDescent="0.25">
      <c r="B13" s="58" t="s">
        <v>50</v>
      </c>
      <c r="C13" s="173"/>
      <c r="D13" s="189"/>
      <c r="E13" s="189"/>
      <c r="F13" s="189"/>
      <c r="G13" s="189"/>
      <c r="H13" s="189"/>
      <c r="I13" s="178"/>
      <c r="J13" s="197"/>
      <c r="K13" s="179"/>
    </row>
    <row r="14" spans="2:100" x14ac:dyDescent="0.25">
      <c r="B14" s="59" t="s">
        <v>11</v>
      </c>
      <c r="C14" s="173"/>
      <c r="D14" s="189"/>
      <c r="E14" s="189"/>
      <c r="F14" s="189"/>
      <c r="G14" s="180" t="str">
        <f>IF(G6*(3/4)=0,"",G6*(3/4))</f>
        <v/>
      </c>
      <c r="H14" s="180" t="str">
        <f>IF(H6*(3/4)=0,"",H6*(3/4))</f>
        <v/>
      </c>
      <c r="I14" s="181" t="str">
        <f>IF(SUM(G14:H14)=0,"", SUM(G14:H14))</f>
        <v/>
      </c>
      <c r="J14" s="182" t="str">
        <f>IF(OR(I14&lt;4, I14=""), "", "or")</f>
        <v/>
      </c>
      <c r="K14" s="183" t="str">
        <f>IF(OR(I14="", I14&lt;4),"", IF(I14&gt;=16, INT(CONVERT(I14, "cup","gal")) &amp; " gal. "&amp; IF((MOD(I14,16))&gt;=4, INT(CONVERT(MOD(I14,16),"cup","qt")) &amp; " qt. " &amp; TEXT(MOD(MOD(I14,16),4), "##### ?/? cup"), TEXT(MOD(MOD(I14,16),4), "##### ?/? cup")), INT(CONVERT(I14, "cup","qt"))  &amp; " qt. " &amp; TEXT(MOD(I14, 4), "##### ?/? cup")))</f>
        <v/>
      </c>
    </row>
    <row r="15" spans="2:100" ht="15.75" thickBot="1" x14ac:dyDescent="0.3">
      <c r="B15" s="60" t="s">
        <v>10</v>
      </c>
      <c r="C15" s="198"/>
      <c r="D15" s="199"/>
      <c r="E15" s="199"/>
      <c r="F15" s="199"/>
      <c r="G15" s="184" t="str">
        <f>IF(G6*6=0,"",G6*6)</f>
        <v/>
      </c>
      <c r="H15" s="184" t="str">
        <f>IF(H6*6=0,"",H6*6)</f>
        <v/>
      </c>
      <c r="I15" s="188" t="str">
        <f>IF(SUM(G15:H15)=0,"", SUM(G15:H15))</f>
        <v/>
      </c>
      <c r="J15" s="185" t="str">
        <f>IF(OR(I15="",I15&lt;16),"","or")</f>
        <v/>
      </c>
      <c r="K15" s="186" t="str">
        <f>IF(OR(I15="",I15&lt;16),"",INT(CONVERT(I15,"ozm","lbm"))&amp;" lb. "&amp;IF(MOD(I15,16)=0,"",TEXT(MOD(I15,16),"0.0 oz.")))</f>
        <v/>
      </c>
    </row>
    <row r="16" spans="2:100" x14ac:dyDescent="0.25">
      <c r="B16" s="44" t="s">
        <v>15</v>
      </c>
      <c r="C16" s="187"/>
      <c r="D16" s="172"/>
      <c r="E16" s="172"/>
      <c r="F16" s="172"/>
      <c r="G16" s="172"/>
      <c r="H16" s="172"/>
      <c r="I16" s="200"/>
      <c r="J16" s="201"/>
      <c r="K16" s="202"/>
    </row>
    <row r="17" spans="2:11" x14ac:dyDescent="0.25">
      <c r="B17" s="46" t="s">
        <v>3</v>
      </c>
      <c r="C17" s="203" t="str">
        <f>IF(C6*1=0,"",C6*1)</f>
        <v/>
      </c>
      <c r="D17" s="166" t="str">
        <f>IF(D6*1=0,"",D6*1)</f>
        <v/>
      </c>
      <c r="E17" s="165" t="str">
        <f>IF(E6*1.5=0,"",E6*1.5)</f>
        <v/>
      </c>
      <c r="F17" s="166" t="str">
        <f>IF(F6*2=0,"",F6*2)</f>
        <v/>
      </c>
      <c r="G17" s="166" t="str">
        <f>IF(G6*2=0,"",G6*2)</f>
        <v/>
      </c>
      <c r="H17" s="166" t="str">
        <f>IF(H6*2=0,"",H6*2)</f>
        <v/>
      </c>
      <c r="I17" s="102" t="str">
        <f t="shared" ref="I17:I22" si="10">IF(SUM(C17:H17)=0,"",SUM(C17:H17))</f>
        <v/>
      </c>
      <c r="J17" s="69" t="str">
        <f>IF(OR(I17="",I17&lt;16),"","or")</f>
        <v/>
      </c>
      <c r="K17" s="117" t="str">
        <f>IF(OR(I17="",I17&lt;16),"",INT(CONVERT(I17,"ozm","lbm")) &amp; " lb. " &amp; IF(MOD(I17,16)=0, "", TEXT((MOD(I17,16)), "0.0 oz.")))</f>
        <v/>
      </c>
    </row>
    <row r="18" spans="2:11" x14ac:dyDescent="0.25">
      <c r="B18" s="46" t="s">
        <v>56</v>
      </c>
      <c r="C18" s="164" t="str">
        <f>IF(C6*2.2=0,"",C6*2.2)</f>
        <v/>
      </c>
      <c r="D18" s="165" t="str">
        <f>IF(D6*2.2=0,"",D6*2.2)</f>
        <v/>
      </c>
      <c r="E18" s="204" t="str">
        <f>IF(E6*2.2*1.5=0,"",E6*2.2*1.5)</f>
        <v/>
      </c>
      <c r="F18" s="165" t="str">
        <f t="shared" ref="F18:G18" si="11">IF(F6*2.2*2=0,"",F6*2.2*2)</f>
        <v/>
      </c>
      <c r="G18" s="165" t="str">
        <f t="shared" si="11"/>
        <v/>
      </c>
      <c r="H18" s="165" t="str">
        <f t="shared" ref="H18" si="12">IF(H6*2.2*2=0,"",H6*2.2*2)</f>
        <v/>
      </c>
      <c r="I18" s="102" t="str">
        <f t="shared" si="10"/>
        <v/>
      </c>
      <c r="J18" s="69" t="str">
        <f>IF(OR(I18="",I18&lt;16),"","or")</f>
        <v/>
      </c>
      <c r="K18" s="117" t="str">
        <f>IF(OR(I18="",I18&lt;16),"",INT(CONVERT(I18,"ozm","lbm")) &amp; " lb. " &amp; IF(MOD(I18,16)=0, "", TEXT(MOD(I18,16), "0.0 oz.")))</f>
        <v/>
      </c>
    </row>
    <row r="19" spans="2:11" x14ac:dyDescent="0.25">
      <c r="B19" s="46" t="s">
        <v>57</v>
      </c>
      <c r="C19" s="203" t="str">
        <f>IF(C6*1=0,"",C6*1)</f>
        <v/>
      </c>
      <c r="D19" s="166" t="str">
        <f>IF(D6*1=0,"",D6*1)</f>
        <v/>
      </c>
      <c r="E19" s="165" t="str">
        <f>IF(E6*1.5=0,"",E6*1.5)</f>
        <v/>
      </c>
      <c r="F19" s="166" t="str">
        <f>IF(F6*2=0,"",F6*2)</f>
        <v/>
      </c>
      <c r="G19" s="166" t="str">
        <f>IF(G6*2=0,"",G6*2)</f>
        <v/>
      </c>
      <c r="H19" s="166" t="str">
        <f>IF(H6*2=0,"",H6*2)</f>
        <v/>
      </c>
      <c r="I19" s="102" t="str">
        <f t="shared" si="10"/>
        <v/>
      </c>
      <c r="J19" s="69" t="str">
        <f>IF(OR(I19="", I19&lt;16), "","or")</f>
        <v/>
      </c>
      <c r="K19" s="117" t="str">
        <f>IF(OR(I19="",I19&lt;16),"",INT(CONVERT(I19,"ozm","lbm")) &amp; " lb. " &amp; IF(MOD(I19,16)=0, "", TEXT((MOD(I19,16)), "0.0 oz.")))</f>
        <v/>
      </c>
    </row>
    <row r="20" spans="2:11" x14ac:dyDescent="0.25">
      <c r="B20" s="47" t="s">
        <v>4</v>
      </c>
      <c r="C20" s="167" t="str">
        <f>IF(C6*0.5=0,"",C6*0.5)</f>
        <v/>
      </c>
      <c r="D20" s="168" t="str">
        <f>IF(D6*0.5=0,"",D6*0.5)</f>
        <v/>
      </c>
      <c r="E20" s="168" t="str">
        <f>IF(E6*0.75=0,"",E6*0.75)</f>
        <v/>
      </c>
      <c r="F20" s="168" t="str">
        <f>IF(F6*1=0,"",F6*1)</f>
        <v/>
      </c>
      <c r="G20" s="168" t="str">
        <f>IF(G6*1=0,"",G6*1)</f>
        <v/>
      </c>
      <c r="H20" s="168" t="str">
        <f>IF(H6*1=0,"",H6*1)</f>
        <v/>
      </c>
      <c r="I20" s="104" t="str">
        <f t="shared" si="10"/>
        <v/>
      </c>
      <c r="J20" s="69" t="str">
        <f>IF(OR(I20="",I20&lt;12),"","or")</f>
        <v/>
      </c>
      <c r="K20" s="105" t="str">
        <f>IF(OR(I20="", I20=0),"",IF(12&lt;=I20, IF(MOD(I20,12)&lt;&gt;0, QUOTIENT(I20,12) &amp; " dozen " &amp; TEXT(MOD(I20,12),"## ?/?") &amp; " egg", QUOTIENT(I20,12) &amp; " dozen"), ""))</f>
        <v/>
      </c>
    </row>
    <row r="21" spans="2:11" x14ac:dyDescent="0.25">
      <c r="B21" s="47" t="s">
        <v>5</v>
      </c>
      <c r="C21" s="169" t="str">
        <f>IF(C6*0.25=0,"",C6*0.25)</f>
        <v/>
      </c>
      <c r="D21" s="159" t="str">
        <f>IF(D6*0.25=0,"",D6*0.25)</f>
        <v/>
      </c>
      <c r="E21" s="159" t="str">
        <f>IF(E6*(3/8)=0,"",E6*(3/8))</f>
        <v/>
      </c>
      <c r="F21" s="159" t="str">
        <f>IF(F6*0.5=0,"",F6*0.5)</f>
        <v/>
      </c>
      <c r="G21" s="159" t="str">
        <f>IF(G6*0.5=0,"",G6*0.5)</f>
        <v/>
      </c>
      <c r="H21" s="159" t="str">
        <f>IF(H6*0.5=0,"",H6*0.5)</f>
        <v/>
      </c>
      <c r="I21" s="98" t="str">
        <f t="shared" si="10"/>
        <v/>
      </c>
      <c r="J21" s="69" t="str">
        <f>IF(OR(I21="",I21&lt;4), "","or")</f>
        <v/>
      </c>
      <c r="K21" s="117" t="str">
        <f>IF(OR(I21="", I21&lt;4),"", IF(I21&gt;=16, INT(CONVERT(I21, "cup","gal")) &amp; " gal. "&amp; IF((MOD(I21,16))&gt;=4, INT(CONVERT(MOD(I21,16),"cup","qt")) &amp; " qt. " &amp; TEXT(MOD(MOD(I21,16),4), "##### ?/? cup"), TEXT(MOD(MOD(I21,16),4), "##### ?/? cup")), INT(CONVERT(I21, "cup","qt"))  &amp; " qt. " &amp; TEXT(MOD(I21, 4), "##### ?/? cup")))</f>
        <v/>
      </c>
    </row>
    <row r="22" spans="2:11" ht="30.75" customHeight="1" x14ac:dyDescent="0.25">
      <c r="B22" s="47" t="s">
        <v>6</v>
      </c>
      <c r="C22" s="170" t="str">
        <f>IF(C6*2=0,"",C6*2)</f>
        <v/>
      </c>
      <c r="D22" s="171" t="str">
        <f>IF(D6*2=0,"",D6*2)</f>
        <v/>
      </c>
      <c r="E22" s="171" t="str">
        <f>IF(E6*(3)=0,"",E6*3)</f>
        <v/>
      </c>
      <c r="F22" s="171" t="str">
        <f>IF(F6*(4)=0,"",F6*4)</f>
        <v/>
      </c>
      <c r="G22" s="171" t="str">
        <f>IF(G6*(4)=0,"",G6*4)</f>
        <v/>
      </c>
      <c r="H22" s="171" t="str">
        <f>IF(H6*(4)=0,"",H6*4)</f>
        <v/>
      </c>
      <c r="I22" s="106" t="str">
        <f t="shared" si="10"/>
        <v/>
      </c>
      <c r="J22" s="69" t="str">
        <f>IF(OR(I22&lt;16, I22=""), "", "or")</f>
        <v/>
      </c>
      <c r="K22" s="107" t="str">
        <f>IF(OR(I22="",I22&lt;4),"",IF(I22&lt;64,IF(MOD(I22,4)=0,TEXT(CONVERT(I22,"tbs","cup"),"#### ?/? cup"),TEXT(CONVERT(I22-MOD(I22,4),"tbs","cup"),"#### ?/? cup ")&amp;MOD(I22,4)&amp;" Tbsp."),
(INT(I22/64)&amp;" qt. " &amp; IF(MOD(I22,64)&lt;4, MOD(I22,64) &amp; " Tbsp.",TEXT(CONVERT((MOD(I22,64)-MOD(MOD(I22,64),4)),"tbs","cup"),"#### ?/? cup ")  &amp; MOD(MOD(I22,64),4) &amp; " Tbsp."))))</f>
        <v/>
      </c>
    </row>
    <row r="23" spans="2:11" x14ac:dyDescent="0.25">
      <c r="B23" s="47" t="s">
        <v>36</v>
      </c>
      <c r="C23" s="153"/>
      <c r="D23" s="205"/>
      <c r="E23" s="89"/>
      <c r="F23" s="89"/>
      <c r="G23" s="205"/>
      <c r="H23" s="205"/>
      <c r="I23" s="129"/>
      <c r="J23" s="87"/>
      <c r="K23" s="131"/>
    </row>
    <row r="24" spans="2:11" x14ac:dyDescent="0.25">
      <c r="B24" s="48" t="s">
        <v>11</v>
      </c>
      <c r="C24" s="169" t="str">
        <f>IF(C6*0.5=0,"",C6*0.5)</f>
        <v/>
      </c>
      <c r="D24" s="159" t="str">
        <f>IF(D6*0.5=0,"",D6*0.5)</f>
        <v/>
      </c>
      <c r="E24" s="159" t="str">
        <f>IF(E6*(6/8)=0,"",E6*(6/8))</f>
        <v/>
      </c>
      <c r="F24" s="159" t="str">
        <f>IF(F6*1=0,"",F6*1)</f>
        <v/>
      </c>
      <c r="G24" s="159" t="str">
        <f>IF(G6*1=0,"",G6*1)</f>
        <v/>
      </c>
      <c r="H24" s="159" t="str">
        <f>IF(H6*1=0,"",H6*1)</f>
        <v/>
      </c>
      <c r="I24" s="98" t="str">
        <f>IF(SUM(C24:H24)=0,"",SUM(C24:H24))</f>
        <v/>
      </c>
      <c r="J24" s="69" t="str">
        <f>IF(OR(I24&lt;4, I24=""), "", "or")</f>
        <v/>
      </c>
      <c r="K24" s="117" t="str">
        <f>IF(OR(I24="", I24&lt;4),"", IF(I24&gt;=16, INT(CONVERT(I24, "cup","gal")) &amp; " gal. "&amp; IF((MOD(I24,16))&gt;=4, INT(CONVERT(MOD(I24,16),"cup","qt")) &amp; " qt. " &amp; TEXT(MOD(MOD(I24,16),4), "##### ?/? cup"), TEXT(MOD(MOD(I24,16),4), "##### ?/? cup")), INT(CONVERT(I24, "cup","qt"))  &amp; " qt. " &amp; TEXT(MOD(I24, 4), "##### ?/? cup")))</f>
        <v/>
      </c>
    </row>
    <row r="25" spans="2:11" x14ac:dyDescent="0.25">
      <c r="B25" s="48" t="s">
        <v>10</v>
      </c>
      <c r="C25" s="203" t="str">
        <f>IF(C6*4=0,"",C6*4)</f>
        <v/>
      </c>
      <c r="D25" s="166" t="str">
        <f>IF(D6*4=0,"",D6*4)</f>
        <v/>
      </c>
      <c r="E25" s="166" t="str">
        <f>IF(E6*6=0,"",E6*6)</f>
        <v/>
      </c>
      <c r="F25" s="166" t="str">
        <f>IF(F6*8=0,"",F6*8)</f>
        <v/>
      </c>
      <c r="G25" s="166" t="str">
        <f>IF(G6*8=0,"",G6*8)</f>
        <v/>
      </c>
      <c r="H25" s="166" t="str">
        <f>IF(H6*8=0,"",H6*8)</f>
        <v/>
      </c>
      <c r="I25" s="102" t="str">
        <f t="shared" ref="I25:I28" si="13">IF(SUM(C25:H25)=0,"",SUM(C25:H25))</f>
        <v/>
      </c>
      <c r="J25" s="69" t="str">
        <f>IF(OR(I25&lt;16, I25=""), "", "or")</f>
        <v/>
      </c>
      <c r="K25" s="117" t="str">
        <f>IF(OR(I25="", I25&lt;16), "",INT(CONVERT(I25,"ozm","lbm")) &amp; " lb. " &amp; IF(MOD(I25,16)=0, "", TEXT(MOD(I25,16), "0 oz.")))</f>
        <v/>
      </c>
    </row>
    <row r="26" spans="2:11" ht="15" customHeight="1" thickBot="1" x14ac:dyDescent="0.3">
      <c r="B26" s="49" t="s">
        <v>13</v>
      </c>
      <c r="C26" s="206" t="str">
        <f>IF(C6*0.5=0,"",C6*0.5)</f>
        <v/>
      </c>
      <c r="D26" s="207" t="str">
        <f>IF(D6*0.5=0,"",D6*0.5)</f>
        <v/>
      </c>
      <c r="E26" s="208" t="str">
        <f>IF(E6*(3/4)=0,"",E6*(3/4))</f>
        <v/>
      </c>
      <c r="F26" s="162" t="str">
        <f>IF(F6*1=0,"",F6*1)</f>
        <v/>
      </c>
      <c r="G26" s="162" t="str">
        <f>IF(G6*1=0,"",G6*1)</f>
        <v/>
      </c>
      <c r="H26" s="162" t="str">
        <f>IF(H6*1=0,"",H6*1)</f>
        <v/>
      </c>
      <c r="I26" s="67" t="str">
        <f t="shared" si="13"/>
        <v/>
      </c>
      <c r="J26" s="70" t="str">
        <f>IF(OR(I26&lt;16, I26=""), "", "or")</f>
        <v/>
      </c>
      <c r="K26" s="118" t="str">
        <f>IF(OR(I26="", I26&lt;16),"",INT(CONVERT(I26,"ozm","lbm")) &amp; " lb. " &amp; IF(MOD(I26,16)=0, "", TEXT((MOD(I26,16)), "0.00 oz.")))</f>
        <v/>
      </c>
    </row>
    <row r="27" spans="2:11" ht="15.75" thickBot="1" x14ac:dyDescent="0.3">
      <c r="B27" s="61" t="s">
        <v>7</v>
      </c>
      <c r="C27" s="209" t="str">
        <f>IF(C6*(1/8)=0,"",C6*(1/8))</f>
        <v/>
      </c>
      <c r="D27" s="210" t="str">
        <f>IF(D6*(1/8)=0,"",D6*(1/8))</f>
        <v/>
      </c>
      <c r="E27" s="210" t="str">
        <f>IF(E6*(1/4)=0,"",E6*0.25)</f>
        <v/>
      </c>
      <c r="F27" s="210" t="str">
        <f>IF(F6*(1/2)=0,"",F6*0.5)</f>
        <v/>
      </c>
      <c r="G27" s="210" t="str">
        <f>IF(G6*(1/2)=0,"",G6*0.5)</f>
        <v/>
      </c>
      <c r="H27" s="210" t="str">
        <f>IF(H6*(1/2)=0,"",H6*0.5)</f>
        <v/>
      </c>
      <c r="I27" s="110" t="str">
        <f t="shared" si="13"/>
        <v/>
      </c>
      <c r="J27" s="71" t="str">
        <f>IF(OR(I27&lt;4, I27=""), "", "or")</f>
        <v/>
      </c>
      <c r="K27" s="72" t="str">
        <f>IF(OR(I27="", I27&lt;4),"", IF(I27&gt;=16, INT(CONVERT(I27, "cup","gal")) &amp; " gal. "&amp; IF((MOD(I27,16))&gt;=4, INT(CONVERT(MOD(I27,16),"cup","qt")) &amp; " qt. " &amp; TEXT(MOD(MOD(I27,16),4), "##### ?/? cup"), TEXT(MOD(MOD(I27,16),4), "##### ?/? cup")), INT(CONVERT(I27, "cup","qt"))  &amp; " qt. " &amp; TEXT(MOD(I27, 4), "##### ?/? cup")))</f>
        <v/>
      </c>
    </row>
    <row r="28" spans="2:11" ht="15.75" thickBot="1" x14ac:dyDescent="0.3">
      <c r="B28" s="50" t="s">
        <v>24</v>
      </c>
      <c r="C28" s="209" t="str">
        <f>IF(C6*(1/8)=0,"",C6*(1/8))</f>
        <v/>
      </c>
      <c r="D28" s="210" t="str">
        <f>IF(D6*(1/8)=0,"",D6*(1/8))</f>
        <v/>
      </c>
      <c r="E28" s="210" t="str">
        <f>IF(E6*(1/4)=0,"",E6*0.25)</f>
        <v/>
      </c>
      <c r="F28" s="210" t="str">
        <f>IF(F6*(1/4)=0,"",F6*0.25)</f>
        <v/>
      </c>
      <c r="G28" s="210" t="str">
        <f>IF(G6*(1/2)=0,"",G6*0.5)</f>
        <v/>
      </c>
      <c r="H28" s="210" t="str">
        <f>IF(H6*(1/2)=0,"",H6*0.5)</f>
        <v/>
      </c>
      <c r="I28" s="211" t="str">
        <f t="shared" si="13"/>
        <v/>
      </c>
      <c r="J28" s="71" t="str">
        <f>IF(OR(I28&lt;4, I28=""), "", "or")</f>
        <v/>
      </c>
      <c r="K28" s="72" t="str">
        <f>IF(OR(I28="", I28&lt;4),"", IF(I28&gt;=16, INT(CONVERT(I28, "cup","gal")) &amp; " gal. "&amp; IF((MOD(I28,16))&gt;=4, INT(CONVERT(MOD(I28,16),"cup","qt")) &amp; " qt. " &amp; TEXT(MOD(MOD(I28,16),4), "##### ?/? cup"), TEXT(MOD(MOD(I28,16),4), "##### ?/? cup")), INT(CONVERT(I28, "cup","qt"))  &amp; " qt. " &amp; TEXT(MOD(I28, 4), "##### ?/? cup")))</f>
        <v/>
      </c>
    </row>
    <row r="29" spans="2:11" x14ac:dyDescent="0.25">
      <c r="B29" s="62" t="s">
        <v>23</v>
      </c>
      <c r="C29" s="163"/>
      <c r="D29" s="152"/>
      <c r="E29" s="152"/>
      <c r="F29" s="152"/>
      <c r="G29" s="152"/>
      <c r="H29" s="152"/>
      <c r="I29" s="126"/>
      <c r="J29" s="88"/>
      <c r="K29" s="128"/>
    </row>
    <row r="30" spans="2:11" x14ac:dyDescent="0.25">
      <c r="B30" s="239" t="s">
        <v>38</v>
      </c>
      <c r="C30" s="164" t="str">
        <f>IF(0.4*C6=0,"",0.4*C6)</f>
        <v/>
      </c>
      <c r="D30" s="165" t="str">
        <f>IF(0.4*D6=0,"",0.4*D6)</f>
        <v/>
      </c>
      <c r="E30" s="165" t="str">
        <f>IF(0.4*E6=0,"",0.4*E6)</f>
        <v/>
      </c>
      <c r="F30" s="165" t="str">
        <f>IF(0.8*F6=0,"",0.8*F6)</f>
        <v/>
      </c>
      <c r="G30" s="165" t="str">
        <f>IF(0.8*2*G6=0,"",0.8*2*G6)</f>
        <v/>
      </c>
      <c r="H30" s="165" t="str">
        <f>IF(0.8*2*H6=0,"",0.8*2*H6)</f>
        <v/>
      </c>
      <c r="I30" s="102" t="str">
        <f>IF(SUM(C30:H30)=0,"",SUM(C30:H30))</f>
        <v/>
      </c>
      <c r="J30" s="69" t="str">
        <f>IF(OR(I30&lt;16, I30=""), "", "or")</f>
        <v/>
      </c>
      <c r="K30" s="117" t="str">
        <f>IF(OR(I30="",I30&lt;16),"",INT(CONVERT(I30,"ozm","lbm"))&amp;" lb. "&amp;IF(MOD(I30,16)=0,"",TEXT(MOD(I30,16), "0.0 oz.")))</f>
        <v/>
      </c>
    </row>
    <row r="31" spans="2:11" x14ac:dyDescent="0.25">
      <c r="B31" s="239" t="s">
        <v>39</v>
      </c>
      <c r="C31" s="164" t="str">
        <f>IF(C6*0.5=0,"",C6*0.5)</f>
        <v/>
      </c>
      <c r="D31" s="165" t="str">
        <f>IF(D6*0.5=0,"",D6*0.5)</f>
        <v/>
      </c>
      <c r="E31" s="165" t="str">
        <f>IF(E6*0.5=0,"",0.5*E6)</f>
        <v/>
      </c>
      <c r="F31" s="165" t="str">
        <f>IF(F6*1=0,"",1*F6)</f>
        <v/>
      </c>
      <c r="G31" s="165" t="str">
        <f>IF(G6*2=0,"",2*G6)</f>
        <v/>
      </c>
      <c r="H31" s="165" t="str">
        <f>IF(H6*2=0,"",2*H6)</f>
        <v/>
      </c>
      <c r="I31" s="102" t="str">
        <f t="shared" ref="I31:I34" si="14">IF(SUM(C31:H31)=0,"",SUM(C31:H31))</f>
        <v/>
      </c>
      <c r="J31" s="69" t="str">
        <f t="shared" ref="J31:J34" si="15">IF(OR(I31&lt;16, I31=""), "", "or")</f>
        <v/>
      </c>
      <c r="K31" s="117" t="str">
        <f>IF(OR(I31="",I31&lt;16),"",INT(CONVERT(I31,"ozm","lbm"))&amp;" lb. "&amp;IF(MOD(I31,16)=0,"",TEXT(MOD(I31,16), "0.0 oz.")))</f>
        <v/>
      </c>
    </row>
    <row r="32" spans="2:11" x14ac:dyDescent="0.25">
      <c r="B32" s="239" t="s">
        <v>40</v>
      </c>
      <c r="C32" s="164" t="str">
        <f>IF(C6*0.6=0,"",C6*0.6)</f>
        <v/>
      </c>
      <c r="D32" s="165" t="str">
        <f>IF(D6*0.6=0,"",D6*0.6)</f>
        <v/>
      </c>
      <c r="E32" s="165" t="str">
        <f>IF(E6*0.6=0,"",E6*0.6)</f>
        <v/>
      </c>
      <c r="F32" s="165" t="str">
        <f>IF(F6*1.2=0,"",F6*1.2)</f>
        <v/>
      </c>
      <c r="G32" s="165" t="str">
        <f>IF(G6*(1.2*2)=0,"",G6*(1.2*2))</f>
        <v/>
      </c>
      <c r="H32" s="165" t="str">
        <f>IF(H6*(1.2*2)=0,"",H6*(1.2*2))</f>
        <v/>
      </c>
      <c r="I32" s="102" t="str">
        <f t="shared" si="14"/>
        <v/>
      </c>
      <c r="J32" s="69" t="str">
        <f t="shared" si="15"/>
        <v/>
      </c>
      <c r="K32" s="117" t="str">
        <f>IF(OR(I32="",I32&lt;16),"",INT(CONVERT(I32,"ozm","lbm"))&amp;" lb. "&amp;IF(MOD(I32,16)=0,"",TEXT(MOD(I32,16), "0.0 oz.")))</f>
        <v/>
      </c>
    </row>
    <row r="33" spans="2:12" x14ac:dyDescent="0.25">
      <c r="B33" s="239" t="s">
        <v>43</v>
      </c>
      <c r="C33" s="164" t="str">
        <f>IF(C6*1=0,"",C6*1)</f>
        <v/>
      </c>
      <c r="D33" s="165" t="str">
        <f t="shared" ref="D33:E33" si="16">IF(D6*1=0,"",D6*1)</f>
        <v/>
      </c>
      <c r="E33" s="165" t="str">
        <f t="shared" si="16"/>
        <v/>
      </c>
      <c r="F33" s="165" t="str">
        <f>IF(F6*2=0,"",F6*2)</f>
        <v/>
      </c>
      <c r="G33" s="165" t="str">
        <f>IF(G6*(2*2)=0,"",G6*(2*2))</f>
        <v/>
      </c>
      <c r="H33" s="165" t="str">
        <f>IF(H6*(2*2)=0,"",H6*(2*2))</f>
        <v/>
      </c>
      <c r="I33" s="102" t="str">
        <f t="shared" si="14"/>
        <v/>
      </c>
      <c r="J33" s="69" t="str">
        <f t="shared" si="15"/>
        <v/>
      </c>
      <c r="K33" s="117" t="str">
        <f>IF(OR(I33="",I33&lt;16),"",INT(CONVERT(I33,"ozm","lbm"))&amp;" lb. "&amp;IF(MOD(I33,16)=0,"",TEXT(MOD(I33,16), "0.0 oz.")))</f>
        <v/>
      </c>
    </row>
    <row r="34" spans="2:12" x14ac:dyDescent="0.25">
      <c r="B34" s="239" t="s">
        <v>45</v>
      </c>
      <c r="C34" s="164" t="str">
        <f>IF(C6*1.2=0,"",C6*1.2)</f>
        <v/>
      </c>
      <c r="D34" s="165" t="str">
        <f t="shared" ref="D34:E34" si="17">IF(D6*1.2=0,"",D6*1.2)</f>
        <v/>
      </c>
      <c r="E34" s="165" t="str">
        <f t="shared" si="17"/>
        <v/>
      </c>
      <c r="F34" s="165" t="str">
        <f>IF(F6*2.4=0,"",F6*2.4)</f>
        <v/>
      </c>
      <c r="G34" s="165" t="str">
        <f>IF(G6*(2.4*2)=0,"",G6*(2.4*2))</f>
        <v/>
      </c>
      <c r="H34" s="165" t="str">
        <f>IF(H6*(2.4*2)=0,"",H6*(2.4*2))</f>
        <v/>
      </c>
      <c r="I34" s="102" t="str">
        <f t="shared" si="14"/>
        <v/>
      </c>
      <c r="J34" s="69" t="str">
        <f t="shared" si="15"/>
        <v/>
      </c>
      <c r="K34" s="117" t="str">
        <f>IF(OR(I34="",I34&lt;16),"",INT(CONVERT(I34,"ozm","lbm"))&amp;" lb. "&amp;IF(MOD(I34,16)=0,"",TEXT(MOD(I34,16), "0.0 oz.")))</f>
        <v/>
      </c>
      <c r="L34" s="73"/>
    </row>
    <row r="35" spans="2:12" x14ac:dyDescent="0.25">
      <c r="B35" s="239" t="s">
        <v>41</v>
      </c>
      <c r="C35" s="153"/>
      <c r="D35" s="205"/>
      <c r="E35" s="205"/>
      <c r="F35" s="205"/>
      <c r="G35" s="205"/>
      <c r="H35" s="205"/>
      <c r="I35" s="129"/>
      <c r="J35" s="87"/>
      <c r="K35" s="131"/>
    </row>
    <row r="36" spans="2:12" x14ac:dyDescent="0.25">
      <c r="B36" s="63" t="s">
        <v>8</v>
      </c>
      <c r="C36" s="169" t="str">
        <f>IF(C6*0.25=0,"",C6*0.25)</f>
        <v/>
      </c>
      <c r="D36" s="159" t="str">
        <f>IF(D6*0.25=0,"",D6*0.25)</f>
        <v/>
      </c>
      <c r="E36" s="159" t="str">
        <f>IF(E6*0.25=0,"",E6*0.25)</f>
        <v/>
      </c>
      <c r="F36" s="159" t="str">
        <f>IF(F6*0.5=0,"",F6*0.5)</f>
        <v/>
      </c>
      <c r="G36" s="159" t="str">
        <f>IF(G6*1=0,"",G6*1)</f>
        <v/>
      </c>
      <c r="H36" s="159" t="str">
        <f>IF(H6*1=0,"",H6*1)</f>
        <v/>
      </c>
      <c r="I36" s="98" t="str">
        <f>IF(SUM(C36:H36)=0,"",SUM(C36:H36))</f>
        <v/>
      </c>
      <c r="J36" s="69" t="str">
        <f>IF(OR(I36&lt;4, I36=""), "", "or")</f>
        <v/>
      </c>
      <c r="K36" s="121" t="str">
        <f>IF(OR(I36="", I36&lt;4),"", IF(I36&gt;=16, INT(CONVERT(I36, "cup","gal")) &amp; " gal. "&amp; IF((MOD(I36,16))&gt;=4, INT(CONVERT(MOD(I36,16),"cup","qt")) &amp; " qt. " &amp; TEXT(MOD(MOD(I36,16),4), "##### ?/? cup"), TEXT(MOD(MOD(I36,16),4), "##### ?/? cup")), INT(CONVERT(I36, "cup","qt"))  &amp; " qt. " &amp; TEXT(MOD(I36, 4), "##### ?/? cup")))</f>
        <v/>
      </c>
    </row>
    <row r="37" spans="2:12" x14ac:dyDescent="0.25">
      <c r="B37" s="63" t="s">
        <v>9</v>
      </c>
      <c r="C37" s="212" t="str">
        <f>IF(C6*28*(1/2)=0,"",C6*28*(1/2))</f>
        <v/>
      </c>
      <c r="D37" s="213" t="str">
        <f t="shared" ref="D37:E37" si="18">IF(D6*28*(1/2)=0,"",D6*28*(1/2))</f>
        <v/>
      </c>
      <c r="E37" s="213" t="str">
        <f t="shared" si="18"/>
        <v/>
      </c>
      <c r="F37" s="213" t="str">
        <f>IF(F6*28=0,"",F6*28)</f>
        <v/>
      </c>
      <c r="G37" s="213" t="str">
        <f>IF(G6*28*2=0,"",G6*28*2)</f>
        <v/>
      </c>
      <c r="H37" s="213" t="str">
        <f>IF(H6*28*2=0,"",H6*28*2)</f>
        <v/>
      </c>
      <c r="I37" s="112" t="str">
        <f>IF(SUM(C37:H37)=0,"",SUM(C37:H37))</f>
        <v/>
      </c>
      <c r="J37" s="69" t="str">
        <f>IF(I37="", "", "or")</f>
        <v/>
      </c>
      <c r="K37" s="117" t="str">
        <f>IF(I37="","",IF(I37&gt;=453.6, INT(ROUND(I37/28.34952,0)/16) &amp; " lb." &amp; TEXT(MOD(I37/28.34952,16), " 0.00 oz.") &amp; "***",TEXT((CONVERT(I37,"g","ozm"))," 0.00 oz.") &amp; "***"))</f>
        <v/>
      </c>
    </row>
    <row r="38" spans="2:12" x14ac:dyDescent="0.25">
      <c r="B38" s="240" t="s">
        <v>47</v>
      </c>
      <c r="C38" s="153"/>
      <c r="D38" s="205"/>
      <c r="E38" s="205"/>
      <c r="F38" s="205"/>
      <c r="G38" s="205"/>
      <c r="H38" s="205"/>
      <c r="I38" s="129"/>
      <c r="J38" s="87"/>
      <c r="K38" s="131"/>
    </row>
    <row r="39" spans="2:12" x14ac:dyDescent="0.25">
      <c r="B39" s="57" t="s">
        <v>27</v>
      </c>
      <c r="C39" s="153"/>
      <c r="D39" s="214"/>
      <c r="E39" s="205"/>
      <c r="F39" s="205"/>
      <c r="G39" s="205"/>
      <c r="H39" s="205"/>
      <c r="I39" s="129"/>
      <c r="J39" s="87"/>
      <c r="K39" s="131"/>
    </row>
    <row r="40" spans="2:12" x14ac:dyDescent="0.25">
      <c r="B40" s="64" t="s">
        <v>28</v>
      </c>
      <c r="C40" s="164" t="str">
        <f>IF(1*(1/2)*C6=0,"",1*(1/2)*C6)</f>
        <v/>
      </c>
      <c r="D40" s="165" t="str">
        <f t="shared" ref="D40:E40" si="19">IF(1*(1/2)*D6=0,"",1*(1/2)*D6)</f>
        <v/>
      </c>
      <c r="E40" s="165" t="str">
        <f t="shared" si="19"/>
        <v/>
      </c>
      <c r="F40" s="166" t="str">
        <f>IF(1*F6=0,"",1*F6)</f>
        <v/>
      </c>
      <c r="G40" s="166" t="str">
        <f>IF(2*G6=0,"",2*G6)</f>
        <v/>
      </c>
      <c r="H40" s="166" t="str">
        <f>IF(2*H6=0,"",2*H6)</f>
        <v/>
      </c>
      <c r="I40" s="135" t="str">
        <f>IF(SUM(C40:H40)=0,"",SUM(C40:H40))</f>
        <v/>
      </c>
      <c r="J40" s="69" t="str">
        <f>IF(OR(I40="", I40&lt;16),"", "or")</f>
        <v/>
      </c>
      <c r="K40" s="117" t="str">
        <f>IF(OR(I40="",I40&lt;16),"",INT(CONVERT(I40,"ozm","lbm"))&amp;" lb. "&amp;IF(MOD(I40,16)=0,"",TEXT((MOD(I40,16)),"0.0 oz.")))</f>
        <v/>
      </c>
    </row>
    <row r="41" spans="2:12" x14ac:dyDescent="0.25">
      <c r="B41" s="64" t="s">
        <v>29</v>
      </c>
      <c r="C41" s="169" t="str">
        <f>IF(1*(1/2)*C6=0,"",1*(1/2)*C6)</f>
        <v/>
      </c>
      <c r="D41" s="159" t="str">
        <f t="shared" ref="D41:E41" si="20">IF(1*(1/2)*D6=0,"",1*(1/2)*D6)</f>
        <v/>
      </c>
      <c r="E41" s="159" t="str">
        <f t="shared" si="20"/>
        <v/>
      </c>
      <c r="F41" s="159" t="str">
        <f>IF(1*F6=0,"",1*F6)</f>
        <v/>
      </c>
      <c r="G41" s="159" t="str">
        <f>IF(2*G6=0,"",2*G6)</f>
        <v/>
      </c>
      <c r="H41" s="159" t="str">
        <f>IF(2*H6=0,"",2*H6)</f>
        <v/>
      </c>
      <c r="I41" s="136" t="str">
        <f>IF(SUM(C41:H41)=0,"",SUM(C41:H41))</f>
        <v/>
      </c>
      <c r="J41" s="69" t="str">
        <f>IF(OR(I41&lt;4, I41=""), "", "or")</f>
        <v/>
      </c>
      <c r="K41" s="121" t="str">
        <f>IF(OR(I41="", I41&lt;4),"", IF(I41&gt;=16, INT(CONVERT(I41, "cup","gal")) &amp; " gal. "&amp; IF((MOD(I41,16))&gt;=4, INT(CONVERT(MOD(I41,16),"cup","qt")) &amp; " qt. " &amp; TEXT(MOD(MOD(I41,16),4), "##### ?/? cup"), TEXT(MOD(MOD(I41,16),4), "##### ?/? cup")), INT(CONVERT(I41, "cup","qt"))  &amp; " qt. " &amp; TEXT(MOD(I41, 4), "##### ?/? cup")))</f>
        <v/>
      </c>
    </row>
    <row r="42" spans="2:12" x14ac:dyDescent="0.25">
      <c r="B42" s="57" t="s">
        <v>30</v>
      </c>
      <c r="C42" s="153"/>
      <c r="D42" s="205"/>
      <c r="E42" s="205"/>
      <c r="F42" s="205"/>
      <c r="G42" s="205"/>
      <c r="H42" s="205"/>
      <c r="I42" s="129"/>
      <c r="J42" s="87"/>
      <c r="K42" s="131"/>
    </row>
    <row r="43" spans="2:12" x14ac:dyDescent="0.25">
      <c r="B43" s="64" t="s">
        <v>28</v>
      </c>
      <c r="C43" s="164" t="str">
        <f>IF(1*(1/2)*C6=0,"",1*(1/2)*C6)</f>
        <v/>
      </c>
      <c r="D43" s="165" t="str">
        <f t="shared" ref="D43:E43" si="21">IF(1*(1/2)*D6=0,"",1*(1/2)*D6)</f>
        <v/>
      </c>
      <c r="E43" s="165" t="str">
        <f t="shared" si="21"/>
        <v/>
      </c>
      <c r="F43" s="166" t="str">
        <f>IF(1*F6=0,"",1*F6)</f>
        <v/>
      </c>
      <c r="G43" s="166" t="str">
        <f>IF(2*G6=0,"",2*G6)</f>
        <v/>
      </c>
      <c r="H43" s="166" t="str">
        <f>IF(2*H6=0,"",2*H6)</f>
        <v/>
      </c>
      <c r="I43" s="135" t="str">
        <f>IF(SUM(C43:H43)=0,"",SUM(C43:H43))</f>
        <v/>
      </c>
      <c r="J43" s="69" t="str">
        <f>IF(OR(I43="",I43&lt;16), "", "or")</f>
        <v/>
      </c>
      <c r="K43" s="117" t="str">
        <f>IF(OR(I43="",I43&lt;16),"",INT(CONVERT(I43,"ozm","lbm"))&amp;" lb. "&amp; IF(MOD(I43,16)=0,"",TEXT((MOD(I43,16)), "0.0 oz.")))</f>
        <v/>
      </c>
    </row>
    <row r="44" spans="2:12" x14ac:dyDescent="0.25">
      <c r="B44" s="64" t="s">
        <v>29</v>
      </c>
      <c r="C44" s="169" t="str">
        <f>IF(1.25*(1/2)*C6=0,"",1.25*(1/2)*C6)</f>
        <v/>
      </c>
      <c r="D44" s="159" t="str">
        <f t="shared" ref="D44:E44" si="22">IF(1.25*(1/2)*D6=0,"",1.25*(1/2)*D6)</f>
        <v/>
      </c>
      <c r="E44" s="159" t="str">
        <f t="shared" si="22"/>
        <v/>
      </c>
      <c r="F44" s="159" t="str">
        <f>IF(1.25*F6=0,"",1.25*F6)</f>
        <v/>
      </c>
      <c r="G44" s="159" t="str">
        <f>IF(1.25*2*G6=0,"",1.25*2*G6)</f>
        <v/>
      </c>
      <c r="H44" s="159" t="str">
        <f>IF(1.25*2*H6=0,"",1.25*2*H6)</f>
        <v/>
      </c>
      <c r="I44" s="136" t="str">
        <f>IF(SUM(C44:H44)=0,"",SUM(C44:H44))</f>
        <v/>
      </c>
      <c r="J44" s="69" t="str">
        <f>IF(OR(I44&lt;4, I44=""), "", "or")</f>
        <v/>
      </c>
      <c r="K44" s="121" t="str">
        <f>IF(OR(I44="", I44&lt;4),"", IF(I44&gt;=16, INT(CONVERT(I44, "cup","gal")) &amp; " gal. "&amp; IF((MOD(I44,16))&gt;=4, INT(CONVERT(MOD(I44,16),"cup","qt")) &amp; " qt. " &amp; TEXT(MOD(MOD(I44,16),4), "##### ?/? cup"), TEXT(MOD(MOD(I44,16),4), "##### ?/? cup")), INT(CONVERT(I44, "cup","qt"))  &amp; " qt. " &amp; TEXT(MOD(I44, 4), "##### ?/? cup")))</f>
        <v/>
      </c>
    </row>
    <row r="45" spans="2:12" x14ac:dyDescent="0.25">
      <c r="B45" s="57" t="s">
        <v>31</v>
      </c>
      <c r="C45" s="153"/>
      <c r="D45" s="205"/>
      <c r="E45" s="205"/>
      <c r="F45" s="205"/>
      <c r="G45" s="205"/>
      <c r="H45" s="205"/>
      <c r="I45" s="129"/>
      <c r="J45" s="87"/>
      <c r="K45" s="131"/>
    </row>
    <row r="46" spans="2:12" x14ac:dyDescent="0.25">
      <c r="B46" s="64" t="s">
        <v>28</v>
      </c>
      <c r="C46" s="164" t="str">
        <f>IF(1*(1/2)*C6=0,"",1*(1/2)*C6)</f>
        <v/>
      </c>
      <c r="D46" s="165" t="str">
        <f t="shared" ref="D46:E46" si="23">IF(1*(1/2)*D6=0,"",1*(1/2)*D6)</f>
        <v/>
      </c>
      <c r="E46" s="165" t="str">
        <f t="shared" si="23"/>
        <v/>
      </c>
      <c r="F46" s="166" t="str">
        <f>IF(1*F6=0,"",1*F6)</f>
        <v/>
      </c>
      <c r="G46" s="166" t="str">
        <f>IF(1*2*G6=0,"",1*2*G6)</f>
        <v/>
      </c>
      <c r="H46" s="166" t="str">
        <f>IF(1*2*H6=0,"",1*2*H6)</f>
        <v/>
      </c>
      <c r="I46" s="135" t="str">
        <f>IF(SUM(C46:H46)=0,"",SUM(C46:H46))</f>
        <v/>
      </c>
      <c r="J46" s="69" t="str">
        <f>IF(OR(I46="", I46&lt;16),"", "or")</f>
        <v/>
      </c>
      <c r="K46" s="117" t="str">
        <f>IF(OR(I46="",I46&lt;16),"",INT(CONVERT(I46,"ozm","lbm"))&amp;" lb. "&amp; IF(MOD(I46,16)=0,"",TEXT((MOD(I46,16)),"0.0 oz.")))</f>
        <v/>
      </c>
    </row>
    <row r="47" spans="2:12" ht="15.75" thickBot="1" x14ac:dyDescent="0.3">
      <c r="B47" s="65" t="s">
        <v>29</v>
      </c>
      <c r="C47" s="215" t="str">
        <f>IF(0.25*(1/2)*C6=0,"",0.25*(1/2)*C6)</f>
        <v/>
      </c>
      <c r="D47" s="216" t="str">
        <f t="shared" ref="D47:E47" si="24">IF(0.25*(1/2)*D6=0,"",0.25*(1/2)*D6)</f>
        <v/>
      </c>
      <c r="E47" s="216" t="str">
        <f t="shared" si="24"/>
        <v/>
      </c>
      <c r="F47" s="216" t="str">
        <f>IF(0.25*F6=0,"",0.25*F6)</f>
        <v/>
      </c>
      <c r="G47" s="216" t="str">
        <f>IF(0.25*2*G6=0,"",0.25*2*G6)</f>
        <v/>
      </c>
      <c r="H47" s="216" t="str">
        <f>IF(0.25*2*H6=0,"",0.25*2*H6)</f>
        <v/>
      </c>
      <c r="I47" s="137" t="str">
        <f>IF(SUM(C47:H47)=0,"",SUM(C47:H47))</f>
        <v/>
      </c>
      <c r="J47" s="70" t="str">
        <f>IF(OR(I47&lt;4, I47=""), "", "or")</f>
        <v/>
      </c>
      <c r="K47" s="122" t="str">
        <f>IF(OR(I47="", I47&lt;4),"", IF(I47&gt;=16, INT(CONVERT(I47, "cup","gal")) &amp; " gal. "&amp; IF((MOD(I47,16))&gt;=4, INT(CONVERT(MOD(I47,16),"cup","qt")) &amp; " qt. " &amp; TEXT(MOD(MOD(I47,16),4), "##### ?/? cup"), TEXT(MOD(MOD(I47,16),4), "##### ?/? cup")), INT(CONVERT(I47, "cup","qt"))  &amp; " qt. " &amp; TEXT(MOD(I47, 4), "##### ?/? cup")))</f>
        <v/>
      </c>
    </row>
    <row r="48" spans="2:12" s="3" customFormat="1" x14ac:dyDescent="0.25">
      <c r="B48" s="28"/>
      <c r="C48" s="20"/>
      <c r="D48" s="20"/>
      <c r="E48" s="20"/>
      <c r="F48" s="20"/>
      <c r="G48" s="20"/>
      <c r="H48" s="20"/>
      <c r="I48" s="20"/>
      <c r="J48" s="30"/>
    </row>
    <row r="49" spans="2:11" s="3" customFormat="1" x14ac:dyDescent="0.25">
      <c r="B49" s="29"/>
      <c r="C49" s="3" t="s">
        <v>68</v>
      </c>
      <c r="J49" s="30"/>
    </row>
    <row r="50" spans="2:11" s="3" customFormat="1" x14ac:dyDescent="0.25">
      <c r="C50" s="255" t="s">
        <v>53</v>
      </c>
      <c r="D50" s="255"/>
      <c r="E50" s="255"/>
      <c r="F50" s="255"/>
      <c r="G50" s="255"/>
      <c r="H50" s="255"/>
      <c r="I50" s="255"/>
      <c r="J50" s="30"/>
    </row>
    <row r="51" spans="2:11" s="3" customFormat="1" x14ac:dyDescent="0.25">
      <c r="C51" s="255" t="s">
        <v>54</v>
      </c>
      <c r="D51" s="255"/>
      <c r="E51" s="255"/>
      <c r="F51" s="255"/>
      <c r="G51" s="255"/>
      <c r="H51" s="255"/>
      <c r="I51" s="255"/>
      <c r="J51" s="255"/>
      <c r="K51" s="255"/>
    </row>
    <row r="52" spans="2:11" s="3" customFormat="1" x14ac:dyDescent="0.25">
      <c r="J52" s="30"/>
    </row>
    <row r="53" spans="2:11" s="3" customFormat="1" x14ac:dyDescent="0.25">
      <c r="C53" s="254" t="s">
        <v>52</v>
      </c>
      <c r="D53" s="254"/>
      <c r="E53" s="254"/>
      <c r="F53" s="254"/>
      <c r="G53" s="254"/>
      <c r="H53" s="254"/>
      <c r="I53" s="254"/>
      <c r="J53" s="254"/>
      <c r="K53" s="254"/>
    </row>
    <row r="54" spans="2:11" s="3" customFormat="1" x14ac:dyDescent="0.25">
      <c r="J54" s="30"/>
    </row>
    <row r="55" spans="2:11" s="3" customFormat="1" x14ac:dyDescent="0.25">
      <c r="J55" s="30"/>
    </row>
    <row r="56" spans="2:11" s="3" customFormat="1" x14ac:dyDescent="0.25">
      <c r="J56" s="30"/>
    </row>
    <row r="57" spans="2:11" s="3" customFormat="1" x14ac:dyDescent="0.25">
      <c r="J57" s="30"/>
    </row>
    <row r="58" spans="2:11" s="3" customFormat="1" x14ac:dyDescent="0.25">
      <c r="J58" s="30"/>
    </row>
    <row r="59" spans="2:11" s="3" customFormat="1" x14ac:dyDescent="0.25">
      <c r="J59" s="30"/>
    </row>
    <row r="60" spans="2:11" s="3" customFormat="1" x14ac:dyDescent="0.25">
      <c r="J60" s="30"/>
    </row>
    <row r="61" spans="2:11" s="3" customFormat="1" x14ac:dyDescent="0.25">
      <c r="J61" s="30"/>
    </row>
    <row r="62" spans="2:11" s="3" customFormat="1" x14ac:dyDescent="0.25">
      <c r="J62" s="30"/>
    </row>
    <row r="63" spans="2:11" s="3" customFormat="1" x14ac:dyDescent="0.25">
      <c r="J63" s="30"/>
    </row>
    <row r="64" spans="2:11" s="3" customFormat="1" x14ac:dyDescent="0.25">
      <c r="J64" s="30"/>
    </row>
    <row r="65" spans="10:10" s="3" customFormat="1" x14ac:dyDescent="0.25">
      <c r="J65" s="30"/>
    </row>
    <row r="66" spans="10:10" s="3" customFormat="1" x14ac:dyDescent="0.25">
      <c r="J66" s="30"/>
    </row>
    <row r="67" spans="10:10" s="3" customFormat="1" x14ac:dyDescent="0.25">
      <c r="J67" s="30"/>
    </row>
    <row r="68" spans="10:10" s="3" customFormat="1" x14ac:dyDescent="0.25">
      <c r="J68" s="30"/>
    </row>
    <row r="69" spans="10:10" s="3" customFormat="1" x14ac:dyDescent="0.25">
      <c r="J69" s="30"/>
    </row>
    <row r="70" spans="10:10" s="3" customFormat="1" x14ac:dyDescent="0.25">
      <c r="J70" s="30"/>
    </row>
    <row r="71" spans="10:10" s="3" customFormat="1" x14ac:dyDescent="0.25">
      <c r="J71" s="30"/>
    </row>
    <row r="72" spans="10:10" s="3" customFormat="1" x14ac:dyDescent="0.25">
      <c r="J72" s="30"/>
    </row>
    <row r="73" spans="10:10" s="3" customFormat="1" x14ac:dyDescent="0.25">
      <c r="J73" s="30"/>
    </row>
    <row r="74" spans="10:10" s="3" customFormat="1" x14ac:dyDescent="0.25">
      <c r="J74" s="30"/>
    </row>
    <row r="75" spans="10:10" s="3" customFormat="1" x14ac:dyDescent="0.25">
      <c r="J75" s="30"/>
    </row>
    <row r="76" spans="10:10" s="3" customFormat="1" x14ac:dyDescent="0.25">
      <c r="J76" s="30"/>
    </row>
    <row r="77" spans="10:10" s="3" customFormat="1" x14ac:dyDescent="0.25">
      <c r="J77" s="30"/>
    </row>
    <row r="78" spans="10:10" s="3" customFormat="1" x14ac:dyDescent="0.25">
      <c r="J78" s="30"/>
    </row>
    <row r="79" spans="10:10" s="3" customFormat="1" x14ac:dyDescent="0.25">
      <c r="J79" s="30"/>
    </row>
    <row r="80" spans="10:10" s="3" customFormat="1" x14ac:dyDescent="0.25">
      <c r="J80" s="30"/>
    </row>
    <row r="81" spans="10:10" s="3" customFormat="1" x14ac:dyDescent="0.25">
      <c r="J81" s="30"/>
    </row>
    <row r="82" spans="10:10" s="3" customFormat="1" x14ac:dyDescent="0.25">
      <c r="J82" s="30"/>
    </row>
    <row r="83" spans="10:10" s="3" customFormat="1" x14ac:dyDescent="0.25">
      <c r="J83" s="30"/>
    </row>
    <row r="84" spans="10:10" s="3" customFormat="1" x14ac:dyDescent="0.25">
      <c r="J84" s="30"/>
    </row>
    <row r="85" spans="10:10" s="3" customFormat="1" x14ac:dyDescent="0.25">
      <c r="J85" s="30"/>
    </row>
    <row r="86" spans="10:10" s="3" customFormat="1" x14ac:dyDescent="0.25">
      <c r="J86" s="30"/>
    </row>
    <row r="87" spans="10:10" s="3" customFormat="1" x14ac:dyDescent="0.25">
      <c r="J87" s="30"/>
    </row>
    <row r="88" spans="10:10" s="3" customFormat="1" x14ac:dyDescent="0.25">
      <c r="J88" s="30"/>
    </row>
    <row r="89" spans="10:10" s="3" customFormat="1" x14ac:dyDescent="0.25">
      <c r="J89" s="30"/>
    </row>
    <row r="90" spans="10:10" s="3" customFormat="1" x14ac:dyDescent="0.25">
      <c r="J90" s="30"/>
    </row>
    <row r="91" spans="10:10" s="3" customFormat="1" x14ac:dyDescent="0.25">
      <c r="J91" s="30"/>
    </row>
    <row r="92" spans="10:10" s="3" customFormat="1" x14ac:dyDescent="0.25">
      <c r="J92" s="30"/>
    </row>
    <row r="93" spans="10:10" s="3" customFormat="1" x14ac:dyDescent="0.25">
      <c r="J93" s="30"/>
    </row>
    <row r="94" spans="10:10" s="3" customFormat="1" x14ac:dyDescent="0.25">
      <c r="J94" s="30"/>
    </row>
    <row r="95" spans="10:10" s="3" customFormat="1" x14ac:dyDescent="0.25">
      <c r="J95" s="30"/>
    </row>
    <row r="96" spans="10:10" s="3" customFormat="1" x14ac:dyDescent="0.25">
      <c r="J96" s="30"/>
    </row>
    <row r="97" spans="10:10" s="3" customFormat="1" x14ac:dyDescent="0.25">
      <c r="J97" s="30"/>
    </row>
    <row r="98" spans="10:10" s="3" customFormat="1" x14ac:dyDescent="0.25">
      <c r="J98" s="30"/>
    </row>
    <row r="99" spans="10:10" s="3" customFormat="1" x14ac:dyDescent="0.25">
      <c r="J99" s="30"/>
    </row>
    <row r="100" spans="10:10" s="3" customFormat="1" x14ac:dyDescent="0.25">
      <c r="J100" s="30"/>
    </row>
    <row r="101" spans="10:10" s="3" customFormat="1" x14ac:dyDescent="0.25">
      <c r="J101" s="30"/>
    </row>
    <row r="102" spans="10:10" s="3" customFormat="1" x14ac:dyDescent="0.25">
      <c r="J102" s="30"/>
    </row>
    <row r="103" spans="10:10" s="3" customFormat="1" x14ac:dyDescent="0.25">
      <c r="J103" s="30"/>
    </row>
    <row r="104" spans="10:10" s="3" customFormat="1" x14ac:dyDescent="0.25">
      <c r="J104" s="30"/>
    </row>
    <row r="105" spans="10:10" s="3" customFormat="1" x14ac:dyDescent="0.25">
      <c r="J105" s="30"/>
    </row>
    <row r="106" spans="10:10" s="3" customFormat="1" x14ac:dyDescent="0.25">
      <c r="J106" s="30"/>
    </row>
    <row r="107" spans="10:10" s="3" customFormat="1" x14ac:dyDescent="0.25">
      <c r="J107" s="30"/>
    </row>
    <row r="108" spans="10:10" s="3" customFormat="1" x14ac:dyDescent="0.25">
      <c r="J108" s="30"/>
    </row>
    <row r="109" spans="10:10" s="3" customFormat="1" x14ac:dyDescent="0.25">
      <c r="J109" s="30"/>
    </row>
    <row r="110" spans="10:10" s="3" customFormat="1" x14ac:dyDescent="0.25">
      <c r="J110" s="30"/>
    </row>
    <row r="111" spans="10:10" s="3" customFormat="1" x14ac:dyDescent="0.25">
      <c r="J111" s="30"/>
    </row>
    <row r="112" spans="10:10" s="3" customFormat="1" x14ac:dyDescent="0.25">
      <c r="J112" s="30"/>
    </row>
    <row r="113" spans="10:10" s="3" customFormat="1" x14ac:dyDescent="0.25">
      <c r="J113" s="30"/>
    </row>
    <row r="114" spans="10:10" s="3" customFormat="1" x14ac:dyDescent="0.25">
      <c r="J114" s="30"/>
    </row>
    <row r="115" spans="10:10" s="3" customFormat="1" x14ac:dyDescent="0.25">
      <c r="J115" s="30"/>
    </row>
    <row r="116" spans="10:10" s="3" customFormat="1" x14ac:dyDescent="0.25">
      <c r="J116" s="30"/>
    </row>
    <row r="117" spans="10:10" s="3" customFormat="1" x14ac:dyDescent="0.25">
      <c r="J117" s="30"/>
    </row>
    <row r="118" spans="10:10" s="3" customFormat="1" x14ac:dyDescent="0.25">
      <c r="J118" s="30"/>
    </row>
    <row r="119" spans="10:10" s="3" customFormat="1" x14ac:dyDescent="0.25">
      <c r="J119" s="30"/>
    </row>
    <row r="120" spans="10:10" s="3" customFormat="1" x14ac:dyDescent="0.25">
      <c r="J120" s="30"/>
    </row>
    <row r="121" spans="10:10" s="3" customFormat="1" x14ac:dyDescent="0.25">
      <c r="J121" s="30"/>
    </row>
    <row r="122" spans="10:10" s="3" customFormat="1" x14ac:dyDescent="0.25">
      <c r="J122" s="30"/>
    </row>
    <row r="123" spans="10:10" s="3" customFormat="1" x14ac:dyDescent="0.25">
      <c r="J123" s="30"/>
    </row>
    <row r="124" spans="10:10" s="3" customFormat="1" x14ac:dyDescent="0.25">
      <c r="J124" s="30"/>
    </row>
    <row r="125" spans="10:10" s="3" customFormat="1" x14ac:dyDescent="0.25">
      <c r="J125" s="30"/>
    </row>
    <row r="126" spans="10:10" s="3" customFormat="1" x14ac:dyDescent="0.25">
      <c r="J126" s="30"/>
    </row>
    <row r="127" spans="10:10" s="3" customFormat="1" x14ac:dyDescent="0.25">
      <c r="J127" s="30"/>
    </row>
    <row r="128" spans="10:10" s="3" customFormat="1" x14ac:dyDescent="0.25">
      <c r="J128" s="30"/>
    </row>
    <row r="129" spans="10:10" s="3" customFormat="1" x14ac:dyDescent="0.25">
      <c r="J129" s="30"/>
    </row>
    <row r="130" spans="10:10" s="3" customFormat="1" x14ac:dyDescent="0.25">
      <c r="J130" s="30"/>
    </row>
    <row r="131" spans="10:10" s="3" customFormat="1" x14ac:dyDescent="0.25">
      <c r="J131" s="30"/>
    </row>
    <row r="132" spans="10:10" s="3" customFormat="1" x14ac:dyDescent="0.25">
      <c r="J132" s="30"/>
    </row>
    <row r="133" spans="10:10" s="3" customFormat="1" x14ac:dyDescent="0.25">
      <c r="J133" s="30"/>
    </row>
    <row r="134" spans="10:10" s="3" customFormat="1" x14ac:dyDescent="0.25">
      <c r="J134" s="30"/>
    </row>
    <row r="135" spans="10:10" s="3" customFormat="1" x14ac:dyDescent="0.25">
      <c r="J135" s="30"/>
    </row>
    <row r="136" spans="10:10" s="3" customFormat="1" x14ac:dyDescent="0.25">
      <c r="J136" s="30"/>
    </row>
    <row r="137" spans="10:10" s="3" customFormat="1" x14ac:dyDescent="0.25">
      <c r="J137" s="30"/>
    </row>
    <row r="138" spans="10:10" s="3" customFormat="1" x14ac:dyDescent="0.25">
      <c r="J138" s="30"/>
    </row>
    <row r="139" spans="10:10" s="3" customFormat="1" x14ac:dyDescent="0.25">
      <c r="J139" s="30"/>
    </row>
    <row r="140" spans="10:10" s="3" customFormat="1" x14ac:dyDescent="0.25">
      <c r="J140" s="30"/>
    </row>
    <row r="141" spans="10:10" s="3" customFormat="1" x14ac:dyDescent="0.25">
      <c r="J141" s="30"/>
    </row>
    <row r="142" spans="10:10" s="3" customFormat="1" x14ac:dyDescent="0.25">
      <c r="J142" s="30"/>
    </row>
    <row r="143" spans="10:10" s="3" customFormat="1" x14ac:dyDescent="0.25">
      <c r="J143" s="30"/>
    </row>
    <row r="144" spans="10:10" s="3" customFormat="1" x14ac:dyDescent="0.25">
      <c r="J144" s="30"/>
    </row>
    <row r="145" spans="10:10" s="3" customFormat="1" x14ac:dyDescent="0.25">
      <c r="J145" s="30"/>
    </row>
    <row r="146" spans="10:10" s="3" customFormat="1" x14ac:dyDescent="0.25">
      <c r="J146" s="30"/>
    </row>
    <row r="147" spans="10:10" s="3" customFormat="1" x14ac:dyDescent="0.25">
      <c r="J147" s="30"/>
    </row>
    <row r="148" spans="10:10" s="3" customFormat="1" x14ac:dyDescent="0.25">
      <c r="J148" s="30"/>
    </row>
    <row r="149" spans="10:10" s="3" customFormat="1" x14ac:dyDescent="0.25">
      <c r="J149" s="30"/>
    </row>
    <row r="150" spans="10:10" s="3" customFormat="1" x14ac:dyDescent="0.25">
      <c r="J150" s="30"/>
    </row>
    <row r="151" spans="10:10" s="3" customFormat="1" x14ac:dyDescent="0.25">
      <c r="J151" s="30"/>
    </row>
    <row r="152" spans="10:10" s="3" customFormat="1" x14ac:dyDescent="0.25">
      <c r="J152" s="30"/>
    </row>
    <row r="153" spans="10:10" s="3" customFormat="1" x14ac:dyDescent="0.25">
      <c r="J153" s="30"/>
    </row>
    <row r="154" spans="10:10" s="3" customFormat="1" x14ac:dyDescent="0.25">
      <c r="J154" s="30"/>
    </row>
    <row r="155" spans="10:10" s="3" customFormat="1" x14ac:dyDescent="0.25">
      <c r="J155" s="30"/>
    </row>
    <row r="156" spans="10:10" s="3" customFormat="1" x14ac:dyDescent="0.25">
      <c r="J156" s="30"/>
    </row>
    <row r="157" spans="10:10" s="3" customFormat="1" x14ac:dyDescent="0.25">
      <c r="J157" s="30"/>
    </row>
    <row r="158" spans="10:10" s="3" customFormat="1" x14ac:dyDescent="0.25">
      <c r="J158" s="30"/>
    </row>
    <row r="159" spans="10:10" s="3" customFormat="1" x14ac:dyDescent="0.25">
      <c r="J159" s="30"/>
    </row>
    <row r="160" spans="10:10" s="3" customFormat="1" x14ac:dyDescent="0.25">
      <c r="J160" s="30"/>
    </row>
    <row r="161" spans="10:10" s="3" customFormat="1" x14ac:dyDescent="0.25">
      <c r="J161" s="30"/>
    </row>
    <row r="162" spans="10:10" s="3" customFormat="1" x14ac:dyDescent="0.25">
      <c r="J162" s="30"/>
    </row>
    <row r="163" spans="10:10" s="3" customFormat="1" x14ac:dyDescent="0.25">
      <c r="J163" s="30"/>
    </row>
    <row r="164" spans="10:10" s="3" customFormat="1" x14ac:dyDescent="0.25">
      <c r="J164" s="30"/>
    </row>
    <row r="165" spans="10:10" s="3" customFormat="1" x14ac:dyDescent="0.25">
      <c r="J165" s="30"/>
    </row>
    <row r="166" spans="10:10" s="3" customFormat="1" x14ac:dyDescent="0.25">
      <c r="J166" s="30"/>
    </row>
    <row r="167" spans="10:10" s="3" customFormat="1" x14ac:dyDescent="0.25">
      <c r="J167" s="30"/>
    </row>
    <row r="168" spans="10:10" s="3" customFormat="1" x14ac:dyDescent="0.25">
      <c r="J168" s="30"/>
    </row>
    <row r="169" spans="10:10" s="3" customFormat="1" x14ac:dyDescent="0.25">
      <c r="J169" s="30"/>
    </row>
    <row r="170" spans="10:10" s="3" customFormat="1" x14ac:dyDescent="0.25">
      <c r="J170" s="30"/>
    </row>
    <row r="171" spans="10:10" s="3" customFormat="1" x14ac:dyDescent="0.25">
      <c r="J171" s="30"/>
    </row>
    <row r="172" spans="10:10" s="3" customFormat="1" x14ac:dyDescent="0.25">
      <c r="J172" s="30"/>
    </row>
    <row r="173" spans="10:10" s="3" customFormat="1" x14ac:dyDescent="0.25">
      <c r="J173" s="30"/>
    </row>
    <row r="174" spans="10:10" s="3" customFormat="1" x14ac:dyDescent="0.25">
      <c r="J174" s="30"/>
    </row>
    <row r="175" spans="10:10" s="3" customFormat="1" x14ac:dyDescent="0.25">
      <c r="J175" s="30"/>
    </row>
    <row r="176" spans="10:10" s="3" customFormat="1" x14ac:dyDescent="0.25">
      <c r="J176" s="30"/>
    </row>
    <row r="177" spans="10:10" s="3" customFormat="1" x14ac:dyDescent="0.25">
      <c r="J177" s="30"/>
    </row>
    <row r="178" spans="10:10" s="3" customFormat="1" x14ac:dyDescent="0.25">
      <c r="J178" s="30"/>
    </row>
    <row r="179" spans="10:10" s="3" customFormat="1" x14ac:dyDescent="0.25">
      <c r="J179" s="30"/>
    </row>
    <row r="180" spans="10:10" s="3" customFormat="1" x14ac:dyDescent="0.25">
      <c r="J180" s="30"/>
    </row>
    <row r="181" spans="10:10" s="3" customFormat="1" x14ac:dyDescent="0.25">
      <c r="J181" s="30"/>
    </row>
    <row r="182" spans="10:10" s="3" customFormat="1" x14ac:dyDescent="0.25">
      <c r="J182" s="30"/>
    </row>
    <row r="183" spans="10:10" s="3" customFormat="1" x14ac:dyDescent="0.25">
      <c r="J183" s="30"/>
    </row>
    <row r="184" spans="10:10" s="3" customFormat="1" x14ac:dyDescent="0.25">
      <c r="J184" s="30"/>
    </row>
    <row r="185" spans="10:10" s="3" customFormat="1" x14ac:dyDescent="0.25">
      <c r="J185" s="30"/>
    </row>
    <row r="186" spans="10:10" s="3" customFormat="1" x14ac:dyDescent="0.25">
      <c r="J186" s="30"/>
    </row>
    <row r="187" spans="10:10" s="3" customFormat="1" x14ac:dyDescent="0.25">
      <c r="J187" s="30"/>
    </row>
    <row r="188" spans="10:10" s="3" customFormat="1" x14ac:dyDescent="0.25">
      <c r="J188" s="30"/>
    </row>
    <row r="189" spans="10:10" s="3" customFormat="1" x14ac:dyDescent="0.25">
      <c r="J189" s="30"/>
    </row>
    <row r="190" spans="10:10" s="3" customFormat="1" x14ac:dyDescent="0.25">
      <c r="J190" s="30"/>
    </row>
    <row r="191" spans="10:10" s="3" customFormat="1" x14ac:dyDescent="0.25">
      <c r="J191" s="30"/>
    </row>
    <row r="192" spans="10:10" s="3" customFormat="1" x14ac:dyDescent="0.25">
      <c r="J192" s="30"/>
    </row>
    <row r="193" spans="10:10" s="3" customFormat="1" x14ac:dyDescent="0.25">
      <c r="J193" s="30"/>
    </row>
    <row r="194" spans="10:10" s="3" customFormat="1" x14ac:dyDescent="0.25">
      <c r="J194" s="30"/>
    </row>
    <row r="195" spans="10:10" s="3" customFormat="1" x14ac:dyDescent="0.25">
      <c r="J195" s="30"/>
    </row>
    <row r="196" spans="10:10" s="3" customFormat="1" x14ac:dyDescent="0.25">
      <c r="J196" s="30"/>
    </row>
    <row r="197" spans="10:10" s="3" customFormat="1" x14ac:dyDescent="0.25">
      <c r="J197" s="30"/>
    </row>
    <row r="198" spans="10:10" s="3" customFormat="1" x14ac:dyDescent="0.25">
      <c r="J198" s="30"/>
    </row>
    <row r="199" spans="10:10" s="3" customFormat="1" x14ac:dyDescent="0.25">
      <c r="J199" s="30"/>
    </row>
    <row r="200" spans="10:10" s="3" customFormat="1" x14ac:dyDescent="0.25">
      <c r="J200" s="30"/>
    </row>
    <row r="201" spans="10:10" s="3" customFormat="1" x14ac:dyDescent="0.25">
      <c r="J201" s="30"/>
    </row>
    <row r="202" spans="10:10" s="3" customFormat="1" x14ac:dyDescent="0.25">
      <c r="J202" s="30"/>
    </row>
    <row r="203" spans="10:10" s="3" customFormat="1" x14ac:dyDescent="0.25">
      <c r="J203" s="30"/>
    </row>
    <row r="204" spans="10:10" s="3" customFormat="1" x14ac:dyDescent="0.25">
      <c r="J204" s="30"/>
    </row>
    <row r="205" spans="10:10" s="3" customFormat="1" x14ac:dyDescent="0.25">
      <c r="J205" s="30"/>
    </row>
    <row r="206" spans="10:10" s="3" customFormat="1" x14ac:dyDescent="0.25">
      <c r="J206" s="30"/>
    </row>
    <row r="207" spans="10:10" s="3" customFormat="1" x14ac:dyDescent="0.25">
      <c r="J207" s="30"/>
    </row>
    <row r="208" spans="10:10" s="3" customFormat="1" x14ac:dyDescent="0.25">
      <c r="J208" s="30"/>
    </row>
    <row r="209" spans="10:10" s="3" customFormat="1" x14ac:dyDescent="0.25">
      <c r="J209" s="30"/>
    </row>
    <row r="210" spans="10:10" s="3" customFormat="1" x14ac:dyDescent="0.25">
      <c r="J210" s="30"/>
    </row>
    <row r="211" spans="10:10" s="3" customFormat="1" x14ac:dyDescent="0.25">
      <c r="J211" s="30"/>
    </row>
    <row r="212" spans="10:10" s="3" customFormat="1" x14ac:dyDescent="0.25">
      <c r="J212" s="30"/>
    </row>
    <row r="213" spans="10:10" s="3" customFormat="1" x14ac:dyDescent="0.25">
      <c r="J213" s="30"/>
    </row>
    <row r="214" spans="10:10" s="3" customFormat="1" x14ac:dyDescent="0.25">
      <c r="J214" s="30"/>
    </row>
    <row r="215" spans="10:10" s="3" customFormat="1" x14ac:dyDescent="0.25">
      <c r="J215" s="30"/>
    </row>
    <row r="216" spans="10:10" s="3" customFormat="1" x14ac:dyDescent="0.25">
      <c r="J216" s="30"/>
    </row>
    <row r="217" spans="10:10" s="3" customFormat="1" x14ac:dyDescent="0.25">
      <c r="J217" s="30"/>
    </row>
    <row r="218" spans="10:10" s="3" customFormat="1" x14ac:dyDescent="0.25">
      <c r="J218" s="30"/>
    </row>
    <row r="219" spans="10:10" s="3" customFormat="1" x14ac:dyDescent="0.25">
      <c r="J219" s="30"/>
    </row>
    <row r="220" spans="10:10" s="3" customFormat="1" x14ac:dyDescent="0.25">
      <c r="J220" s="30"/>
    </row>
    <row r="221" spans="10:10" s="3" customFormat="1" x14ac:dyDescent="0.25">
      <c r="J221" s="30"/>
    </row>
    <row r="222" spans="10:10" s="3" customFormat="1" x14ac:dyDescent="0.25">
      <c r="J222" s="30"/>
    </row>
    <row r="223" spans="10:10" s="3" customFormat="1" x14ac:dyDescent="0.25">
      <c r="J223" s="30"/>
    </row>
    <row r="224" spans="10:10" s="3" customFormat="1" x14ac:dyDescent="0.25">
      <c r="J224" s="30"/>
    </row>
    <row r="225" spans="10:10" s="3" customFormat="1" x14ac:dyDescent="0.25">
      <c r="J225" s="30"/>
    </row>
    <row r="226" spans="10:10" s="3" customFormat="1" x14ac:dyDescent="0.25">
      <c r="J226" s="30"/>
    </row>
    <row r="227" spans="10:10" s="3" customFormat="1" x14ac:dyDescent="0.25">
      <c r="J227" s="30"/>
    </row>
    <row r="228" spans="10:10" s="3" customFormat="1" x14ac:dyDescent="0.25">
      <c r="J228" s="30"/>
    </row>
    <row r="229" spans="10:10" s="3" customFormat="1" x14ac:dyDescent="0.25">
      <c r="J229" s="30"/>
    </row>
    <row r="230" spans="10:10" s="3" customFormat="1" x14ac:dyDescent="0.25">
      <c r="J230" s="30"/>
    </row>
    <row r="231" spans="10:10" s="3" customFormat="1" x14ac:dyDescent="0.25">
      <c r="J231" s="30"/>
    </row>
    <row r="232" spans="10:10" s="3" customFormat="1" x14ac:dyDescent="0.25">
      <c r="J232" s="30"/>
    </row>
    <row r="233" spans="10:10" s="3" customFormat="1" x14ac:dyDescent="0.25">
      <c r="J233" s="30"/>
    </row>
    <row r="234" spans="10:10" s="3" customFormat="1" x14ac:dyDescent="0.25">
      <c r="J234" s="30"/>
    </row>
    <row r="235" spans="10:10" s="3" customFormat="1" x14ac:dyDescent="0.25">
      <c r="J235" s="30"/>
    </row>
    <row r="236" spans="10:10" s="3" customFormat="1" x14ac:dyDescent="0.25">
      <c r="J236" s="30"/>
    </row>
    <row r="237" spans="10:10" s="3" customFormat="1" x14ac:dyDescent="0.25">
      <c r="J237" s="30"/>
    </row>
    <row r="238" spans="10:10" s="3" customFormat="1" x14ac:dyDescent="0.25">
      <c r="J238" s="30"/>
    </row>
    <row r="239" spans="10:10" s="3" customFormat="1" x14ac:dyDescent="0.25">
      <c r="J239" s="30"/>
    </row>
    <row r="240" spans="10:10" s="3" customFormat="1" x14ac:dyDescent="0.25">
      <c r="J240" s="30"/>
    </row>
    <row r="241" spans="10:10" s="3" customFormat="1" x14ac:dyDescent="0.25">
      <c r="J241" s="30"/>
    </row>
    <row r="242" spans="10:10" s="3" customFormat="1" x14ac:dyDescent="0.25">
      <c r="J242" s="30"/>
    </row>
    <row r="243" spans="10:10" s="3" customFormat="1" x14ac:dyDescent="0.25">
      <c r="J243" s="30"/>
    </row>
    <row r="244" spans="10:10" s="3" customFormat="1" x14ac:dyDescent="0.25">
      <c r="J244" s="30"/>
    </row>
    <row r="245" spans="10:10" s="3" customFormat="1" x14ac:dyDescent="0.25">
      <c r="J245" s="30"/>
    </row>
    <row r="246" spans="10:10" s="3" customFormat="1" x14ac:dyDescent="0.25">
      <c r="J246" s="30"/>
    </row>
    <row r="247" spans="10:10" s="3" customFormat="1" x14ac:dyDescent="0.25">
      <c r="J247" s="30"/>
    </row>
    <row r="248" spans="10:10" s="3" customFormat="1" x14ac:dyDescent="0.25">
      <c r="J248" s="30"/>
    </row>
    <row r="249" spans="10:10" s="3" customFormat="1" x14ac:dyDescent="0.25">
      <c r="J249" s="30"/>
    </row>
    <row r="250" spans="10:10" s="3" customFormat="1" x14ac:dyDescent="0.25">
      <c r="J250" s="30"/>
    </row>
    <row r="251" spans="10:10" s="3" customFormat="1" x14ac:dyDescent="0.25">
      <c r="J251" s="30"/>
    </row>
    <row r="252" spans="10:10" s="3" customFormat="1" x14ac:dyDescent="0.25">
      <c r="J252" s="30"/>
    </row>
    <row r="253" spans="10:10" s="3" customFormat="1" x14ac:dyDescent="0.25">
      <c r="J253" s="30"/>
    </row>
    <row r="254" spans="10:10" s="3" customFormat="1" x14ac:dyDescent="0.25">
      <c r="J254" s="30"/>
    </row>
    <row r="255" spans="10:10" s="3" customFormat="1" x14ac:dyDescent="0.25">
      <c r="J255" s="30"/>
    </row>
    <row r="256" spans="10:10" s="3" customFormat="1" x14ac:dyDescent="0.25">
      <c r="J256" s="30"/>
    </row>
    <row r="257" spans="10:10" s="3" customFormat="1" x14ac:dyDescent="0.25">
      <c r="J257" s="30"/>
    </row>
    <row r="258" spans="10:10" s="3" customFormat="1" x14ac:dyDescent="0.25">
      <c r="J258" s="30"/>
    </row>
    <row r="259" spans="10:10" s="3" customFormat="1" x14ac:dyDescent="0.25">
      <c r="J259" s="30"/>
    </row>
    <row r="260" spans="10:10" s="3" customFormat="1" x14ac:dyDescent="0.25">
      <c r="J260" s="30"/>
    </row>
    <row r="261" spans="10:10" s="3" customFormat="1" x14ac:dyDescent="0.25">
      <c r="J261" s="30"/>
    </row>
    <row r="262" spans="10:10" s="3" customFormat="1" x14ac:dyDescent="0.25">
      <c r="J262" s="30"/>
    </row>
    <row r="263" spans="10:10" s="3" customFormat="1" x14ac:dyDescent="0.25">
      <c r="J263" s="30"/>
    </row>
    <row r="264" spans="10:10" s="3" customFormat="1" x14ac:dyDescent="0.25">
      <c r="J264" s="30"/>
    </row>
    <row r="265" spans="10:10" s="3" customFormat="1" x14ac:dyDescent="0.25">
      <c r="J265" s="30"/>
    </row>
    <row r="266" spans="10:10" s="3" customFormat="1" x14ac:dyDescent="0.25">
      <c r="J266" s="30"/>
    </row>
    <row r="267" spans="10:10" s="3" customFormat="1" x14ac:dyDescent="0.25">
      <c r="J267" s="30"/>
    </row>
    <row r="268" spans="10:10" s="3" customFormat="1" x14ac:dyDescent="0.25">
      <c r="J268" s="30"/>
    </row>
    <row r="269" spans="10:10" s="3" customFormat="1" x14ac:dyDescent="0.25">
      <c r="J269" s="30"/>
    </row>
    <row r="270" spans="10:10" s="3" customFormat="1" x14ac:dyDescent="0.25">
      <c r="J270" s="30"/>
    </row>
    <row r="271" spans="10:10" s="3" customFormat="1" x14ac:dyDescent="0.25">
      <c r="J271" s="30"/>
    </row>
    <row r="272" spans="10:10" s="3" customFormat="1" x14ac:dyDescent="0.25">
      <c r="J272" s="30"/>
    </row>
    <row r="273" spans="10:10" s="3" customFormat="1" x14ac:dyDescent="0.25">
      <c r="J273" s="30"/>
    </row>
    <row r="274" spans="10:10" s="3" customFormat="1" x14ac:dyDescent="0.25">
      <c r="J274" s="30"/>
    </row>
    <row r="275" spans="10:10" s="3" customFormat="1" x14ac:dyDescent="0.25">
      <c r="J275" s="30"/>
    </row>
    <row r="276" spans="10:10" s="3" customFormat="1" x14ac:dyDescent="0.25">
      <c r="J276" s="30"/>
    </row>
    <row r="277" spans="10:10" s="3" customFormat="1" x14ac:dyDescent="0.25">
      <c r="J277" s="30"/>
    </row>
    <row r="278" spans="10:10" s="3" customFormat="1" x14ac:dyDescent="0.25">
      <c r="J278" s="30"/>
    </row>
    <row r="279" spans="10:10" s="3" customFormat="1" x14ac:dyDescent="0.25">
      <c r="J279" s="30"/>
    </row>
    <row r="280" spans="10:10" s="3" customFormat="1" x14ac:dyDescent="0.25">
      <c r="J280" s="30"/>
    </row>
    <row r="281" spans="10:10" s="3" customFormat="1" x14ac:dyDescent="0.25">
      <c r="J281" s="30"/>
    </row>
    <row r="282" spans="10:10" s="3" customFormat="1" x14ac:dyDescent="0.25">
      <c r="J282" s="30"/>
    </row>
    <row r="283" spans="10:10" s="3" customFormat="1" x14ac:dyDescent="0.25">
      <c r="J283" s="30"/>
    </row>
    <row r="284" spans="10:10" s="3" customFormat="1" x14ac:dyDescent="0.25">
      <c r="J284" s="30"/>
    </row>
    <row r="285" spans="10:10" s="3" customFormat="1" x14ac:dyDescent="0.25">
      <c r="J285" s="30"/>
    </row>
    <row r="286" spans="10:10" s="3" customFormat="1" x14ac:dyDescent="0.25">
      <c r="J286" s="30"/>
    </row>
    <row r="287" spans="10:10" s="3" customFormat="1" x14ac:dyDescent="0.25">
      <c r="J287" s="30"/>
    </row>
    <row r="288" spans="10:10" s="3" customFormat="1" x14ac:dyDescent="0.25">
      <c r="J288" s="30"/>
    </row>
    <row r="289" spans="10:10" s="3" customFormat="1" x14ac:dyDescent="0.25">
      <c r="J289" s="30"/>
    </row>
    <row r="290" spans="10:10" s="3" customFormat="1" x14ac:dyDescent="0.25">
      <c r="J290" s="30"/>
    </row>
    <row r="291" spans="10:10" s="3" customFormat="1" x14ac:dyDescent="0.25">
      <c r="J291" s="30"/>
    </row>
    <row r="292" spans="10:10" s="3" customFormat="1" x14ac:dyDescent="0.25">
      <c r="J292" s="30"/>
    </row>
    <row r="293" spans="10:10" s="3" customFormat="1" x14ac:dyDescent="0.25">
      <c r="J293" s="30"/>
    </row>
    <row r="294" spans="10:10" s="3" customFormat="1" x14ac:dyDescent="0.25">
      <c r="J294" s="30"/>
    </row>
    <row r="295" spans="10:10" s="3" customFormat="1" x14ac:dyDescent="0.25">
      <c r="J295" s="30"/>
    </row>
    <row r="296" spans="10:10" s="3" customFormat="1" x14ac:dyDescent="0.25">
      <c r="J296" s="30"/>
    </row>
    <row r="297" spans="10:10" s="3" customFormat="1" x14ac:dyDescent="0.25">
      <c r="J297" s="30"/>
    </row>
    <row r="298" spans="10:10" s="3" customFormat="1" x14ac:dyDescent="0.25">
      <c r="J298" s="30"/>
    </row>
    <row r="299" spans="10:10" s="3" customFormat="1" x14ac:dyDescent="0.25">
      <c r="J299" s="30"/>
    </row>
    <row r="300" spans="10:10" s="3" customFormat="1" x14ac:dyDescent="0.25">
      <c r="J300" s="30"/>
    </row>
    <row r="301" spans="10:10" s="3" customFormat="1" x14ac:dyDescent="0.25">
      <c r="J301" s="30"/>
    </row>
    <row r="302" spans="10:10" s="3" customFormat="1" x14ac:dyDescent="0.25">
      <c r="J302" s="30"/>
    </row>
    <row r="303" spans="10:10" s="3" customFormat="1" x14ac:dyDescent="0.25">
      <c r="J303" s="30"/>
    </row>
    <row r="304" spans="10:10" s="3" customFormat="1" x14ac:dyDescent="0.25">
      <c r="J304" s="30"/>
    </row>
    <row r="305" spans="10:10" s="3" customFormat="1" x14ac:dyDescent="0.25">
      <c r="J305" s="30"/>
    </row>
    <row r="306" spans="10:10" s="3" customFormat="1" x14ac:dyDescent="0.25">
      <c r="J306" s="30"/>
    </row>
    <row r="307" spans="10:10" s="3" customFormat="1" x14ac:dyDescent="0.25">
      <c r="J307" s="30"/>
    </row>
    <row r="308" spans="10:10" s="3" customFormat="1" x14ac:dyDescent="0.25">
      <c r="J308" s="30"/>
    </row>
    <row r="309" spans="10:10" s="3" customFormat="1" x14ac:dyDescent="0.25">
      <c r="J309" s="30"/>
    </row>
    <row r="310" spans="10:10" s="3" customFormat="1" x14ac:dyDescent="0.25">
      <c r="J310" s="30"/>
    </row>
    <row r="311" spans="10:10" s="3" customFormat="1" x14ac:dyDescent="0.25">
      <c r="J311" s="30"/>
    </row>
    <row r="312" spans="10:10" s="3" customFormat="1" x14ac:dyDescent="0.25">
      <c r="J312" s="30"/>
    </row>
    <row r="313" spans="10:10" s="3" customFormat="1" x14ac:dyDescent="0.25">
      <c r="J313" s="30"/>
    </row>
    <row r="314" spans="10:10" s="3" customFormat="1" x14ac:dyDescent="0.25">
      <c r="J314" s="30"/>
    </row>
    <row r="315" spans="10:10" s="3" customFormat="1" x14ac:dyDescent="0.25">
      <c r="J315" s="30"/>
    </row>
    <row r="316" spans="10:10" s="3" customFormat="1" x14ac:dyDescent="0.25">
      <c r="J316" s="30"/>
    </row>
    <row r="317" spans="10:10" s="3" customFormat="1" x14ac:dyDescent="0.25">
      <c r="J317" s="30"/>
    </row>
    <row r="318" spans="10:10" s="3" customFormat="1" x14ac:dyDescent="0.25">
      <c r="J318" s="30"/>
    </row>
    <row r="319" spans="10:10" s="3" customFormat="1" x14ac:dyDescent="0.25">
      <c r="J319" s="30"/>
    </row>
    <row r="320" spans="10:10" s="3" customFormat="1" x14ac:dyDescent="0.25">
      <c r="J320" s="30"/>
    </row>
    <row r="321" spans="10:10" s="3" customFormat="1" x14ac:dyDescent="0.25">
      <c r="J321" s="30"/>
    </row>
    <row r="322" spans="10:10" s="3" customFormat="1" x14ac:dyDescent="0.25">
      <c r="J322" s="30"/>
    </row>
    <row r="323" spans="10:10" s="3" customFormat="1" x14ac:dyDescent="0.25">
      <c r="J323" s="30"/>
    </row>
    <row r="324" spans="10:10" s="3" customFormat="1" x14ac:dyDescent="0.25">
      <c r="J324" s="30"/>
    </row>
    <row r="325" spans="10:10" s="3" customFormat="1" x14ac:dyDescent="0.25">
      <c r="J325" s="30"/>
    </row>
    <row r="326" spans="10:10" s="3" customFormat="1" x14ac:dyDescent="0.25">
      <c r="J326" s="30"/>
    </row>
    <row r="327" spans="10:10" s="3" customFormat="1" x14ac:dyDescent="0.25">
      <c r="J327" s="30"/>
    </row>
    <row r="328" spans="10:10" s="3" customFormat="1" x14ac:dyDescent="0.25">
      <c r="J328" s="30"/>
    </row>
    <row r="329" spans="10:10" s="3" customFormat="1" x14ac:dyDescent="0.25">
      <c r="J329" s="30"/>
    </row>
    <row r="330" spans="10:10" s="3" customFormat="1" x14ac:dyDescent="0.25">
      <c r="J330" s="30"/>
    </row>
    <row r="331" spans="10:10" s="3" customFormat="1" x14ac:dyDescent="0.25">
      <c r="J331" s="30"/>
    </row>
    <row r="332" spans="10:10" s="3" customFormat="1" x14ac:dyDescent="0.25">
      <c r="J332" s="30"/>
    </row>
    <row r="333" spans="10:10" s="3" customFormat="1" x14ac:dyDescent="0.25">
      <c r="J333" s="30"/>
    </row>
    <row r="334" spans="10:10" s="3" customFormat="1" x14ac:dyDescent="0.25">
      <c r="J334" s="30"/>
    </row>
    <row r="335" spans="10:10" s="3" customFormat="1" x14ac:dyDescent="0.25">
      <c r="J335" s="30"/>
    </row>
    <row r="336" spans="10:10" s="3" customFormat="1" x14ac:dyDescent="0.25">
      <c r="J336" s="30"/>
    </row>
    <row r="337" spans="10:10" s="3" customFormat="1" x14ac:dyDescent="0.25">
      <c r="J337" s="30"/>
    </row>
    <row r="338" spans="10:10" s="3" customFormat="1" x14ac:dyDescent="0.25">
      <c r="J338" s="30"/>
    </row>
    <row r="339" spans="10:10" s="3" customFormat="1" x14ac:dyDescent="0.25">
      <c r="J339" s="30"/>
    </row>
    <row r="340" spans="10:10" s="3" customFormat="1" x14ac:dyDescent="0.25">
      <c r="J340" s="30"/>
    </row>
    <row r="341" spans="10:10" s="3" customFormat="1" x14ac:dyDescent="0.25">
      <c r="J341" s="30"/>
    </row>
    <row r="342" spans="10:10" s="3" customFormat="1" x14ac:dyDescent="0.25">
      <c r="J342" s="30"/>
    </row>
    <row r="343" spans="10:10" s="3" customFormat="1" x14ac:dyDescent="0.25">
      <c r="J343" s="30"/>
    </row>
    <row r="344" spans="10:10" s="3" customFormat="1" x14ac:dyDescent="0.25">
      <c r="J344" s="30"/>
    </row>
    <row r="345" spans="10:10" s="3" customFormat="1" x14ac:dyDescent="0.25">
      <c r="J345" s="30"/>
    </row>
    <row r="346" spans="10:10" s="3" customFormat="1" x14ac:dyDescent="0.25">
      <c r="J346" s="30"/>
    </row>
    <row r="347" spans="10:10" s="3" customFormat="1" x14ac:dyDescent="0.25">
      <c r="J347" s="30"/>
    </row>
    <row r="348" spans="10:10" s="3" customFormat="1" x14ac:dyDescent="0.25">
      <c r="J348" s="30"/>
    </row>
    <row r="349" spans="10:10" s="3" customFormat="1" x14ac:dyDescent="0.25">
      <c r="J349" s="30"/>
    </row>
    <row r="350" spans="10:10" s="3" customFormat="1" x14ac:dyDescent="0.25">
      <c r="J350" s="30"/>
    </row>
    <row r="351" spans="10:10" s="3" customFormat="1" x14ac:dyDescent="0.25">
      <c r="J351" s="30"/>
    </row>
    <row r="352" spans="10:10" s="3" customFormat="1" x14ac:dyDescent="0.25">
      <c r="J352" s="30"/>
    </row>
    <row r="353" spans="10:10" s="3" customFormat="1" x14ac:dyDescent="0.25">
      <c r="J353" s="30"/>
    </row>
    <row r="354" spans="10:10" s="3" customFormat="1" x14ac:dyDescent="0.25">
      <c r="J354" s="30"/>
    </row>
    <row r="355" spans="10:10" s="3" customFormat="1" x14ac:dyDescent="0.25">
      <c r="J355" s="30"/>
    </row>
    <row r="356" spans="10:10" s="3" customFormat="1" x14ac:dyDescent="0.25">
      <c r="J356" s="30"/>
    </row>
    <row r="357" spans="10:10" s="3" customFormat="1" x14ac:dyDescent="0.25">
      <c r="J357" s="30"/>
    </row>
    <row r="358" spans="10:10" s="3" customFormat="1" x14ac:dyDescent="0.25">
      <c r="J358" s="30"/>
    </row>
    <row r="359" spans="10:10" s="3" customFormat="1" x14ac:dyDescent="0.25">
      <c r="J359" s="30"/>
    </row>
    <row r="360" spans="10:10" s="3" customFormat="1" x14ac:dyDescent="0.25">
      <c r="J360" s="30"/>
    </row>
    <row r="361" spans="10:10" s="3" customFormat="1" x14ac:dyDescent="0.25">
      <c r="J361" s="30"/>
    </row>
    <row r="362" spans="10:10" s="3" customFormat="1" x14ac:dyDescent="0.25">
      <c r="J362" s="30"/>
    </row>
    <row r="363" spans="10:10" s="3" customFormat="1" x14ac:dyDescent="0.25">
      <c r="J363" s="30"/>
    </row>
    <row r="364" spans="10:10" s="3" customFormat="1" x14ac:dyDescent="0.25">
      <c r="J364" s="30"/>
    </row>
    <row r="365" spans="10:10" s="3" customFormat="1" x14ac:dyDescent="0.25">
      <c r="J365" s="30"/>
    </row>
    <row r="366" spans="10:10" s="3" customFormat="1" x14ac:dyDescent="0.25">
      <c r="J366" s="30"/>
    </row>
    <row r="367" spans="10:10" s="3" customFormat="1" x14ac:dyDescent="0.25">
      <c r="J367" s="30"/>
    </row>
    <row r="368" spans="10:10" s="3" customFormat="1" x14ac:dyDescent="0.25">
      <c r="J368" s="30"/>
    </row>
    <row r="369" spans="10:10" s="3" customFormat="1" x14ac:dyDescent="0.25">
      <c r="J369" s="30"/>
    </row>
    <row r="370" spans="10:10" s="3" customFormat="1" x14ac:dyDescent="0.25">
      <c r="J370" s="30"/>
    </row>
    <row r="371" spans="10:10" s="3" customFormat="1" x14ac:dyDescent="0.25">
      <c r="J371" s="30"/>
    </row>
    <row r="372" spans="10:10" s="3" customFormat="1" x14ac:dyDescent="0.25">
      <c r="J372" s="30"/>
    </row>
    <row r="373" spans="10:10" s="3" customFormat="1" x14ac:dyDescent="0.25">
      <c r="J373" s="30"/>
    </row>
    <row r="374" spans="10:10" s="3" customFormat="1" x14ac:dyDescent="0.25">
      <c r="J374" s="30"/>
    </row>
    <row r="375" spans="10:10" s="3" customFormat="1" x14ac:dyDescent="0.25">
      <c r="J375" s="30"/>
    </row>
    <row r="376" spans="10:10" s="3" customFormat="1" x14ac:dyDescent="0.25">
      <c r="J376" s="30"/>
    </row>
    <row r="377" spans="10:10" s="3" customFormat="1" x14ac:dyDescent="0.25">
      <c r="J377" s="30"/>
    </row>
    <row r="378" spans="10:10" s="3" customFormat="1" x14ac:dyDescent="0.25">
      <c r="J378" s="30"/>
    </row>
    <row r="379" spans="10:10" s="3" customFormat="1" x14ac:dyDescent="0.25">
      <c r="J379" s="30"/>
    </row>
    <row r="380" spans="10:10" s="3" customFormat="1" x14ac:dyDescent="0.25">
      <c r="J380" s="30"/>
    </row>
    <row r="381" spans="10:10" s="3" customFormat="1" x14ac:dyDescent="0.25">
      <c r="J381" s="30"/>
    </row>
    <row r="382" spans="10:10" s="3" customFormat="1" x14ac:dyDescent="0.25">
      <c r="J382" s="30"/>
    </row>
    <row r="383" spans="10:10" s="3" customFormat="1" x14ac:dyDescent="0.25">
      <c r="J383" s="30"/>
    </row>
    <row r="384" spans="10:10" s="3" customFormat="1" x14ac:dyDescent="0.25">
      <c r="J384" s="30"/>
    </row>
    <row r="385" spans="10:10" s="3" customFormat="1" x14ac:dyDescent="0.25">
      <c r="J385" s="30"/>
    </row>
    <row r="386" spans="10:10" s="3" customFormat="1" x14ac:dyDescent="0.25">
      <c r="J386" s="30"/>
    </row>
    <row r="387" spans="10:10" s="3" customFormat="1" x14ac:dyDescent="0.25">
      <c r="J387" s="30"/>
    </row>
    <row r="388" spans="10:10" s="3" customFormat="1" x14ac:dyDescent="0.25">
      <c r="J388" s="30"/>
    </row>
    <row r="389" spans="10:10" s="3" customFormat="1" x14ac:dyDescent="0.25">
      <c r="J389" s="30"/>
    </row>
    <row r="390" spans="10:10" s="3" customFormat="1" x14ac:dyDescent="0.25">
      <c r="J390" s="30"/>
    </row>
    <row r="391" spans="10:10" s="3" customFormat="1" x14ac:dyDescent="0.25">
      <c r="J391" s="30"/>
    </row>
    <row r="392" spans="10:10" s="3" customFormat="1" x14ac:dyDescent="0.25">
      <c r="J392" s="30"/>
    </row>
    <row r="393" spans="10:10" s="3" customFormat="1" x14ac:dyDescent="0.25">
      <c r="J393" s="30"/>
    </row>
    <row r="394" spans="10:10" s="3" customFormat="1" x14ac:dyDescent="0.25">
      <c r="J394" s="30"/>
    </row>
    <row r="395" spans="10:10" s="3" customFormat="1" x14ac:dyDescent="0.25">
      <c r="J395" s="30"/>
    </row>
    <row r="396" spans="10:10" s="3" customFormat="1" x14ac:dyDescent="0.25">
      <c r="J396" s="30"/>
    </row>
    <row r="397" spans="10:10" s="3" customFormat="1" x14ac:dyDescent="0.25">
      <c r="J397" s="30"/>
    </row>
    <row r="398" spans="10:10" s="3" customFormat="1" x14ac:dyDescent="0.25">
      <c r="J398" s="30"/>
    </row>
    <row r="399" spans="10:10" s="3" customFormat="1" x14ac:dyDescent="0.25">
      <c r="J399" s="30"/>
    </row>
    <row r="400" spans="10:10" s="3" customFormat="1" x14ac:dyDescent="0.25">
      <c r="J400" s="30"/>
    </row>
    <row r="401" spans="10:10" s="3" customFormat="1" x14ac:dyDescent="0.25">
      <c r="J401" s="30"/>
    </row>
    <row r="402" spans="10:10" s="3" customFormat="1" x14ac:dyDescent="0.25">
      <c r="J402" s="30"/>
    </row>
    <row r="403" spans="10:10" s="3" customFormat="1" x14ac:dyDescent="0.25">
      <c r="J403" s="30"/>
    </row>
    <row r="404" spans="10:10" s="3" customFormat="1" x14ac:dyDescent="0.25">
      <c r="J404" s="30"/>
    </row>
    <row r="405" spans="10:10" s="3" customFormat="1" x14ac:dyDescent="0.25">
      <c r="J405" s="30"/>
    </row>
    <row r="406" spans="10:10" s="3" customFormat="1" x14ac:dyDescent="0.25">
      <c r="J406" s="30"/>
    </row>
    <row r="407" spans="10:10" s="3" customFormat="1" x14ac:dyDescent="0.25">
      <c r="J407" s="30"/>
    </row>
    <row r="408" spans="10:10" s="3" customFormat="1" x14ac:dyDescent="0.25">
      <c r="J408" s="30"/>
    </row>
    <row r="409" spans="10:10" s="3" customFormat="1" x14ac:dyDescent="0.25">
      <c r="J409" s="30"/>
    </row>
    <row r="410" spans="10:10" s="3" customFormat="1" x14ac:dyDescent="0.25">
      <c r="J410" s="30"/>
    </row>
    <row r="411" spans="10:10" s="3" customFormat="1" x14ac:dyDescent="0.25">
      <c r="J411" s="30"/>
    </row>
    <row r="412" spans="10:10" s="3" customFormat="1" x14ac:dyDescent="0.25">
      <c r="J412" s="30"/>
    </row>
    <row r="413" spans="10:10" s="3" customFormat="1" x14ac:dyDescent="0.25">
      <c r="J413" s="30"/>
    </row>
    <row r="414" spans="10:10" s="3" customFormat="1" x14ac:dyDescent="0.25">
      <c r="J414" s="30"/>
    </row>
    <row r="415" spans="10:10" s="3" customFormat="1" x14ac:dyDescent="0.25">
      <c r="J415" s="30"/>
    </row>
    <row r="416" spans="10:10" s="3" customFormat="1" x14ac:dyDescent="0.25">
      <c r="J416" s="30"/>
    </row>
    <row r="417" spans="10:10" s="3" customFormat="1" x14ac:dyDescent="0.25">
      <c r="J417" s="30"/>
    </row>
    <row r="418" spans="10:10" s="3" customFormat="1" x14ac:dyDescent="0.25">
      <c r="J418" s="30"/>
    </row>
    <row r="419" spans="10:10" s="3" customFormat="1" x14ac:dyDescent="0.25">
      <c r="J419" s="30"/>
    </row>
    <row r="420" spans="10:10" s="3" customFormat="1" x14ac:dyDescent="0.25">
      <c r="J420" s="30"/>
    </row>
    <row r="421" spans="10:10" s="3" customFormat="1" x14ac:dyDescent="0.25">
      <c r="J421" s="30"/>
    </row>
    <row r="422" spans="10:10" s="3" customFormat="1" x14ac:dyDescent="0.25">
      <c r="J422" s="30"/>
    </row>
    <row r="423" spans="10:10" s="3" customFormat="1" x14ac:dyDescent="0.25">
      <c r="J423" s="30"/>
    </row>
    <row r="424" spans="10:10" s="3" customFormat="1" x14ac:dyDescent="0.25">
      <c r="J424" s="30"/>
    </row>
    <row r="425" spans="10:10" s="3" customFormat="1" x14ac:dyDescent="0.25">
      <c r="J425" s="30"/>
    </row>
    <row r="426" spans="10:10" s="3" customFormat="1" x14ac:dyDescent="0.25">
      <c r="J426" s="30"/>
    </row>
    <row r="427" spans="10:10" s="3" customFormat="1" x14ac:dyDescent="0.25">
      <c r="J427" s="30"/>
    </row>
    <row r="428" spans="10:10" s="3" customFormat="1" x14ac:dyDescent="0.25">
      <c r="J428" s="30"/>
    </row>
    <row r="429" spans="10:10" s="3" customFormat="1" x14ac:dyDescent="0.25">
      <c r="J429" s="30"/>
    </row>
    <row r="430" spans="10:10" s="3" customFormat="1" x14ac:dyDescent="0.25">
      <c r="J430" s="30"/>
    </row>
    <row r="431" spans="10:10" s="3" customFormat="1" x14ac:dyDescent="0.25">
      <c r="J431" s="30"/>
    </row>
    <row r="432" spans="10:10" s="3" customFormat="1" x14ac:dyDescent="0.25">
      <c r="J432" s="30"/>
    </row>
    <row r="433" spans="10:10" s="3" customFormat="1" x14ac:dyDescent="0.25">
      <c r="J433" s="30"/>
    </row>
    <row r="434" spans="10:10" s="3" customFormat="1" x14ac:dyDescent="0.25">
      <c r="J434" s="30"/>
    </row>
    <row r="435" spans="10:10" s="3" customFormat="1" x14ac:dyDescent="0.25">
      <c r="J435" s="30"/>
    </row>
    <row r="436" spans="10:10" s="3" customFormat="1" x14ac:dyDescent="0.25">
      <c r="J436" s="30"/>
    </row>
    <row r="437" spans="10:10" s="3" customFormat="1" x14ac:dyDescent="0.25">
      <c r="J437" s="30"/>
    </row>
    <row r="438" spans="10:10" s="3" customFormat="1" x14ac:dyDescent="0.25">
      <c r="J438" s="30"/>
    </row>
    <row r="439" spans="10:10" s="3" customFormat="1" x14ac:dyDescent="0.25">
      <c r="J439" s="30"/>
    </row>
    <row r="440" spans="10:10" s="3" customFormat="1" x14ac:dyDescent="0.25">
      <c r="J440" s="30"/>
    </row>
    <row r="441" spans="10:10" s="3" customFormat="1" x14ac:dyDescent="0.25">
      <c r="J441" s="30"/>
    </row>
    <row r="442" spans="10:10" s="3" customFormat="1" x14ac:dyDescent="0.25">
      <c r="J442" s="30"/>
    </row>
    <row r="443" spans="10:10" s="3" customFormat="1" x14ac:dyDescent="0.25">
      <c r="J443" s="30"/>
    </row>
    <row r="444" spans="10:10" s="3" customFormat="1" x14ac:dyDescent="0.25">
      <c r="J444" s="30"/>
    </row>
    <row r="445" spans="10:10" s="3" customFormat="1" x14ac:dyDescent="0.25">
      <c r="J445" s="30"/>
    </row>
    <row r="446" spans="10:10" s="3" customFormat="1" x14ac:dyDescent="0.25">
      <c r="J446" s="30"/>
    </row>
    <row r="447" spans="10:10" s="3" customFormat="1" x14ac:dyDescent="0.25">
      <c r="J447" s="30"/>
    </row>
    <row r="448" spans="10:10" s="3" customFormat="1" x14ac:dyDescent="0.25">
      <c r="J448" s="30"/>
    </row>
    <row r="449" spans="10:10" s="3" customFormat="1" x14ac:dyDescent="0.25">
      <c r="J449" s="30"/>
    </row>
    <row r="450" spans="10:10" s="3" customFormat="1" x14ac:dyDescent="0.25">
      <c r="J450" s="30"/>
    </row>
    <row r="451" spans="10:10" s="3" customFormat="1" x14ac:dyDescent="0.25">
      <c r="J451" s="30"/>
    </row>
    <row r="452" spans="10:10" s="3" customFormat="1" x14ac:dyDescent="0.25">
      <c r="J452" s="30"/>
    </row>
    <row r="453" spans="10:10" s="3" customFormat="1" x14ac:dyDescent="0.25">
      <c r="J453" s="30"/>
    </row>
    <row r="454" spans="10:10" s="3" customFormat="1" x14ac:dyDescent="0.25">
      <c r="J454" s="30"/>
    </row>
    <row r="455" spans="10:10" s="3" customFormat="1" x14ac:dyDescent="0.25">
      <c r="J455" s="30"/>
    </row>
    <row r="456" spans="10:10" s="3" customFormat="1" x14ac:dyDescent="0.25">
      <c r="J456" s="30"/>
    </row>
    <row r="457" spans="10:10" s="3" customFormat="1" x14ac:dyDescent="0.25">
      <c r="J457" s="30"/>
    </row>
    <row r="458" spans="10:10" s="3" customFormat="1" x14ac:dyDescent="0.25">
      <c r="J458" s="30"/>
    </row>
    <row r="459" spans="10:10" s="3" customFormat="1" x14ac:dyDescent="0.25">
      <c r="J459" s="30"/>
    </row>
    <row r="460" spans="10:10" s="3" customFormat="1" x14ac:dyDescent="0.25">
      <c r="J460" s="30"/>
    </row>
    <row r="461" spans="10:10" s="3" customFormat="1" x14ac:dyDescent="0.25">
      <c r="J461" s="30"/>
    </row>
    <row r="462" spans="10:10" s="3" customFormat="1" x14ac:dyDescent="0.25">
      <c r="J462" s="30"/>
    </row>
    <row r="463" spans="10:10" s="3" customFormat="1" x14ac:dyDescent="0.25">
      <c r="J463" s="30"/>
    </row>
    <row r="464" spans="10:10" s="3" customFormat="1" x14ac:dyDescent="0.25">
      <c r="J464" s="30"/>
    </row>
    <row r="465" spans="10:10" s="3" customFormat="1" x14ac:dyDescent="0.25">
      <c r="J465" s="30"/>
    </row>
    <row r="466" spans="10:10" s="3" customFormat="1" x14ac:dyDescent="0.25">
      <c r="J466" s="30"/>
    </row>
    <row r="467" spans="10:10" s="3" customFormat="1" x14ac:dyDescent="0.25">
      <c r="J467" s="30"/>
    </row>
    <row r="468" spans="10:10" s="3" customFormat="1" x14ac:dyDescent="0.25">
      <c r="J468" s="30"/>
    </row>
    <row r="469" spans="10:10" s="3" customFormat="1" x14ac:dyDescent="0.25">
      <c r="J469" s="30"/>
    </row>
    <row r="470" spans="10:10" s="3" customFormat="1" x14ac:dyDescent="0.25">
      <c r="J470" s="30"/>
    </row>
    <row r="471" spans="10:10" s="3" customFormat="1" x14ac:dyDescent="0.25">
      <c r="J471" s="30"/>
    </row>
    <row r="472" spans="10:10" s="3" customFormat="1" x14ac:dyDescent="0.25">
      <c r="J472" s="30"/>
    </row>
    <row r="473" spans="10:10" s="3" customFormat="1" x14ac:dyDescent="0.25">
      <c r="J473" s="30"/>
    </row>
    <row r="474" spans="10:10" s="3" customFormat="1" x14ac:dyDescent="0.25">
      <c r="J474" s="30"/>
    </row>
    <row r="475" spans="10:10" s="3" customFormat="1" x14ac:dyDescent="0.25">
      <c r="J475" s="30"/>
    </row>
    <row r="476" spans="10:10" s="3" customFormat="1" x14ac:dyDescent="0.25">
      <c r="J476" s="30"/>
    </row>
    <row r="477" spans="10:10" s="3" customFormat="1" x14ac:dyDescent="0.25">
      <c r="J477" s="30"/>
    </row>
    <row r="478" spans="10:10" s="3" customFormat="1" x14ac:dyDescent="0.25">
      <c r="J478" s="30"/>
    </row>
    <row r="479" spans="10:10" s="3" customFormat="1" x14ac:dyDescent="0.25">
      <c r="J479" s="30"/>
    </row>
    <row r="480" spans="10:10" s="3" customFormat="1" x14ac:dyDescent="0.25">
      <c r="J480" s="30"/>
    </row>
    <row r="481" spans="10:10" s="3" customFormat="1" x14ac:dyDescent="0.25">
      <c r="J481" s="30"/>
    </row>
    <row r="482" spans="10:10" s="3" customFormat="1" x14ac:dyDescent="0.25">
      <c r="J482" s="30"/>
    </row>
    <row r="483" spans="10:10" s="3" customFormat="1" x14ac:dyDescent="0.25">
      <c r="J483" s="30"/>
    </row>
    <row r="484" spans="10:10" s="3" customFormat="1" x14ac:dyDescent="0.25">
      <c r="J484" s="30"/>
    </row>
    <row r="485" spans="10:10" s="3" customFormat="1" x14ac:dyDescent="0.25">
      <c r="J485" s="30"/>
    </row>
    <row r="486" spans="10:10" s="3" customFormat="1" x14ac:dyDescent="0.25">
      <c r="J486" s="30"/>
    </row>
    <row r="487" spans="10:10" s="3" customFormat="1" x14ac:dyDescent="0.25">
      <c r="J487" s="30"/>
    </row>
    <row r="488" spans="10:10" s="3" customFormat="1" x14ac:dyDescent="0.25">
      <c r="J488" s="30"/>
    </row>
    <row r="489" spans="10:10" s="3" customFormat="1" x14ac:dyDescent="0.25">
      <c r="J489" s="30"/>
    </row>
    <row r="490" spans="10:10" s="3" customFormat="1" x14ac:dyDescent="0.25">
      <c r="J490" s="30"/>
    </row>
    <row r="491" spans="10:10" s="3" customFormat="1" x14ac:dyDescent="0.25">
      <c r="J491" s="30"/>
    </row>
    <row r="492" spans="10:10" s="3" customFormat="1" x14ac:dyDescent="0.25">
      <c r="J492" s="30"/>
    </row>
    <row r="493" spans="10:10" s="3" customFormat="1" x14ac:dyDescent="0.25">
      <c r="J493" s="30"/>
    </row>
    <row r="494" spans="10:10" s="3" customFormat="1" x14ac:dyDescent="0.25">
      <c r="J494" s="30"/>
    </row>
    <row r="495" spans="10:10" s="3" customFormat="1" x14ac:dyDescent="0.25">
      <c r="J495" s="30"/>
    </row>
    <row r="496" spans="10:10" s="3" customFormat="1" x14ac:dyDescent="0.25">
      <c r="J496" s="30"/>
    </row>
    <row r="497" spans="10:10" s="3" customFormat="1" x14ac:dyDescent="0.25">
      <c r="J497" s="30"/>
    </row>
    <row r="498" spans="10:10" s="3" customFormat="1" x14ac:dyDescent="0.25">
      <c r="J498" s="30"/>
    </row>
    <row r="499" spans="10:10" s="3" customFormat="1" x14ac:dyDescent="0.25">
      <c r="J499" s="30"/>
    </row>
    <row r="500" spans="10:10" s="3" customFormat="1" x14ac:dyDescent="0.25">
      <c r="J500" s="30"/>
    </row>
    <row r="501" spans="10:10" s="3" customFormat="1" x14ac:dyDescent="0.25">
      <c r="J501" s="30"/>
    </row>
    <row r="502" spans="10:10" s="3" customFormat="1" x14ac:dyDescent="0.25">
      <c r="J502" s="30"/>
    </row>
    <row r="503" spans="10:10" s="3" customFormat="1" x14ac:dyDescent="0.25">
      <c r="J503" s="30"/>
    </row>
    <row r="504" spans="10:10" s="3" customFormat="1" x14ac:dyDescent="0.25">
      <c r="J504" s="30"/>
    </row>
    <row r="505" spans="10:10" s="3" customFormat="1" x14ac:dyDescent="0.25">
      <c r="J505" s="30"/>
    </row>
    <row r="506" spans="10:10" s="3" customFormat="1" x14ac:dyDescent="0.25">
      <c r="J506" s="30"/>
    </row>
    <row r="507" spans="10:10" s="3" customFormat="1" x14ac:dyDescent="0.25">
      <c r="J507" s="30"/>
    </row>
    <row r="508" spans="10:10" s="3" customFormat="1" x14ac:dyDescent="0.25">
      <c r="J508" s="30"/>
    </row>
    <row r="509" spans="10:10" s="3" customFormat="1" x14ac:dyDescent="0.25">
      <c r="J509" s="30"/>
    </row>
    <row r="510" spans="10:10" s="3" customFormat="1" x14ac:dyDescent="0.25">
      <c r="J510" s="30"/>
    </row>
    <row r="511" spans="10:10" s="3" customFormat="1" x14ac:dyDescent="0.25">
      <c r="J511" s="30"/>
    </row>
    <row r="512" spans="10:10" s="3" customFormat="1" x14ac:dyDescent="0.25">
      <c r="J512" s="30"/>
    </row>
  </sheetData>
  <sheetProtection algorithmName="SHA-512" hashValue="WJFdu6Rsm1W9dH5AzvjBldnXnH7D8gtFRBWDySiLNnKXQMxMa1hbrsZJgCJxMa3TJsdeeo6/wUiGHO/MwqDI0Q==" saltValue="hFpAj374RzSZp9t0c258DQ==" spinCount="100000" sheet="1" objects="1" scenarios="1"/>
  <mergeCells count="6">
    <mergeCell ref="B2:K2"/>
    <mergeCell ref="I5:K5"/>
    <mergeCell ref="C51:K51"/>
    <mergeCell ref="C53:K53"/>
    <mergeCell ref="C3:E3"/>
    <mergeCell ref="C50:I50"/>
  </mergeCells>
  <hyperlinks>
    <hyperlink ref="B30" r:id="rId1" xr:uid="{8D6C74DA-F08F-459F-9CDB-C70143C01A0F}"/>
    <hyperlink ref="B31" r:id="rId2" xr:uid="{E635BAE8-93DC-4F60-8D40-E213FE7BDC19}"/>
    <hyperlink ref="B32" r:id="rId3" xr:uid="{1F80BA7F-49AA-4004-A870-C26862C6F9F1}"/>
    <hyperlink ref="B33" r:id="rId4" xr:uid="{32215052-79C1-471A-A2C8-1E6904FA867C}"/>
    <hyperlink ref="B34" r:id="rId5" xr:uid="{0FD62A2E-9D5B-4605-8E82-8D852F751D08}"/>
    <hyperlink ref="B35" r:id="rId6" xr:uid="{1C91C54F-521D-40F3-B34D-A59760243A3D}"/>
    <hyperlink ref="B38" r:id="rId7" xr:uid="{804C5C8D-1918-4D7A-9154-DA55910139EF}"/>
  </hyperlinks>
  <printOptions horizontalCentered="1" verticalCentered="1"/>
  <pageMargins left="0.1" right="0.1" top="0.75" bottom="0.25" header="0.3" footer="0.3"/>
  <pageSetup scale="60" orientation="landscape" r:id="rId8"/>
  <headerFooter>
    <oddHeader>&amp;C&amp;"-,Bold"&amp;14Meal Component Calculation Worksheet
Child and Adult Care Food Program</oddHeader>
    <oddFooter>&amp;L&amp;9NC CACFP 03/2023</oddFooter>
  </headerFooter>
  <ignoredErrors>
    <ignoredError sqref="G3" unlockedFormula="1"/>
    <ignoredError sqref="J14 J24 J26 J30 J37 K18" formula="1"/>
  </ignoredErrors>
  <legacy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B2:DF379"/>
  <sheetViews>
    <sheetView showGridLines="0" showRowColHeaders="0" showZeros="0" topLeftCell="A24" zoomScaleNormal="100" workbookViewId="0">
      <selection activeCell="C53" sqref="C53:I53"/>
    </sheetView>
  </sheetViews>
  <sheetFormatPr defaultColWidth="8.85546875" defaultRowHeight="15" x14ac:dyDescent="0.25"/>
  <cols>
    <col min="1" max="1" width="5.7109375" customWidth="1"/>
    <col min="2" max="2" width="36.5703125" customWidth="1"/>
    <col min="3" max="7" width="15.140625" customWidth="1"/>
    <col min="8" max="8" width="20" customWidth="1"/>
    <col min="9" max="9" width="18.28515625" customWidth="1"/>
    <col min="11" max="11" width="22.7109375" customWidth="1"/>
  </cols>
  <sheetData>
    <row r="2" spans="2:110" ht="21" x14ac:dyDescent="0.35">
      <c r="B2" s="244" t="s">
        <v>18</v>
      </c>
      <c r="C2" s="245"/>
      <c r="D2" s="245"/>
      <c r="E2" s="245"/>
      <c r="F2" s="245"/>
      <c r="G2" s="245"/>
      <c r="H2" s="245"/>
      <c r="I2" s="245"/>
      <c r="J2" s="245"/>
      <c r="K2" s="246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</row>
    <row r="3" spans="2:110" ht="18.600000000000001" customHeight="1" x14ac:dyDescent="0.25">
      <c r="B3" s="15" t="s">
        <v>19</v>
      </c>
      <c r="C3" s="266">
        <f>Breakfast!C3</f>
        <v>0</v>
      </c>
      <c r="D3" s="266"/>
      <c r="E3" s="266"/>
      <c r="F3" s="15" t="s">
        <v>14</v>
      </c>
      <c r="G3" s="21">
        <f>Breakfast!G3</f>
        <v>0</v>
      </c>
      <c r="H3" s="1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</row>
    <row r="4" spans="2:110" ht="9.9499999999999993" customHeight="1" thickBot="1" x14ac:dyDescent="0.3"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</row>
    <row r="5" spans="2:110" ht="30.6" customHeight="1" thickBot="1" x14ac:dyDescent="0.3">
      <c r="B5" s="43" t="s">
        <v>0</v>
      </c>
      <c r="C5" s="39" t="s">
        <v>32</v>
      </c>
      <c r="D5" s="39">
        <v>2</v>
      </c>
      <c r="E5" s="40" t="s">
        <v>33</v>
      </c>
      <c r="F5" s="41" t="s">
        <v>51</v>
      </c>
      <c r="G5" s="39" t="s">
        <v>1</v>
      </c>
      <c r="H5" s="42" t="s">
        <v>49</v>
      </c>
      <c r="I5" s="256" t="s">
        <v>48</v>
      </c>
      <c r="J5" s="257"/>
      <c r="K5" s="25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</row>
    <row r="6" spans="2:110" ht="15.75" x14ac:dyDescent="0.25">
      <c r="B6" s="22" t="s">
        <v>22</v>
      </c>
      <c r="C6" s="149"/>
      <c r="D6" s="150"/>
      <c r="E6" s="150"/>
      <c r="F6" s="150"/>
      <c r="G6" s="150"/>
      <c r="H6" s="150"/>
      <c r="I6" s="259"/>
      <c r="J6" s="260"/>
      <c r="K6" s="26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</row>
    <row r="7" spans="2:110" ht="30.75" customHeight="1" thickBot="1" x14ac:dyDescent="0.3">
      <c r="B7" s="31" t="s">
        <v>20</v>
      </c>
      <c r="C7" s="32"/>
      <c r="D7" s="33"/>
      <c r="E7" s="33"/>
      <c r="F7" s="33"/>
      <c r="G7" s="33"/>
      <c r="H7" s="33"/>
      <c r="I7" s="247"/>
      <c r="J7" s="248"/>
      <c r="K7" s="249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</row>
    <row r="8" spans="2:110" ht="16.5" thickBot="1" x14ac:dyDescent="0.3">
      <c r="B8" s="66" t="s">
        <v>2</v>
      </c>
      <c r="C8" s="84"/>
      <c r="D8" s="85"/>
      <c r="E8" s="86"/>
      <c r="F8" s="86"/>
      <c r="G8" s="85"/>
      <c r="H8" s="85"/>
      <c r="I8" s="262"/>
      <c r="J8" s="263"/>
      <c r="K8" s="264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</row>
    <row r="9" spans="2:110" x14ac:dyDescent="0.25">
      <c r="B9" s="56" t="s">
        <v>34</v>
      </c>
      <c r="C9" s="151" t="str">
        <f>IF((C6*4-C11)=0,"",(C6*4-C11))</f>
        <v/>
      </c>
      <c r="D9" s="152"/>
      <c r="E9" s="152"/>
      <c r="F9" s="152"/>
      <c r="G9" s="152"/>
      <c r="H9" s="152"/>
      <c r="I9" s="93" t="str">
        <f>C9</f>
        <v/>
      </c>
      <c r="J9" s="143" t="str">
        <f>IF(OR(I9&lt;8, I9=""), "", "or")</f>
        <v/>
      </c>
      <c r="K9" s="116" t="str">
        <f>IF(OR(I9&lt;8,I9=""),"",IF(I9&lt;32,TEXT(CONVERT(I9,"oz","cup"),"#### ?/? cup"),IF(I9&lt;128,INT(CONVERT(I9,"oz","qt"))&amp;" qt. "&amp;TEXT(CONVERT(MOD(I9,32),"oz","cup"),"##### ?/? cup"),INT(CONVERT(I9,"oz","gal"))&amp;" gal. "&amp;IF((MOD(I9,128))&gt;=32,INT(CONVERT(MOD(I9,128),"oz","qt"))&amp;" qt. "&amp;TEXT(CONVERT(MOD(MOD(I9,128),32),"oz","cup"),"##### ?/? cup"),TEXT(CONVERT(MOD(I9,128),"oz","cup"),"##### ?/? cup")))))</f>
        <v/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</row>
    <row r="10" spans="2:110" ht="13.15" customHeight="1" x14ac:dyDescent="0.25">
      <c r="B10" s="57" t="s">
        <v>12</v>
      </c>
      <c r="C10" s="153"/>
      <c r="D10" s="154" t="str">
        <f>IF((D6*4-D11)=0,"",(D6*4-D11))</f>
        <v/>
      </c>
      <c r="E10" s="154" t="str">
        <f>IF((E6*4-E11)=0,"",(E6*4-E11))</f>
        <v/>
      </c>
      <c r="F10" s="154" t="str">
        <f t="shared" ref="F10:G10" si="0">IF((F6*8-F11)=0,"",(F6*8-F11))</f>
        <v/>
      </c>
      <c r="G10" s="154" t="str">
        <f t="shared" si="0"/>
        <v/>
      </c>
      <c r="H10" s="154" t="str">
        <f t="shared" ref="H10" si="1">IF((H6*8-H11)=0,"",(H6*8-H11))</f>
        <v/>
      </c>
      <c r="I10" s="95" t="str">
        <f>IF(SUM(D10:H10)=0,"",SUM(D10:H10))</f>
        <v/>
      </c>
      <c r="J10" s="69" t="str">
        <f t="shared" ref="J10:J39" si="2">IF(OR(I10&lt;8, I10=""), "", "or")</f>
        <v/>
      </c>
      <c r="K10" s="117" t="str">
        <f>IF(OR(I10&lt;8, I10=""),"",IF(I10&lt;32,TEXT(CONVERT(I10,"oz","cup"), "##### ?/? cup"),IF(I10&lt;128, INT(CONVERT(I10,"oz","qt")) &amp;" qt. "&amp;TEXT(CONVERT(MOD(I10,32),"oz","cup"), "##### ?/? cup"),INT(CONVERT(I10,"oz","gal"))&amp;" gal. "&amp; IF((MOD(I10,128))&gt;=32, INT(CONVERT(MOD(I10,128),"oz","qt")) &amp; " qt. " &amp; TEXT(CONVERT(MOD(MOD(I10,128),32),"oz","cup"),"##### ?/? cup"),TEXT(CONVERT(MOD(I10,128),"oz","cup"),"##### ?/? cup")))))</f>
        <v/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</row>
    <row r="11" spans="2:110" ht="27" hidden="1" customHeight="1" x14ac:dyDescent="0.25">
      <c r="B11" s="57"/>
      <c r="C11" s="25">
        <f>C7*4</f>
        <v>0</v>
      </c>
      <c r="D11" s="26">
        <f t="shared" ref="D11:E11" si="3">D7*4</f>
        <v>0</v>
      </c>
      <c r="E11" s="26">
        <f t="shared" si="3"/>
        <v>0</v>
      </c>
      <c r="F11" s="27">
        <f t="shared" ref="F11:G11" si="4">F7*8</f>
        <v>0</v>
      </c>
      <c r="G11" s="27">
        <f t="shared" si="4"/>
        <v>0</v>
      </c>
      <c r="H11" s="27">
        <f t="shared" ref="H11" si="5">H7*8</f>
        <v>0</v>
      </c>
      <c r="I11" s="155" t="str">
        <f>IF(SUM(D11:G11)=0,"",SUM(D11:G11))</f>
        <v/>
      </c>
      <c r="J11" s="120" t="str">
        <f t="shared" si="2"/>
        <v/>
      </c>
      <c r="K11" s="121" t="str">
        <f t="shared" ref="K11" si="6">IF(OR(I11&lt;8, I11=""),"",IF(I11&lt;32,CONVERT(I11,"oz","cup")&amp;" cup",IF(I11&lt;128, INT(CONVERT(I11,"oz","qt")) &amp;" quart "&amp;CONVERT(MOD(I11,32),"oz","cup")&amp;" cup",INT(CONVERT(I11,"oz","gal"))&amp;" gallon "&amp; IF((MOD(I11,128))&gt;=32, INT(CONVERT(MOD(I11,128),"oz","qt")) &amp; " quart " &amp; CONVERT(MOD(MOD(I11,128),32),"oz","cup") &amp; " cup ",CONVERT(MOD(I11,128),"oz","cup") &amp; " cup"))))</f>
        <v/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</row>
    <row r="12" spans="2:110" x14ac:dyDescent="0.25">
      <c r="B12" s="57" t="s">
        <v>21</v>
      </c>
      <c r="C12" s="156" t="str">
        <f t="shared" ref="C12:D12" si="7">IF(C7*4=0,"",C7*4)</f>
        <v/>
      </c>
      <c r="D12" s="154" t="str">
        <f t="shared" si="7"/>
        <v/>
      </c>
      <c r="E12" s="154" t="str">
        <f>IF(E7*4=0,"",E7*4)</f>
        <v/>
      </c>
      <c r="F12" s="154" t="str">
        <f t="shared" ref="F12:G12" si="8">IF(F7*8=0,"",F7*8)</f>
        <v/>
      </c>
      <c r="G12" s="154" t="str">
        <f t="shared" si="8"/>
        <v/>
      </c>
      <c r="H12" s="154" t="str">
        <f t="shared" ref="H12" si="9">IF(H7*8=0,"",H7*8)</f>
        <v/>
      </c>
      <c r="I12" s="95" t="str">
        <f>IF(SUM(C12:H12)=0,"",SUM(C12:H12))</f>
        <v/>
      </c>
      <c r="J12" s="69" t="str">
        <f t="shared" si="2"/>
        <v/>
      </c>
      <c r="K12" s="117" t="str">
        <f>IF(OR(I12&lt;8, I12=""),"",IF(I12&lt;32,TEXT(CONVERT(I12,"oz","cup"), "##### ?/? cup"),IF(I12&lt;128, INT(CONVERT(I12,"oz","qt")) &amp;" qt. "&amp; TEXT(CONVERT(MOD(I12,32),"oz","cup"), "##### ?/? cup"),INT(CONVERT(I12,"oz","gal"))&amp;" gal. "&amp; IF((MOD(I12,128))&gt;=32, INT(CONVERT(MOD(I12,128),"oz","qt")) &amp; " qt. " &amp; TEXT(CONVERT(MOD(MOD(I12,128),32),"oz","cup"),"##### ?/? cup" ),TEXT(CONVERT(MOD(I12,128),"oz","cup"),"##### ?/? cup" )))))</f>
        <v/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</row>
    <row r="13" spans="2:110" ht="30" customHeight="1" x14ac:dyDescent="0.25">
      <c r="B13" s="132" t="s">
        <v>50</v>
      </c>
      <c r="C13" s="157"/>
      <c r="D13" s="158"/>
      <c r="E13" s="158"/>
      <c r="F13" s="158"/>
      <c r="G13" s="158"/>
      <c r="H13" s="158"/>
      <c r="I13" s="123"/>
      <c r="J13" s="124" t="str">
        <f t="shared" si="2"/>
        <v/>
      </c>
      <c r="K13" s="125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</row>
    <row r="14" spans="2:110" x14ac:dyDescent="0.25">
      <c r="B14" s="59" t="s">
        <v>11</v>
      </c>
      <c r="C14" s="157"/>
      <c r="D14" s="158"/>
      <c r="E14" s="158"/>
      <c r="F14" s="158"/>
      <c r="G14" s="159" t="str">
        <f>IF(G6*(3/4)=0,"",G6*(3/4))</f>
        <v/>
      </c>
      <c r="H14" s="159" t="str">
        <f>IF(H6*(3/4)=0,"",H6*(3/4))</f>
        <v/>
      </c>
      <c r="I14" s="98" t="str">
        <f>IF(SUM(G14:H14)=0,"",SUM(G14:H14))</f>
        <v/>
      </c>
      <c r="J14" s="69" t="str">
        <f>IF(OR(I14&lt;4, I14=""), "", "or")</f>
        <v/>
      </c>
      <c r="K14" s="117" t="str">
        <f>IF(OR(I14="", I14&lt;4),"", IF(I14&gt;=16, INT(CONVERT(I14, "cup","gal")) &amp; " gal. "&amp; IF((MOD(I14,16))&gt;=4, INT(CONVERT(MOD(I14,16),"cup","qt")) &amp; " qt. " &amp; TEXT(MOD(MOD(I14,16),4), "##### ?/? cup"), TEXT(MOD(MOD(I14,16),4), "##### ?/? cup")), INT(CONVERT(I14, "cup","qt"))  &amp; " qt. " &amp; TEXT(MOD(I14, 4), "##### ?/? cup")))</f>
        <v/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</row>
    <row r="15" spans="2:110" ht="15.75" thickBot="1" x14ac:dyDescent="0.3">
      <c r="B15" s="60" t="s">
        <v>10</v>
      </c>
      <c r="C15" s="160"/>
      <c r="D15" s="161"/>
      <c r="E15" s="161"/>
      <c r="F15" s="161"/>
      <c r="G15" s="162" t="str">
        <f>IF(G6*6=0,"",G6*6)</f>
        <v/>
      </c>
      <c r="H15" s="162" t="str">
        <f>IF(H6*6=0,"",H6*6)</f>
        <v/>
      </c>
      <c r="I15" s="100" t="str">
        <f>IF(SUM(G15:H15)=0,"",SUM(G15:H15))</f>
        <v/>
      </c>
      <c r="J15" s="70" t="str">
        <f>IF(OR(I15="",I15&lt;16),"","or")</f>
        <v/>
      </c>
      <c r="K15" s="118" t="str">
        <f>IF(OR(I15="",I15&lt;16),"",INT(CONVERT(I15,"ozm","lbm"))&amp;" lb. "&amp;IF(MOD(I15,16)=0,"",TEXT(MOD(I15,16),"0.0 oz.")))</f>
        <v/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</row>
    <row r="16" spans="2:110" x14ac:dyDescent="0.25">
      <c r="B16" s="44" t="s">
        <v>15</v>
      </c>
      <c r="C16" s="163"/>
      <c r="D16" s="152"/>
      <c r="E16" s="152"/>
      <c r="F16" s="152"/>
      <c r="G16" s="152"/>
      <c r="H16" s="152"/>
      <c r="I16" s="126"/>
      <c r="J16" s="127"/>
      <c r="K16" s="128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</row>
    <row r="17" spans="2:110" x14ac:dyDescent="0.25">
      <c r="B17" s="46" t="s">
        <v>3</v>
      </c>
      <c r="C17" s="164" t="str">
        <f>IF(C6*0.5=0,"",C6*0.5)</f>
        <v/>
      </c>
      <c r="D17" s="165" t="str">
        <f>IF(D6*0.5=0,"",D6*0.5)</f>
        <v/>
      </c>
      <c r="E17" s="165" t="str">
        <f>IF(E6*0.5=0,"",E6*0.5)</f>
        <v/>
      </c>
      <c r="F17" s="166" t="str">
        <f>IF(F6*1=0,"",F6*1)</f>
        <v/>
      </c>
      <c r="G17" s="166" t="str">
        <f>IF(G6*1=0,"",G6*1)</f>
        <v/>
      </c>
      <c r="H17" s="166" t="str">
        <f>IF(H6*1=0,"",H6*1)</f>
        <v/>
      </c>
      <c r="I17" s="102" t="str">
        <f t="shared" ref="I17:I22" si="10">IF(SUM(C17:H17)=0,"",SUM(C17:H17))</f>
        <v/>
      </c>
      <c r="J17" s="69" t="str">
        <f>IF(OR(I17="",I17&lt;16),"","or")</f>
        <v/>
      </c>
      <c r="K17" s="117" t="str">
        <f>IF(OR(I17="",I17&lt;16),"",INT(CONVERT(I17,"ozm","lbm")) &amp; " lb. " &amp; IF(MOD(I17,16)=0, "", TEXT((MOD(I17,16)), "0.0 oz.")))</f>
        <v/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</row>
    <row r="18" spans="2:110" x14ac:dyDescent="0.25">
      <c r="B18" s="46" t="s">
        <v>56</v>
      </c>
      <c r="C18" s="164" t="str">
        <f>IF(C6*1.1=0,"",C6*1.1)</f>
        <v/>
      </c>
      <c r="D18" s="165" t="str">
        <f t="shared" ref="D18:E18" si="11">IF(D6*1.1=0,"",D6*1.1)</f>
        <v/>
      </c>
      <c r="E18" s="165" t="str">
        <f t="shared" si="11"/>
        <v/>
      </c>
      <c r="F18" s="165" t="str">
        <f t="shared" ref="F18:G18" si="12">IF(F6*2.2=0,"",F6*2.2)</f>
        <v/>
      </c>
      <c r="G18" s="165" t="str">
        <f t="shared" si="12"/>
        <v/>
      </c>
      <c r="H18" s="165" t="str">
        <f t="shared" ref="H18" si="13">IF(H6*2.2=0,"",H6*2.2)</f>
        <v/>
      </c>
      <c r="I18" s="102" t="str">
        <f t="shared" si="10"/>
        <v/>
      </c>
      <c r="J18" s="69" t="str">
        <f>IF(OR(I18="",I18&lt;16),"","or")</f>
        <v/>
      </c>
      <c r="K18" s="117" t="str">
        <f>IF(OR(I18="",I18&lt;16),"",INT(CONVERT(I18,"ozm","lbm")) &amp; " lb. " &amp; IF(MOD(I18,16)=0, "", TEXT(MOD(I18,16), "0.0 oz.")))</f>
        <v/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</row>
    <row r="19" spans="2:110" x14ac:dyDescent="0.25">
      <c r="B19" s="46" t="s">
        <v>57</v>
      </c>
      <c r="C19" s="164" t="str">
        <f>IF(C6*0.5=0,"",C6*0.5)</f>
        <v/>
      </c>
      <c r="D19" s="165" t="str">
        <f>IF(D6*0.5=0,"",D6*0.5)</f>
        <v/>
      </c>
      <c r="E19" s="165" t="str">
        <f>IF(E6*0.5=0,"",E6*0.5)</f>
        <v/>
      </c>
      <c r="F19" s="166" t="str">
        <f t="shared" ref="F19:G19" si="14">IF(F6*1=0,"",F6*1)</f>
        <v/>
      </c>
      <c r="G19" s="166" t="str">
        <f t="shared" si="14"/>
        <v/>
      </c>
      <c r="H19" s="166" t="str">
        <f t="shared" ref="H19" si="15">IF(H6*1=0,"",H6*1)</f>
        <v/>
      </c>
      <c r="I19" s="102" t="str">
        <f t="shared" si="10"/>
        <v/>
      </c>
      <c r="J19" s="69" t="str">
        <f>IF(OR(I19="", I19&lt;16), "","or")</f>
        <v/>
      </c>
      <c r="K19" s="117" t="str">
        <f>IF(OR(I19="",I19&lt;16),"",INT(CONVERT(I19,"ozm","lbm")) &amp; " lb. " &amp; IF(MOD(I19,16)=0, "", TEXT((MOD(I19,16)), "0.0 oz.")))</f>
        <v/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</row>
    <row r="20" spans="2:110" x14ac:dyDescent="0.25">
      <c r="B20" s="46" t="s">
        <v>4</v>
      </c>
      <c r="C20" s="167" t="str">
        <f>IF(C6*0.5=0,"",C6*0.5)</f>
        <v/>
      </c>
      <c r="D20" s="168" t="str">
        <f>IF(D6*0.5=0,"",D6*0.5)</f>
        <v/>
      </c>
      <c r="E20" s="168" t="str">
        <f>IF(E6*0.5=0,"",E6*0.5)</f>
        <v/>
      </c>
      <c r="F20" s="168" t="str">
        <f t="shared" ref="F20:G20" si="16">IF(F6*0.5=0,"",F6*0.5)</f>
        <v/>
      </c>
      <c r="G20" s="168" t="str">
        <f t="shared" si="16"/>
        <v/>
      </c>
      <c r="H20" s="168" t="str">
        <f t="shared" ref="H20" si="17">IF(H6*0.5=0,"",H6*0.5)</f>
        <v/>
      </c>
      <c r="I20" s="104" t="str">
        <f t="shared" si="10"/>
        <v/>
      </c>
      <c r="J20" s="69" t="str">
        <f>IF(OR(I20="",I20&lt;12),"","or")</f>
        <v/>
      </c>
      <c r="K20" s="117" t="str">
        <f>IF(OR(I20="", I20=0),"",IF(12&lt;=I20, IF(MOD(I20,12)&lt;&gt;0, QUOTIENT(I20,12) &amp; " dozen " &amp; TEXT(MOD(I20,12),"## ?/?") &amp; " egg", QUOTIENT(I20,12) &amp; " dozen"), ""))</f>
        <v/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</row>
    <row r="21" spans="2:110" x14ac:dyDescent="0.25">
      <c r="B21" s="47" t="s">
        <v>5</v>
      </c>
      <c r="C21" s="169" t="str">
        <f>IF(C6*(1/8)=0,"",C6*(1/8))</f>
        <v/>
      </c>
      <c r="D21" s="159" t="str">
        <f t="shared" ref="D21:E21" si="18">IF(D6*(1/8)=0,"",D6*(1/8))</f>
        <v/>
      </c>
      <c r="E21" s="159" t="str">
        <f t="shared" si="18"/>
        <v/>
      </c>
      <c r="F21" s="159" t="str">
        <f>IF(F6*0.25=0,"",F6*0.25)</f>
        <v/>
      </c>
      <c r="G21" s="159" t="str">
        <f>IF(G6*0.25=0,"",G6*0.25)</f>
        <v/>
      </c>
      <c r="H21" s="159" t="str">
        <f>IF(H6*0.25=0,"",H6*0.25)</f>
        <v/>
      </c>
      <c r="I21" s="98" t="str">
        <f t="shared" si="10"/>
        <v/>
      </c>
      <c r="J21" s="69" t="str">
        <f>IF(OR(I21="",I21&lt;4), "","or")</f>
        <v/>
      </c>
      <c r="K21" s="117" t="str">
        <f>IF(OR(I21="", I21&lt;4),"", IF(I21&gt;=16, INT(CONVERT(I21, "cup","gal")) &amp; " gal. "&amp; IF((MOD(I21,16))&gt;=4, INT(CONVERT(MOD(I21,16),"cup","qt")) &amp; " qt. " &amp; TEXT(MOD(MOD(I21,16),4), "##### ?/? cup"), TEXT(MOD(MOD(I21,16),4), "##### ?/? cup")), INT(CONVERT(I21, "cup","qt"))  &amp; " qt. " &amp; TEXT(MOD(I21, 4), "##### ?/? cup")))</f>
        <v/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</row>
    <row r="22" spans="2:110" ht="30.75" customHeight="1" x14ac:dyDescent="0.25">
      <c r="B22" s="47" t="s">
        <v>6</v>
      </c>
      <c r="C22" s="170" t="str">
        <f>IF(C6*1=0,"",C6*1)</f>
        <v/>
      </c>
      <c r="D22" s="171" t="str">
        <f t="shared" ref="D22:E22" si="19">IF(D6*1=0,"",D6*1)</f>
        <v/>
      </c>
      <c r="E22" s="171" t="str">
        <f t="shared" si="19"/>
        <v/>
      </c>
      <c r="F22" s="171" t="str">
        <f t="shared" ref="F22:G22" si="20">IF(F6*(2)=0,"",F6*2)</f>
        <v/>
      </c>
      <c r="G22" s="171" t="str">
        <f t="shared" si="20"/>
        <v/>
      </c>
      <c r="H22" s="171" t="str">
        <f t="shared" ref="H22" si="21">IF(H6*(2)=0,"",H6*2)</f>
        <v/>
      </c>
      <c r="I22" s="106" t="str">
        <f t="shared" si="10"/>
        <v/>
      </c>
      <c r="J22" s="69" t="str">
        <f>IF(OR(I22&lt;4, I22=""), "", "or")</f>
        <v/>
      </c>
      <c r="K22" s="117" t="str">
        <f>IF(OR(I22="",I22&lt;4),"",IF(I22&lt;64,IF(MOD(I22,4)=0,TEXT(CONVERT(I22,"tbs","cup"),"#### ?/? cup"),TEXT(CONVERT(I22-MOD(I22,4),"tbs","cup"),"#### ?/? cup ")&amp;MOD(I22,4)&amp;" Tbsp."),
(INT(I22/64)&amp;" qt. " &amp; IF(MOD(I22,64)&lt;4, MOD(I22,64) &amp; " Tbsp.",TEXT(CONVERT((MOD(I22,64)-MOD(MOD(I22,64),4)),"tbs","cup"),"#### ?/? cup ")  &amp; MOD(MOD(I22,64),4) &amp; " Tbsp."))))</f>
        <v/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</row>
    <row r="23" spans="2:110" x14ac:dyDescent="0.25">
      <c r="B23" s="47" t="s">
        <v>36</v>
      </c>
      <c r="C23" s="153"/>
      <c r="D23" s="205"/>
      <c r="E23" s="89"/>
      <c r="F23" s="89"/>
      <c r="G23" s="205"/>
      <c r="H23" s="205"/>
      <c r="I23" s="129"/>
      <c r="J23" s="130"/>
      <c r="K23" s="131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</row>
    <row r="24" spans="2:110" x14ac:dyDescent="0.25">
      <c r="B24" s="48" t="s">
        <v>11</v>
      </c>
      <c r="C24" s="169" t="str">
        <f>IF(C6*0.25=0,"",C6*0.25)</f>
        <v/>
      </c>
      <c r="D24" s="159" t="str">
        <f t="shared" ref="D24:E24" si="22">IF(D6*0.25=0,"",D6*0.25)</f>
        <v/>
      </c>
      <c r="E24" s="159" t="str">
        <f t="shared" si="22"/>
        <v/>
      </c>
      <c r="F24" s="159" t="str">
        <f t="shared" ref="F24:G24" si="23">IF(F6*0.5=0,"",F6*0.5)</f>
        <v/>
      </c>
      <c r="G24" s="159" t="str">
        <f t="shared" si="23"/>
        <v/>
      </c>
      <c r="H24" s="159" t="str">
        <f t="shared" ref="H24" si="24">IF(H6*0.5=0,"",H6*0.5)</f>
        <v/>
      </c>
      <c r="I24" s="98" t="str">
        <f>IF(SUM(C24:H24)=0,"",SUM(C24:H24))</f>
        <v/>
      </c>
      <c r="J24" s="69" t="str">
        <f>IF(OR(I24&lt;4, I24=""), "", "or")</f>
        <v/>
      </c>
      <c r="K24" s="117" t="str">
        <f>IF(OR(I24="", I24&lt;4),"", IF(I24&gt;=16, INT(CONVERT(I24, "cup","gal")) &amp; " gal. "&amp; IF((MOD(I24,16))&gt;=4, INT(CONVERT(MOD(I24,16),"cup","qt")) &amp; " qt. " &amp; TEXT(MOD(MOD(I24,16),4), "##### ?/? cup"), TEXT(MOD(MOD(I24,16),4), "##### ?/? cup")), INT(CONVERT(I24, "cup","qt"))  &amp; " qt. " &amp; TEXT(MOD(I24, 4), "##### ?/? cup")))</f>
        <v/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</row>
    <row r="25" spans="2:110" x14ac:dyDescent="0.25">
      <c r="B25" s="48" t="s">
        <v>10</v>
      </c>
      <c r="C25" s="203" t="str">
        <f>IF(C6*2=0,"",C6*2)</f>
        <v/>
      </c>
      <c r="D25" s="166" t="str">
        <f t="shared" ref="D25:E25" si="25">IF(D6*2=0,"",D6*2)</f>
        <v/>
      </c>
      <c r="E25" s="166" t="str">
        <f t="shared" si="25"/>
        <v/>
      </c>
      <c r="F25" s="166" t="str">
        <f t="shared" ref="F25:G25" si="26">IF(F6*4=0,"",F6*4)</f>
        <v/>
      </c>
      <c r="G25" s="166" t="str">
        <f t="shared" si="26"/>
        <v/>
      </c>
      <c r="H25" s="166" t="str">
        <f t="shared" ref="H25" si="27">IF(H6*4=0,"",H6*4)</f>
        <v/>
      </c>
      <c r="I25" s="133" t="str">
        <f>IF(SUM(C25:H25)=0,"",SUM(C25:H25))</f>
        <v/>
      </c>
      <c r="J25" s="69" t="str">
        <f>IF(OR(I25&lt;16, I25=""), "", "or")</f>
        <v/>
      </c>
      <c r="K25" s="117" t="str">
        <f>IF(OR(I25="", I25&lt;16), "",INT(CONVERT(I25,"ozm","lbm")) &amp; " lb. " &amp; IF(MOD(I25,16)=0, "", TEXT(MOD(I25,16), "0 oz.")))</f>
        <v/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</row>
    <row r="26" spans="2:110" ht="15" customHeight="1" thickBot="1" x14ac:dyDescent="0.3">
      <c r="B26" s="49" t="s">
        <v>13</v>
      </c>
      <c r="C26" s="206" t="str">
        <f>IF(C6*0.5=0,"",C6*0.5)</f>
        <v/>
      </c>
      <c r="D26" s="207" t="str">
        <f>IF(D6*0.5=0,"",D6*0.5)</f>
        <v/>
      </c>
      <c r="E26" s="207" t="str">
        <f>IF(E6*(0.5)=0,"",E6*(0.5))</f>
        <v/>
      </c>
      <c r="F26" s="207" t="str">
        <f>IF(F6*1=0,"",F6*1)</f>
        <v/>
      </c>
      <c r="G26" s="207" t="str">
        <f>IF(G6*1=0,"",G6*1)</f>
        <v/>
      </c>
      <c r="H26" s="207" t="str">
        <f>IF(H6*1=0,"",H6*1)</f>
        <v/>
      </c>
      <c r="I26" s="134" t="str">
        <f>IF(SUM(C26:H26)=0,"",SUM(C26:H26))</f>
        <v/>
      </c>
      <c r="J26" s="144" t="str">
        <f>IF(OR(I26&lt;16, I26=""), "", "or")</f>
        <v/>
      </c>
      <c r="K26" s="119" t="str">
        <f>IF(OR(I26="", I26&lt;16),"",INT(CONVERT(I26,"ozm","lbm")) &amp; " lb. " &amp; IF(MOD(I26,16)=0, "", TEXT((MOD(I26,16)), "0.00 oz.")))</f>
        <v/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</row>
    <row r="27" spans="2:110" ht="15.75" thickBot="1" x14ac:dyDescent="0.3">
      <c r="B27" s="61" t="s">
        <v>7</v>
      </c>
      <c r="C27" s="209" t="str">
        <f>IF(C6*(0.5)=0,"",C6*(0.5))</f>
        <v/>
      </c>
      <c r="D27" s="210" t="str">
        <f>IF(D6*(0.5)=0,"",D6*(0.5))</f>
        <v/>
      </c>
      <c r="E27" s="210" t="str">
        <f>IF(E6*(0.5)=0,"",E6*(0.5))</f>
        <v/>
      </c>
      <c r="F27" s="210" t="str">
        <f>IF(F6*(0.75)=0,"",F6*0.75)</f>
        <v/>
      </c>
      <c r="G27" s="210" t="str">
        <f>IF(G6*(0.5)=0,"",G6*(0.5))</f>
        <v/>
      </c>
      <c r="H27" s="210" t="str">
        <f>IF(H6*(0.5)=0,"",H6*(0.5))</f>
        <v/>
      </c>
      <c r="I27" s="110" t="str">
        <f>IF(SUM(C27:H27)=0,"",SUM(C27:H27))</f>
        <v/>
      </c>
      <c r="J27" s="71" t="str">
        <f>IF(OR(I27&lt;4, I27=""), "", "or")</f>
        <v/>
      </c>
      <c r="K27" s="72" t="str">
        <f>IF(OR(I27="", I27&lt;4),"", IF(I27&gt;=16, INT(CONVERT(I27, "cup","gal")) &amp; " gal. "&amp; IF((MOD(I27,16))&gt;=4, INT(CONVERT(MOD(I27,16),"cup","qt")) &amp; " qt. " &amp; TEXT(MOD(MOD(I27,16),4), "##### ?/? cup"), TEXT(MOD(MOD(I27,16),4), "##### ?/? cup")), INT(CONVERT(I27, "cup","qt"))  &amp; " qt. " &amp; TEXT(MOD(I27, 4), "##### ?/? cup")))</f>
        <v/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</row>
    <row r="28" spans="2:110" ht="15.75" thickBot="1" x14ac:dyDescent="0.3">
      <c r="B28" s="50" t="s">
        <v>72</v>
      </c>
      <c r="C28" s="209" t="str">
        <f>IF(C6*(0.5)=0,"",C6*(0.5))</f>
        <v/>
      </c>
      <c r="D28" s="210" t="str">
        <f t="shared" ref="D28:E28" si="28">IF(D6*(0.5)=0,"",D6*(0.5))</f>
        <v/>
      </c>
      <c r="E28" s="210" t="str">
        <f t="shared" si="28"/>
        <v/>
      </c>
      <c r="F28" s="210" t="str">
        <f>IF(F6*(3/4)=0,"",F6*0.75)</f>
        <v/>
      </c>
      <c r="G28" s="210" t="str">
        <f>IF(G6*(0.5)=0,"",G6*0.5)</f>
        <v/>
      </c>
      <c r="H28" s="210" t="str">
        <f>IF(H6*(0.5)=0,"",H6*0.5)</f>
        <v/>
      </c>
      <c r="I28" s="110" t="str">
        <f>IF(SUM(C28:H28)=0,"",SUM(C28:H28))</f>
        <v/>
      </c>
      <c r="J28" s="71" t="str">
        <f>IF(OR(I28&lt;4, I28=""), "", "or")</f>
        <v/>
      </c>
      <c r="K28" s="72" t="str">
        <f>IF(OR(I28="", I28&lt;4),"", IF(I28&gt;=16, INT(CONVERT(I28, "cup","gal")) &amp; " gal. "&amp; IF((MOD(I28,16))&gt;=4, INT(CONVERT(MOD(I28,16),"cup","qt")) &amp; " qt. " &amp; TEXT(MOD(MOD(I28,16),4), "##### ?/? cup"), TEXT(MOD(MOD(I28,16),4), "##### ?/? cup")), INT(CONVERT(I28, "cup","qt"))  &amp; " qt. " &amp; TEXT(MOD(I28, 4), "##### ?/? cup")))</f>
        <v/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</row>
    <row r="29" spans="2:110" x14ac:dyDescent="0.25">
      <c r="B29" s="62" t="s">
        <v>23</v>
      </c>
      <c r="C29" s="163"/>
      <c r="D29" s="152"/>
      <c r="E29" s="152"/>
      <c r="F29" s="152"/>
      <c r="G29" s="152"/>
      <c r="H29" s="152"/>
      <c r="I29" s="126"/>
      <c r="J29" s="127"/>
      <c r="K29" s="128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</row>
    <row r="30" spans="2:110" x14ac:dyDescent="0.25">
      <c r="B30" s="239" t="s">
        <v>38</v>
      </c>
      <c r="C30" s="164" t="str">
        <f>IF(0.4*C6=0,"",0.4*C6)</f>
        <v/>
      </c>
      <c r="D30" s="165" t="str">
        <f>IF(0.4*D6=0,"",0.4*D6)</f>
        <v/>
      </c>
      <c r="E30" s="165" t="str">
        <f>IF(0.4*E6=0,"",0.4*E6)</f>
        <v/>
      </c>
      <c r="F30" s="165" t="str">
        <f>IF(0.8*F6=0,"",0.8*F6)</f>
        <v/>
      </c>
      <c r="G30" s="165" t="str">
        <f>IF(0.8*G6=0,"",0.8*G6)</f>
        <v/>
      </c>
      <c r="H30" s="165" t="str">
        <f>IF(0.8*H6=0,"",0.8*H6)</f>
        <v/>
      </c>
      <c r="I30" s="102" t="str">
        <f>IF(SUM(C30:H30)=0,"",SUM(C30:H30))</f>
        <v/>
      </c>
      <c r="J30" s="69" t="str">
        <f>IF(OR(I30&lt;16, I30=""), "", "or")</f>
        <v/>
      </c>
      <c r="K30" s="117" t="str">
        <f>IF(OR(I30="",I30&lt;16),"",INT(CONVERT(I30,"ozm","lbm"))&amp;" lb. "&amp;IF(MOD(I30,16)=0,"",TEXT(MOD(I30,16), "0.0 oz.")))</f>
        <v/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</row>
    <row r="31" spans="2:110" x14ac:dyDescent="0.25">
      <c r="B31" s="239" t="s">
        <v>39</v>
      </c>
      <c r="C31" s="164" t="str">
        <f>IF(C6*0.5=0,"",C6*0.5)</f>
        <v/>
      </c>
      <c r="D31" s="165" t="str">
        <f>IF(D6*0.5=0,"",D6*0.5)</f>
        <v/>
      </c>
      <c r="E31" s="165" t="str">
        <f>IF(E6*0.5=0,"",0.5*E6)</f>
        <v/>
      </c>
      <c r="F31" s="165" t="str">
        <f>IF(F6*1=0,"",F6*1)</f>
        <v/>
      </c>
      <c r="G31" s="165" t="str">
        <f>IF(G6*1=0,"",G6*1)</f>
        <v/>
      </c>
      <c r="H31" s="165" t="str">
        <f>IF(H6*1=0,"",H6*1)</f>
        <v/>
      </c>
      <c r="I31" s="102" t="str">
        <f>IF(SUM(C31:H31)=0,"",SUM(C31:H31))</f>
        <v/>
      </c>
      <c r="J31" s="69" t="str">
        <f t="shared" ref="J31:J34" si="29">IF(OR(I31&lt;16, I31=""), "", "or")</f>
        <v/>
      </c>
      <c r="K31" s="117" t="str">
        <f>IF(OR(I31="",I31&lt;16),"",INT(CONVERT(I31,"ozm","lbm"))&amp;" lb. "&amp;IF(MOD(I31,16)=0,"",TEXT(MOD(I31,16), "0.0 oz.")))</f>
        <v/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</row>
    <row r="32" spans="2:110" x14ac:dyDescent="0.25">
      <c r="B32" s="239" t="s">
        <v>40</v>
      </c>
      <c r="C32" s="164" t="str">
        <f>IF(C6*0.6=0,"",C6*0.6)</f>
        <v/>
      </c>
      <c r="D32" s="165" t="str">
        <f>IF(D6*0.6=0,"",D6*0.6)</f>
        <v/>
      </c>
      <c r="E32" s="165" t="str">
        <f>IF(E6*0.6=0,"",E6*0.6)</f>
        <v/>
      </c>
      <c r="F32" s="165" t="str">
        <f t="shared" ref="F32:G32" si="30">IF(F6*1.2=0,"",F6*1.2)</f>
        <v/>
      </c>
      <c r="G32" s="165" t="str">
        <f t="shared" si="30"/>
        <v/>
      </c>
      <c r="H32" s="165" t="str">
        <f t="shared" ref="H32" si="31">IF(H6*1.2=0,"",H6*1.2)</f>
        <v/>
      </c>
      <c r="I32" s="102" t="str">
        <f>IF(SUM(C32:H32)=0,"",SUM(C32:H32))</f>
        <v/>
      </c>
      <c r="J32" s="69" t="str">
        <f t="shared" si="29"/>
        <v/>
      </c>
      <c r="K32" s="117" t="str">
        <f>IF(OR(I32="",I32&lt;16),"",INT(CONVERT(I32,"ozm","lbm"))&amp;" lb. "&amp;IF(MOD(I32,16)=0,"",TEXT(MOD(I32,16), "0.0 oz.")))</f>
        <v/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</row>
    <row r="33" spans="2:110" x14ac:dyDescent="0.25">
      <c r="B33" s="239" t="s">
        <v>42</v>
      </c>
      <c r="C33" s="164" t="str">
        <f>IF(C6*1=0,"",C6*1)</f>
        <v/>
      </c>
      <c r="D33" s="165" t="str">
        <f t="shared" ref="D33:E33" si="32">IF(D6*1=0,"",D6*1)</f>
        <v/>
      </c>
      <c r="E33" s="165" t="str">
        <f t="shared" si="32"/>
        <v/>
      </c>
      <c r="F33" s="165" t="str">
        <f t="shared" ref="F33:G33" si="33">IF(F6*2=0,"",F6*2)</f>
        <v/>
      </c>
      <c r="G33" s="165" t="str">
        <f t="shared" si="33"/>
        <v/>
      </c>
      <c r="H33" s="165" t="str">
        <f t="shared" ref="H33" si="34">IF(H6*2=0,"",H6*2)</f>
        <v/>
      </c>
      <c r="I33" s="102" t="str">
        <f>IF(SUM(C33:H33)=0,"",SUM(C33:H33))</f>
        <v/>
      </c>
      <c r="J33" s="69" t="str">
        <f t="shared" si="29"/>
        <v/>
      </c>
      <c r="K33" s="117" t="str">
        <f>IF(OR(I33="",I33&lt;16),"",INT(CONVERT(I33,"ozm","lbm"))&amp;" lb. "&amp;IF(MOD(I33,16)=0,"",TEXT(MOD(I33,16), "0.0 oz.")))</f>
        <v/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</row>
    <row r="34" spans="2:110" x14ac:dyDescent="0.25">
      <c r="B34" s="239" t="s">
        <v>44</v>
      </c>
      <c r="C34" s="164" t="str">
        <f>IF(C6*1.2=0,"",C6*1.2)</f>
        <v/>
      </c>
      <c r="D34" s="165" t="str">
        <f t="shared" ref="D34:E34" si="35">IF(D6*1.2=0,"",D6*1.2)</f>
        <v/>
      </c>
      <c r="E34" s="165" t="str">
        <f t="shared" si="35"/>
        <v/>
      </c>
      <c r="F34" s="165" t="str">
        <f t="shared" ref="F34:G34" si="36">IF(F6*2.4=0,"",F6*2.4)</f>
        <v/>
      </c>
      <c r="G34" s="165" t="str">
        <f t="shared" si="36"/>
        <v/>
      </c>
      <c r="H34" s="165" t="str">
        <f t="shared" ref="H34" si="37">IF(H6*2.4=0,"",H6*2.4)</f>
        <v/>
      </c>
      <c r="I34" s="102" t="str">
        <f>IF(SUM(C34:H34)=0,"",SUM(C34:H34))</f>
        <v/>
      </c>
      <c r="J34" s="69" t="str">
        <f t="shared" si="29"/>
        <v/>
      </c>
      <c r="K34" s="117" t="str">
        <f>IF(OR(I34="",I34&lt;16),"",INT(CONVERT(I34,"ozm","lbm"))&amp;" lb. "&amp;IF(MOD(I34,16)=0,"",TEXT(MOD(I34,16), "0.0 oz.")))</f>
        <v/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</row>
    <row r="35" spans="2:110" x14ac:dyDescent="0.25">
      <c r="B35" s="239" t="s">
        <v>41</v>
      </c>
      <c r="C35" s="153"/>
      <c r="D35" s="205"/>
      <c r="E35" s="205"/>
      <c r="F35" s="205"/>
      <c r="G35" s="205"/>
      <c r="H35" s="205"/>
      <c r="I35" s="129"/>
      <c r="J35" s="130"/>
      <c r="K35" s="131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</row>
    <row r="36" spans="2:110" x14ac:dyDescent="0.25">
      <c r="B36" s="63" t="s">
        <v>8</v>
      </c>
      <c r="C36" s="169" t="str">
        <f>IF(C6*0.25=0,"",C6*0.25)</f>
        <v/>
      </c>
      <c r="D36" s="159" t="str">
        <f>IF(D6*0.25=0,"",D6*0.25)</f>
        <v/>
      </c>
      <c r="E36" s="159" t="str">
        <f>IF(E6*0.25=0,"",E6*0.25)</f>
        <v/>
      </c>
      <c r="F36" s="159" t="str">
        <f>IF(F6*0.5=0,"",F6*0.5)</f>
        <v/>
      </c>
      <c r="G36" s="159" t="str">
        <f>IF(G6*0.5=0,"",G6*0.5)</f>
        <v/>
      </c>
      <c r="H36" s="159" t="str">
        <f>IF(H6*0.5=0,"",H6*0.5)</f>
        <v/>
      </c>
      <c r="I36" s="98" t="str">
        <f>IF(SUM(C36:H36)=0,"",SUM(C36:H36))</f>
        <v/>
      </c>
      <c r="J36" s="69" t="str">
        <f>IF(OR(I36&lt;4, I36=""), "", "or")</f>
        <v/>
      </c>
      <c r="K36" s="117" t="str">
        <f>IF(OR(I36="", I36&lt;4),"", IF(I36&gt;=16, INT(CONVERT(I36, "cup","gal")) &amp; " gal. "&amp; IF((MOD(I36,16))&gt;=4, INT(CONVERT(MOD(I36,16),"cup","qt")) &amp; " qt. " &amp; TEXT(MOD(MOD(I36,16),4), "##### ?/? cup"), TEXT(MOD(MOD(I36,16),4), "##### ?/? cup")), INT(CONVERT(I36, "cup","qt"))  &amp; " qt. " &amp; TEXT(MOD(I36, 4), "##### ?/? cup")))</f>
        <v/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</row>
    <row r="37" spans="2:110" x14ac:dyDescent="0.25">
      <c r="B37" s="63" t="s">
        <v>9</v>
      </c>
      <c r="C37" s="212" t="str">
        <f>IF(C6*28*(1/2)=0,"",C6*28*(1/2))</f>
        <v/>
      </c>
      <c r="D37" s="213" t="str">
        <f t="shared" ref="D37:E37" si="38">IF(D6*28*(1/2)=0,"",D6*28*(1/2))</f>
        <v/>
      </c>
      <c r="E37" s="213" t="str">
        <f t="shared" si="38"/>
        <v/>
      </c>
      <c r="F37" s="213" t="str">
        <f t="shared" ref="F37:G37" si="39">IF(F6*28=0,"",F6*28)</f>
        <v/>
      </c>
      <c r="G37" s="213" t="str">
        <f t="shared" si="39"/>
        <v/>
      </c>
      <c r="H37" s="217" t="str">
        <f t="shared" ref="H37" si="40">IF(H6*28=0,"",H6*28)</f>
        <v/>
      </c>
      <c r="I37" s="112" t="str">
        <f>IF(SUM(C37:H37)=0,"",SUM(C37:H37))</f>
        <v/>
      </c>
      <c r="J37" s="69" t="str">
        <f>IF(I37="", "", "or")</f>
        <v/>
      </c>
      <c r="K37" s="117" t="str">
        <f>IF(I37="","",IF(I37&gt;=453.6, INT(ROUND(I37/28.34952,0)/16) &amp; " lb." &amp; TEXT(MOD(I37/28.34952,16), " 0.00 oz.") &amp; "***",TEXT((CONVERT(I37,"g","ozm"))," 0.00 oz.") &amp; "***"))</f>
        <v/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</row>
    <row r="38" spans="2:110" x14ac:dyDescent="0.25">
      <c r="B38" s="240" t="s">
        <v>46</v>
      </c>
      <c r="C38" s="153"/>
      <c r="D38" s="205"/>
      <c r="E38" s="205"/>
      <c r="F38" s="205"/>
      <c r="G38" s="205"/>
      <c r="H38" s="205"/>
      <c r="I38" s="129"/>
      <c r="J38" s="130" t="str">
        <f t="shared" si="2"/>
        <v/>
      </c>
      <c r="K38" s="131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</row>
    <row r="39" spans="2:110" x14ac:dyDescent="0.25">
      <c r="B39" s="57" t="s">
        <v>27</v>
      </c>
      <c r="C39" s="153"/>
      <c r="D39" s="214"/>
      <c r="E39" s="205"/>
      <c r="F39" s="205"/>
      <c r="G39" s="205"/>
      <c r="H39" s="205"/>
      <c r="I39" s="129"/>
      <c r="J39" s="130" t="str">
        <f t="shared" si="2"/>
        <v/>
      </c>
      <c r="K39" s="131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</row>
    <row r="40" spans="2:110" x14ac:dyDescent="0.25">
      <c r="B40" s="64" t="s">
        <v>28</v>
      </c>
      <c r="C40" s="164" t="str">
        <f>IF(1*(1/2)*C6=0,"",1*(1/2)*C6)</f>
        <v/>
      </c>
      <c r="D40" s="165" t="str">
        <f t="shared" ref="D40:E40" si="41">IF(1*(1/2)*D6=0,"",1*(1/2)*D6)</f>
        <v/>
      </c>
      <c r="E40" s="165" t="str">
        <f t="shared" si="41"/>
        <v/>
      </c>
      <c r="F40" s="166" t="str">
        <f>IF(1*F6=0,"",1*F6)</f>
        <v/>
      </c>
      <c r="G40" s="166" t="str">
        <f>IF(1*G6=0,"",1*G6)</f>
        <v/>
      </c>
      <c r="H40" s="166" t="str">
        <f>IF(1*H6=0,"",1*H6)</f>
        <v/>
      </c>
      <c r="I40" s="135" t="str">
        <f>IF(SUM(C40:H40)=0,"",SUM(C40:H40))</f>
        <v/>
      </c>
      <c r="J40" s="145" t="str">
        <f>IF(OR(I40="", I40&lt;16),"", "or")</f>
        <v/>
      </c>
      <c r="K40" s="121" t="str">
        <f>IF(OR(I40="",I40&lt;16),"",INT(CONVERT(I40,"ozm","lbm"))&amp;" lb. "&amp;IF(MOD(I40,16)=0,"",TEXT((MOD(I40,16)),"0.0 oz.")))</f>
        <v/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</row>
    <row r="41" spans="2:110" x14ac:dyDescent="0.25">
      <c r="B41" s="64" t="s">
        <v>29</v>
      </c>
      <c r="C41" s="169" t="str">
        <f>IF(1*(1/2)*C6=0,"",1*(1/2)*C6)</f>
        <v/>
      </c>
      <c r="D41" s="159" t="str">
        <f t="shared" ref="D41:E41" si="42">IF(1*(1/2)*D6=0,"",1*(1/2)*D6)</f>
        <v/>
      </c>
      <c r="E41" s="159" t="str">
        <f t="shared" si="42"/>
        <v/>
      </c>
      <c r="F41" s="159" t="str">
        <f>IF(1*F6=0,"",1*F6)</f>
        <v/>
      </c>
      <c r="G41" s="159" t="str">
        <f>IF(1*G6=0,"",1*G6)</f>
        <v/>
      </c>
      <c r="H41" s="159" t="str">
        <f>IF(1*H6=0,"",1*H6)</f>
        <v/>
      </c>
      <c r="I41" s="136" t="str">
        <f>IF(SUM(C41:H41)=0,"",SUM(C41:H41))</f>
        <v/>
      </c>
      <c r="J41" s="145" t="str">
        <f>IF(OR(I41&lt;4, I41=""), "", "or")</f>
        <v/>
      </c>
      <c r="K41" s="121" t="str">
        <f>IF(OR(I41="", I41&lt;4),"", IF(I41&gt;=16, INT(CONVERT(I41, "cup","gal")) &amp; " gal. "&amp; IF((MOD(I41,16))&gt;=4, INT(CONVERT(MOD(I41,16),"cup","qt")) &amp; " qt. " &amp; TEXT(MOD(MOD(I41,16),4), "##### ?/? cup"), TEXT(MOD(MOD(I41,16),4), "##### ?/? cup")), INT(CONVERT(I41, "cup","qt"))  &amp; " qt. " &amp; TEXT(MOD(I41, 4), "##### ?/? cup")))</f>
        <v/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</row>
    <row r="42" spans="2:110" x14ac:dyDescent="0.25">
      <c r="B42" s="57" t="s">
        <v>30</v>
      </c>
      <c r="C42" s="153"/>
      <c r="D42" s="205"/>
      <c r="E42" s="205"/>
      <c r="F42" s="205"/>
      <c r="G42" s="205"/>
      <c r="H42" s="205"/>
      <c r="I42" s="129"/>
      <c r="J42" s="130"/>
      <c r="K42" s="131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</row>
    <row r="43" spans="2:110" x14ac:dyDescent="0.25">
      <c r="B43" s="64" t="s">
        <v>28</v>
      </c>
      <c r="C43" s="164" t="str">
        <f>IF(1*(1/2)*C6=0,"",1*(1/2)*C6)</f>
        <v/>
      </c>
      <c r="D43" s="165" t="str">
        <f t="shared" ref="D43:E43" si="43">IF(1*(1/2)*D6=0,"",1*(1/2)*D6)</f>
        <v/>
      </c>
      <c r="E43" s="165" t="str">
        <f t="shared" si="43"/>
        <v/>
      </c>
      <c r="F43" s="166" t="str">
        <f t="shared" ref="F43:G43" si="44">IF(1*F6=0,"",1*F6)</f>
        <v/>
      </c>
      <c r="G43" s="166" t="str">
        <f t="shared" si="44"/>
        <v/>
      </c>
      <c r="H43" s="166" t="str">
        <f t="shared" ref="H43" si="45">IF(1*H6=0,"",1*H6)</f>
        <v/>
      </c>
      <c r="I43" s="135" t="str">
        <f>IF(SUM(C43:H43)=0,"",SUM(C43:H43))</f>
        <v/>
      </c>
      <c r="J43" s="145" t="str">
        <f>IF(OR(I43="",I43&lt;16), "", "or")</f>
        <v/>
      </c>
      <c r="K43" s="121" t="str">
        <f>IF(OR(I43="",I43&lt;16),"",INT(CONVERT(I43,"ozm","lbm"))&amp;" lb. "&amp; IF(MOD(I43,16)=0,"",TEXT((MOD(I43,16)), "0.0 oz.")))</f>
        <v/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</row>
    <row r="44" spans="2:110" x14ac:dyDescent="0.25">
      <c r="B44" s="64" t="s">
        <v>29</v>
      </c>
      <c r="C44" s="169" t="str">
        <f>IF(1.25*(1/2)*C6=0,"",1.25*(1/2)*C6)</f>
        <v/>
      </c>
      <c r="D44" s="159" t="str">
        <f t="shared" ref="D44:E44" si="46">IF(1.25*(1/2)*D6=0,"",1.25*(1/2)*D6)</f>
        <v/>
      </c>
      <c r="E44" s="159" t="str">
        <f t="shared" si="46"/>
        <v/>
      </c>
      <c r="F44" s="159" t="str">
        <f t="shared" ref="F44:G44" si="47">IF(1.25*F6=0,"",1.25*F6)</f>
        <v/>
      </c>
      <c r="G44" s="159" t="str">
        <f t="shared" si="47"/>
        <v/>
      </c>
      <c r="H44" s="159" t="str">
        <f t="shared" ref="H44" si="48">IF(1.25*H6=0,"",1.25*H6)</f>
        <v/>
      </c>
      <c r="I44" s="136" t="str">
        <f>IF(SUM(C44:H44)=0,"",SUM(C44:H44))</f>
        <v/>
      </c>
      <c r="J44" s="145" t="str">
        <f>IF(OR(I44&lt;4, I44=""), "", "or")</f>
        <v/>
      </c>
      <c r="K44" s="121" t="str">
        <f>IF(OR(I44="", I44&lt;4),"", IF(I44&gt;=16, INT(CONVERT(I44, "cup","gal")) &amp; " gal. "&amp; IF((MOD(I44,16))&gt;=4, INT(CONVERT(MOD(I44,16),"cup","qt")) &amp; " qt. " &amp; TEXT(MOD(MOD(I44,16),4), "##### ?/? cup"), TEXT(MOD(MOD(I44,16),4), "##### ?/? cup")), INT(CONVERT(I44, "cup","qt"))  &amp; " qt. " &amp; TEXT(MOD(I44, 4), "##### ?/? cup")))</f>
        <v/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</row>
    <row r="45" spans="2:110" x14ac:dyDescent="0.25">
      <c r="B45" s="57" t="s">
        <v>31</v>
      </c>
      <c r="C45" s="153"/>
      <c r="D45" s="205"/>
      <c r="E45" s="205"/>
      <c r="F45" s="205"/>
      <c r="G45" s="205"/>
      <c r="H45" s="205"/>
      <c r="I45" s="129"/>
      <c r="J45" s="130"/>
      <c r="K45" s="131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</row>
    <row r="46" spans="2:110" x14ac:dyDescent="0.25">
      <c r="B46" s="64" t="s">
        <v>28</v>
      </c>
      <c r="C46" s="164" t="str">
        <f>IF(1*(1/2)*C6=0,"",1*(1/2)*C6)</f>
        <v/>
      </c>
      <c r="D46" s="165" t="str">
        <f t="shared" ref="D46:E46" si="49">IF(1*(1/2)*D6=0,"",1*(1/2)*D6)</f>
        <v/>
      </c>
      <c r="E46" s="165" t="str">
        <f t="shared" si="49"/>
        <v/>
      </c>
      <c r="F46" s="166" t="str">
        <f t="shared" ref="F46:G46" si="50">IF(1*F6=0,"",1*F6)</f>
        <v/>
      </c>
      <c r="G46" s="166" t="str">
        <f t="shared" si="50"/>
        <v/>
      </c>
      <c r="H46" s="166" t="str">
        <f t="shared" ref="H46" si="51">IF(1*H6=0,"",1*H6)</f>
        <v/>
      </c>
      <c r="I46" s="135" t="str">
        <f>IF(SUM(C46:H46)=0,"",SUM(C46:H46))</f>
        <v/>
      </c>
      <c r="J46" s="145" t="str">
        <f>IF(OR(I46="", I46&lt;16),"", "or")</f>
        <v/>
      </c>
      <c r="K46" s="121" t="str">
        <f>IF(OR(I46="",I46&lt;16),"",INT(CONVERT(I46,"ozm","lbm"))&amp;" lb. "&amp; IF(MOD(I46,16)=0,"",TEXT((MOD(I46,16)),"0.0 oz.")))</f>
        <v/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</row>
    <row r="47" spans="2:110" ht="15.75" thickBot="1" x14ac:dyDescent="0.3">
      <c r="B47" s="65" t="s">
        <v>29</v>
      </c>
      <c r="C47" s="215" t="str">
        <f>IF(0.25*(1/2)*C6=0,"",0.25*(1/2)*C6)</f>
        <v/>
      </c>
      <c r="D47" s="216" t="str">
        <f t="shared" ref="D47:E47" si="52">IF(0.25*(1/2)*D6=0,"",0.25*(1/2)*D6)</f>
        <v/>
      </c>
      <c r="E47" s="216" t="str">
        <f t="shared" si="52"/>
        <v/>
      </c>
      <c r="F47" s="216" t="str">
        <f t="shared" ref="F47:G47" si="53">IF(0.25*F6=0,"",0.25*F6)</f>
        <v/>
      </c>
      <c r="G47" s="216" t="str">
        <f t="shared" si="53"/>
        <v/>
      </c>
      <c r="H47" s="216" t="str">
        <f t="shared" ref="H47" si="54">IF(0.25*H6=0,"",0.25*H6)</f>
        <v/>
      </c>
      <c r="I47" s="137" t="str">
        <f>IF(SUM(C47:H47)=0,"",SUM(C47:H47))</f>
        <v/>
      </c>
      <c r="J47" s="146" t="str">
        <f>IF(OR(I47&lt;4, I47=""), "", "or")</f>
        <v/>
      </c>
      <c r="K47" s="122" t="str">
        <f>IF(OR(I47="", I47&lt;4),"", IF(I47&gt;=16, INT(CONVERT(I47, "cup","gal")) &amp; " gal. "&amp; IF((MOD(I47,16))&gt;=4, INT(CONVERT(MOD(I47,16),"cup","qt")) &amp; " qt. " &amp; TEXT(MOD(MOD(I47,16),4), "##### ?/? cup"), TEXT(MOD(MOD(I47,16),4), "##### ?/? cup")), INT(CONVERT(I47, "cup","qt"))  &amp; " qt. " &amp; TEXT(MOD(I47, 4), "##### ?/? cup")))</f>
        <v/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</row>
    <row r="48" spans="2:110" s="3" customFormat="1" x14ac:dyDescent="0.25">
      <c r="B48" s="68"/>
      <c r="C48" s="269"/>
      <c r="D48" s="269"/>
      <c r="E48" s="269"/>
      <c r="F48" s="269"/>
      <c r="G48" s="269"/>
      <c r="H48" s="269"/>
      <c r="I48" s="269"/>
    </row>
    <row r="49" spans="2:11" s="3" customFormat="1" x14ac:dyDescent="0.25">
      <c r="B49" s="268"/>
      <c r="C49" s="270" t="s">
        <v>68</v>
      </c>
      <c r="D49" s="270"/>
      <c r="E49" s="270"/>
      <c r="F49" s="270"/>
      <c r="G49" s="270"/>
      <c r="H49" s="270"/>
      <c r="I49" s="270"/>
    </row>
    <row r="50" spans="2:11" s="3" customFormat="1" x14ac:dyDescent="0.25">
      <c r="B50" s="29"/>
      <c r="C50" s="255" t="s">
        <v>53</v>
      </c>
      <c r="D50" s="255"/>
      <c r="E50" s="255"/>
      <c r="F50" s="255"/>
      <c r="G50" s="255"/>
      <c r="H50" s="255"/>
      <c r="I50" s="255"/>
    </row>
    <row r="51" spans="2:11" s="3" customFormat="1" x14ac:dyDescent="0.25">
      <c r="B51" s="29"/>
      <c r="C51" s="74" t="s">
        <v>54</v>
      </c>
      <c r="D51" s="74"/>
      <c r="E51" s="74"/>
      <c r="F51" s="74"/>
      <c r="G51" s="74"/>
      <c r="H51" s="74"/>
      <c r="I51" s="74"/>
    </row>
    <row r="52" spans="2:11" s="3" customFormat="1" x14ac:dyDescent="0.25">
      <c r="C52" s="267"/>
      <c r="D52" s="267"/>
      <c r="E52" s="267"/>
      <c r="F52" s="267"/>
      <c r="G52" s="267"/>
      <c r="H52" s="267"/>
      <c r="I52" s="267"/>
    </row>
    <row r="53" spans="2:11" s="3" customFormat="1" x14ac:dyDescent="0.25">
      <c r="C53" s="255"/>
      <c r="D53" s="255"/>
      <c r="E53" s="255"/>
      <c r="F53" s="255"/>
      <c r="G53" s="255"/>
      <c r="H53" s="255"/>
      <c r="I53" s="255"/>
    </row>
    <row r="54" spans="2:11" s="3" customFormat="1" x14ac:dyDescent="0.25"/>
    <row r="55" spans="2:11" s="3" customFormat="1" x14ac:dyDescent="0.25">
      <c r="C55" s="254" t="s">
        <v>52</v>
      </c>
      <c r="D55" s="254"/>
      <c r="E55" s="254"/>
      <c r="F55" s="254"/>
      <c r="G55" s="254"/>
      <c r="H55" s="254"/>
      <c r="I55" s="254"/>
      <c r="J55" s="254"/>
      <c r="K55" s="254"/>
    </row>
    <row r="56" spans="2:11" s="3" customFormat="1" x14ac:dyDescent="0.25"/>
    <row r="57" spans="2:11" s="3" customFormat="1" x14ac:dyDescent="0.25"/>
    <row r="58" spans="2:11" s="3" customFormat="1" x14ac:dyDescent="0.25"/>
    <row r="59" spans="2:11" s="3" customFormat="1" x14ac:dyDescent="0.25"/>
    <row r="60" spans="2:11" s="3" customFormat="1" x14ac:dyDescent="0.25"/>
    <row r="61" spans="2:11" s="3" customFormat="1" x14ac:dyDescent="0.25"/>
    <row r="62" spans="2:11" s="3" customFormat="1" x14ac:dyDescent="0.25"/>
    <row r="63" spans="2:11" s="3" customFormat="1" x14ac:dyDescent="0.25"/>
    <row r="64" spans="2:11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</sheetData>
  <sheetProtection algorithmName="SHA-512" hashValue="5UgVxhp9wkWE+DZHILM4ZUQCxv/YQgaSI/3NrlCJDl11KK70oneIEj7m6KcBTZkatjAHqGI6G6RjbIXaq/VQ8g==" saltValue="qe+/aeTuAVOpj5l2IBD8hQ==" spinCount="100000" sheet="1" objects="1" scenarios="1"/>
  <mergeCells count="11">
    <mergeCell ref="C55:K55"/>
    <mergeCell ref="B2:K2"/>
    <mergeCell ref="C3:E3"/>
    <mergeCell ref="C49:I49"/>
    <mergeCell ref="C52:I52"/>
    <mergeCell ref="C53:I53"/>
    <mergeCell ref="C50:I50"/>
    <mergeCell ref="I5:K5"/>
    <mergeCell ref="I6:K6"/>
    <mergeCell ref="I7:K7"/>
    <mergeCell ref="I8:K8"/>
  </mergeCells>
  <hyperlinks>
    <hyperlink ref="B30" r:id="rId1" xr:uid="{345609E9-AE71-4079-B77C-AD5AA979C87B}"/>
    <hyperlink ref="B31" r:id="rId2" xr:uid="{CA790D9E-A5C6-41CA-A51F-9C2EB08BD396}"/>
    <hyperlink ref="B32" r:id="rId3" xr:uid="{7980792F-5E69-434B-8429-970842BF9AEC}"/>
    <hyperlink ref="B33" r:id="rId4" xr:uid="{82DD7295-7D21-4C93-8C3D-5BF8234A1C6F}"/>
    <hyperlink ref="B34" r:id="rId5" xr:uid="{46289279-75CC-4435-A65D-A3840DCF1B69}"/>
    <hyperlink ref="B35" r:id="rId6" xr:uid="{86D2153D-F4A1-4FFB-AB64-65E4E6CA2EA9}"/>
    <hyperlink ref="B38" r:id="rId7" xr:uid="{F999236B-33B9-4FEE-A28D-69273C8B77ED}"/>
  </hyperlinks>
  <printOptions horizontalCentered="1" verticalCentered="1"/>
  <pageMargins left="0.1" right="0.1" top="0.75" bottom="0.25" header="0.3" footer="0.3"/>
  <pageSetup scale="60" orientation="landscape" r:id="rId8"/>
  <headerFooter>
    <oddHeader>&amp;C&amp;"-,Bold"&amp;14Meal Component Calculation Worksheet
Child and Adult Care Food Program</oddHeader>
    <oddFooter>&amp;LNC CACFP 03/2023</oddFooter>
  </headerFooter>
  <ignoredErrors>
    <ignoredError sqref="C3 G3" unlockedFormula="1"/>
    <ignoredError sqref="F27 K18" formula="1"/>
  </ignoredErrors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Breakfast</vt:lpstr>
      <vt:lpstr>Lunch-Supper</vt:lpstr>
      <vt:lpstr>Snack</vt:lpstr>
      <vt:lpstr>Instructions!Print_Area</vt:lpstr>
      <vt:lpstr>'Lunch-Supper'!Print_Area</vt:lpstr>
      <vt:lpstr>Snack!Print_Area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Chiara F</dc:creator>
  <cp:lastModifiedBy>Mita, Chika</cp:lastModifiedBy>
  <cp:lastPrinted>2023-03-08T17:06:17Z</cp:lastPrinted>
  <dcterms:created xsi:type="dcterms:W3CDTF">2017-07-27T14:39:54Z</dcterms:created>
  <dcterms:modified xsi:type="dcterms:W3CDTF">2023-03-08T17:07:12Z</dcterms:modified>
</cp:coreProperties>
</file>