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/>
  <mc:AlternateContent xmlns:mc="http://schemas.openxmlformats.org/markup-compatibility/2006">
    <mc:Choice Requires="x15">
      <x15ac:absPath xmlns:x15ac="http://schemas.microsoft.com/office/spreadsheetml/2010/11/ac" url="S:\Cntyadm\Myra\IV-E Penetration Rate\2021\"/>
    </mc:Choice>
  </mc:AlternateContent>
  <xr:revisionPtr revIDLastSave="0" documentId="8_{7DB8760D-94A2-4B7A-8C4C-B68EBFF844B0}" xr6:coauthVersionLast="45" xr6:coauthVersionMax="45" xr10:uidLastSave="{00000000-0000-0000-0000-000000000000}"/>
  <bookViews>
    <workbookView xWindow="-108" yWindow="492" windowWidth="23256" windowHeight="12576" firstSheet="10" activeTab="10" xr2:uid="{00000000-000D-0000-FFFF-FFFF00000000}"/>
  </bookViews>
  <sheets>
    <sheet name="SFY 2010-2011" sheetId="13" state="hidden" r:id="rId1"/>
    <sheet name="SFY 2011-2012" sheetId="14" state="hidden" r:id="rId2"/>
    <sheet name="SFY 2012-2013" sheetId="12" state="hidden" r:id="rId3"/>
    <sheet name="SFY 2013-2014" sheetId="15" state="hidden" r:id="rId4"/>
    <sheet name="SFY 2014-2015" sheetId="16" state="hidden" r:id="rId5"/>
    <sheet name="SFY 2015-2016" sheetId="17" state="hidden" r:id="rId6"/>
    <sheet name="SFY 2016-2017" sheetId="18" state="hidden" r:id="rId7"/>
    <sheet name="SFY 2017-2018" sheetId="20" state="hidden" r:id="rId8"/>
    <sheet name="SFY 2018-2019" sheetId="19" state="hidden" r:id="rId9"/>
    <sheet name="SFY 2019-2020" sheetId="21" state="hidden" r:id="rId10"/>
    <sheet name="SFY 2020-2021" sheetId="22" r:id="rId11"/>
  </sheets>
  <definedNames>
    <definedName name="_xlnm.Print_Area" localSheetId="6">'SFY 2016-2017'!$A$1:$D$27</definedName>
    <definedName name="_xlnm.Print_Area" localSheetId="8">'SFY 2018-2019'!$A$1:$D$27</definedName>
    <definedName name="_xlnm.Print_Area" localSheetId="9">'SFY 2019-2020'!$A$1:$D$27</definedName>
    <definedName name="_xlnm.Print_Area" localSheetId="10">'SFY 2020-2021'!$A$1:$D$27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6" i="22" l="1"/>
  <c r="C16" i="22"/>
  <c r="D15" i="22" l="1"/>
  <c r="C15" i="22"/>
  <c r="D14" i="22" l="1"/>
  <c r="C14" i="22"/>
  <c r="D13" i="22" l="1"/>
  <c r="C13" i="22"/>
  <c r="C12" i="22" l="1"/>
  <c r="D12" i="22" l="1"/>
  <c r="D11" i="22" l="1"/>
  <c r="C11" i="22"/>
  <c r="D10" i="22" l="1"/>
  <c r="C10" i="22"/>
  <c r="D9" i="22" l="1"/>
  <c r="C9" i="22"/>
  <c r="D8" i="22" l="1"/>
  <c r="C8" i="22"/>
  <c r="D19" i="21" l="1"/>
  <c r="C19" i="21"/>
  <c r="D18" i="21" l="1"/>
  <c r="C18" i="21"/>
  <c r="D17" i="21" l="1"/>
  <c r="C17" i="21"/>
  <c r="D16" i="21" l="1"/>
  <c r="C16" i="21"/>
  <c r="D15" i="21" l="1"/>
  <c r="C15" i="21"/>
  <c r="D14" i="21" l="1"/>
  <c r="C14" i="21"/>
  <c r="D13" i="21" l="1"/>
  <c r="C13" i="21"/>
  <c r="C12" i="21" l="1"/>
  <c r="D12" i="21"/>
  <c r="D11" i="21" l="1"/>
  <c r="C11" i="21"/>
  <c r="D10" i="21" l="1"/>
  <c r="C10" i="21"/>
  <c r="D9" i="21" l="1"/>
  <c r="C9" i="21"/>
  <c r="C8" i="21" l="1"/>
  <c r="D8" i="21"/>
  <c r="D19" i="19" l="1"/>
  <c r="C19" i="19"/>
  <c r="D18" i="19" l="1"/>
  <c r="C18" i="19"/>
  <c r="D17" i="19" l="1"/>
  <c r="C17" i="19"/>
  <c r="D16" i="19" l="1"/>
  <c r="C16" i="19"/>
  <c r="D14" i="19" l="1"/>
  <c r="D15" i="19"/>
  <c r="C15" i="19"/>
  <c r="C14" i="19"/>
  <c r="D13" i="19" l="1"/>
  <c r="C13" i="19"/>
  <c r="D12" i="19" l="1"/>
  <c r="C12" i="19"/>
  <c r="C11" i="19" l="1"/>
  <c r="D11" i="19"/>
  <c r="D10" i="19" l="1"/>
  <c r="C10" i="19"/>
  <c r="D9" i="19" l="1"/>
  <c r="C9" i="19"/>
  <c r="C8" i="19" l="1"/>
  <c r="D8" i="19"/>
  <c r="D19" i="20" l="1"/>
  <c r="C19" i="20"/>
  <c r="D18" i="20"/>
  <c r="C18" i="20"/>
  <c r="D17" i="20"/>
  <c r="C17" i="20"/>
  <c r="D16" i="20"/>
  <c r="C16" i="20"/>
  <c r="D15" i="20"/>
  <c r="C15" i="20"/>
  <c r="D14" i="20"/>
  <c r="C14" i="20"/>
  <c r="D13" i="20"/>
  <c r="C13" i="20"/>
  <c r="D12" i="20"/>
  <c r="C12" i="20"/>
  <c r="D11" i="20"/>
  <c r="C11" i="20"/>
  <c r="D10" i="20"/>
  <c r="C10" i="20"/>
  <c r="D9" i="20"/>
  <c r="C9" i="20"/>
  <c r="D8" i="20"/>
  <c r="C8" i="20"/>
  <c r="D19" i="18"/>
  <c r="C19" i="18"/>
  <c r="D18" i="18"/>
  <c r="C18" i="18"/>
  <c r="D17" i="18"/>
  <c r="C17" i="18"/>
  <c r="D16" i="18"/>
  <c r="C16" i="18"/>
  <c r="D15" i="18"/>
  <c r="C15" i="18"/>
  <c r="D14" i="18"/>
  <c r="C14" i="18"/>
  <c r="D13" i="18"/>
  <c r="C13" i="18"/>
  <c r="D12" i="18"/>
  <c r="C12" i="18"/>
  <c r="D11" i="18"/>
  <c r="C11" i="18"/>
  <c r="D10" i="18"/>
  <c r="C10" i="18"/>
  <c r="D9" i="18"/>
  <c r="C9" i="18"/>
  <c r="D8" i="18"/>
  <c r="C8" i="18"/>
  <c r="D19" i="17"/>
  <c r="C19" i="17"/>
  <c r="D18" i="17"/>
  <c r="C18" i="17"/>
  <c r="D17" i="17"/>
  <c r="C17" i="17"/>
  <c r="D16" i="17"/>
  <c r="C16" i="17"/>
  <c r="D15" i="17"/>
  <c r="C15" i="17"/>
  <c r="D14" i="17"/>
  <c r="C14" i="17"/>
  <c r="D13" i="17"/>
  <c r="C13" i="17"/>
  <c r="D12" i="17"/>
  <c r="D11" i="17"/>
  <c r="C12" i="17"/>
  <c r="C11" i="17"/>
  <c r="D10" i="17"/>
  <c r="C10" i="17"/>
  <c r="D9" i="17"/>
  <c r="C9" i="17"/>
  <c r="D8" i="17"/>
  <c r="C8" i="17"/>
  <c r="D19" i="16"/>
  <c r="C19" i="16"/>
  <c r="D18" i="16"/>
  <c r="C18" i="16"/>
  <c r="D17" i="16"/>
  <c r="C17" i="16"/>
  <c r="D16" i="16"/>
  <c r="C16" i="16"/>
  <c r="D15" i="16"/>
  <c r="C15" i="16"/>
  <c r="D14" i="16"/>
  <c r="C14" i="16"/>
  <c r="D13" i="16"/>
  <c r="C13" i="16"/>
  <c r="D12" i="16"/>
  <c r="C12" i="16"/>
  <c r="D11" i="16"/>
  <c r="C11" i="16"/>
  <c r="D10" i="16"/>
  <c r="C10" i="16"/>
  <c r="D9" i="16"/>
  <c r="C9" i="16"/>
  <c r="D8" i="16"/>
  <c r="C8" i="16"/>
  <c r="D19" i="15"/>
  <c r="C19" i="15"/>
  <c r="D18" i="15"/>
  <c r="C18" i="15"/>
  <c r="D17" i="15"/>
  <c r="C17" i="15"/>
  <c r="D16" i="15"/>
  <c r="C16" i="15"/>
  <c r="D15" i="15"/>
  <c r="C15" i="15"/>
  <c r="D14" i="15"/>
  <c r="C14" i="15"/>
  <c r="D13" i="15"/>
  <c r="C13" i="15"/>
  <c r="D12" i="15"/>
  <c r="C12" i="15"/>
  <c r="D11" i="15"/>
  <c r="C11" i="15"/>
  <c r="D10" i="15"/>
  <c r="C10" i="15"/>
  <c r="D9" i="15"/>
  <c r="C9" i="15"/>
  <c r="D8" i="15"/>
  <c r="C8" i="15"/>
  <c r="D19" i="12"/>
  <c r="C19" i="12"/>
  <c r="D18" i="12"/>
  <c r="C18" i="12"/>
  <c r="D17" i="12"/>
  <c r="C17" i="12"/>
  <c r="D16" i="12"/>
  <c r="C16" i="12"/>
  <c r="D15" i="12"/>
  <c r="C15" i="12"/>
  <c r="D14" i="12"/>
  <c r="C14" i="12"/>
  <c r="D13" i="12"/>
  <c r="C13" i="12"/>
  <c r="D12" i="12"/>
  <c r="C12" i="12"/>
  <c r="D11" i="12"/>
  <c r="C11" i="12"/>
  <c r="D10" i="12"/>
  <c r="C10" i="12"/>
  <c r="C9" i="12"/>
  <c r="C8" i="12"/>
  <c r="C15" i="14"/>
  <c r="C14" i="14"/>
  <c r="C13" i="14"/>
  <c r="C12" i="14"/>
  <c r="C11" i="14"/>
  <c r="C10" i="14"/>
  <c r="C9" i="14"/>
  <c r="C8" i="14"/>
  <c r="C7" i="14"/>
  <c r="C6" i="14"/>
  <c r="C5" i="14"/>
  <c r="C4" i="14"/>
  <c r="C15" i="13"/>
  <c r="C14" i="13"/>
  <c r="C13" i="13"/>
  <c r="C12" i="13"/>
  <c r="C11" i="13"/>
  <c r="C10" i="13"/>
  <c r="C9" i="13"/>
  <c r="C8" i="13"/>
  <c r="C7" i="13"/>
  <c r="C6" i="13"/>
  <c r="C5" i="13"/>
  <c r="C4" i="1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tc={32B21160-059E-4C41-ABC9-E014F7822907}</author>
  </authors>
  <commentList>
    <comment ref="C12" authorId="0" shapeId="0" xr:uid="{32B21160-059E-4C41-ABC9-E014F7822907}">
      <text>
        <t>[Threaded comment]
Your version of Excel allows you to read this threaded comment; however, any edits to it will get removed if the file is opened in a newer version of Excel. Learn more: https://go.microsoft.com/fwlink/?linkid=870924
Comment:
    This FC rate was recalculated and revised 12/17/20</t>
      </text>
    </comment>
  </commentList>
</comments>
</file>

<file path=xl/sharedStrings.xml><?xml version="1.0" encoding="utf-8"?>
<sst xmlns="http://schemas.openxmlformats.org/spreadsheetml/2006/main" count="349" uniqueCount="113">
  <si>
    <t>August</t>
  </si>
  <si>
    <t>September</t>
  </si>
  <si>
    <t>October</t>
  </si>
  <si>
    <t>November</t>
  </si>
  <si>
    <t>December</t>
  </si>
  <si>
    <t>February</t>
  </si>
  <si>
    <t>March</t>
  </si>
  <si>
    <t xml:space="preserve">April </t>
  </si>
  <si>
    <t>May</t>
  </si>
  <si>
    <t>MONTH</t>
  </si>
  <si>
    <t>SERVICE</t>
  </si>
  <si>
    <t xml:space="preserve">      September</t>
  </si>
  <si>
    <t xml:space="preserve">      October</t>
  </si>
  <si>
    <t xml:space="preserve">      November</t>
  </si>
  <si>
    <t xml:space="preserve">      December</t>
  </si>
  <si>
    <t xml:space="preserve">      February</t>
  </si>
  <si>
    <t xml:space="preserve">      March</t>
  </si>
  <si>
    <t xml:space="preserve">      April </t>
  </si>
  <si>
    <t xml:space="preserve">      May</t>
  </si>
  <si>
    <t>REPORTING</t>
  </si>
  <si>
    <t>July 2012</t>
  </si>
  <si>
    <t xml:space="preserve">      August 2012</t>
  </si>
  <si>
    <t xml:space="preserve">      June 2013</t>
  </si>
  <si>
    <t xml:space="preserve">      July 2013</t>
  </si>
  <si>
    <t>June 2013</t>
  </si>
  <si>
    <t xml:space="preserve">Example: Use July 2012 Service month column on your DSS-1571 for </t>
  </si>
  <si>
    <t>August 2012 reimbursement.</t>
  </si>
  <si>
    <t>Monthly Penetration Rate</t>
  </si>
  <si>
    <t>SFY 2012 - 2013</t>
  </si>
  <si>
    <t>Foster</t>
  </si>
  <si>
    <t>Care</t>
  </si>
  <si>
    <t>Title IV-E</t>
  </si>
  <si>
    <t>Adoption</t>
  </si>
  <si>
    <t>Assistance</t>
  </si>
  <si>
    <t xml:space="preserve">      January 2013</t>
  </si>
  <si>
    <t>January 2013</t>
  </si>
  <si>
    <t>Penetration Rate</t>
  </si>
  <si>
    <t>July 2010</t>
  </si>
  <si>
    <t xml:space="preserve">      August 2010</t>
  </si>
  <si>
    <t xml:space="preserve">      January 2011</t>
  </si>
  <si>
    <t>January 2011</t>
  </si>
  <si>
    <t xml:space="preserve">      June 2011</t>
  </si>
  <si>
    <t>June 2011</t>
  </si>
  <si>
    <t xml:space="preserve">      July 2011</t>
  </si>
  <si>
    <t xml:space="preserve">Example: Use July 2010 Service month column on your DSS-1571 for </t>
  </si>
  <si>
    <t>August 2010 reimbursement.</t>
  </si>
  <si>
    <t>July 2011</t>
  </si>
  <si>
    <t xml:space="preserve">      August 2011</t>
  </si>
  <si>
    <t xml:space="preserve">      January 2012</t>
  </si>
  <si>
    <t>January 2012</t>
  </si>
  <si>
    <t xml:space="preserve">      June 2012</t>
  </si>
  <si>
    <t>June 2012</t>
  </si>
  <si>
    <t xml:space="preserve">      July 2012</t>
  </si>
  <si>
    <t xml:space="preserve">Example: Use July 2011 Service month column on your DSS-1571 for </t>
  </si>
  <si>
    <t>August 2011 reimbursement.</t>
  </si>
  <si>
    <t>SFY 2013 - 2014</t>
  </si>
  <si>
    <t>July 2013</t>
  </si>
  <si>
    <t xml:space="preserve">      August 2013</t>
  </si>
  <si>
    <t xml:space="preserve">      January 2014</t>
  </si>
  <si>
    <t>January 2014</t>
  </si>
  <si>
    <t>June 2014</t>
  </si>
  <si>
    <t xml:space="preserve">      June 2014</t>
  </si>
  <si>
    <t xml:space="preserve">      July 2014</t>
  </si>
  <si>
    <t xml:space="preserve">Example: Use July 2013 Service month column on your DSS-1571 for </t>
  </si>
  <si>
    <t>August 2013 reimbursement.</t>
  </si>
  <si>
    <t>DO NOT ROUND - USE PERCENTAGE AS DISPLAYED.</t>
  </si>
  <si>
    <t>SFY 2014 - 2015</t>
  </si>
  <si>
    <t>July 2014</t>
  </si>
  <si>
    <t xml:space="preserve">      August 2014</t>
  </si>
  <si>
    <t xml:space="preserve">      January 2015</t>
  </si>
  <si>
    <t>January 2015</t>
  </si>
  <si>
    <t xml:space="preserve">      June 2015</t>
  </si>
  <si>
    <t xml:space="preserve">      July 2015</t>
  </si>
  <si>
    <t>June 2015</t>
  </si>
  <si>
    <t xml:space="preserve">Example: Use July 2014 Service month column on your DSS-1571 for </t>
  </si>
  <si>
    <t>August 2014 reimbursement.</t>
  </si>
  <si>
    <t xml:space="preserve">Example: Use July 2015 Service month column on your DSS-1571 for </t>
  </si>
  <si>
    <t>August 2015 reimbursement.</t>
  </si>
  <si>
    <t>July 2015</t>
  </si>
  <si>
    <t xml:space="preserve">      August 2015</t>
  </si>
  <si>
    <t xml:space="preserve">      January 2016</t>
  </si>
  <si>
    <t>January 2016</t>
  </si>
  <si>
    <t xml:space="preserve">      June 2016</t>
  </si>
  <si>
    <t>June 2016</t>
  </si>
  <si>
    <t xml:space="preserve">      July 2016</t>
  </si>
  <si>
    <t>SFY 2015 - 2016</t>
  </si>
  <si>
    <t>SFY 2016 - 2017</t>
  </si>
  <si>
    <t>July 2016</t>
  </si>
  <si>
    <t xml:space="preserve">      August 2016</t>
  </si>
  <si>
    <t xml:space="preserve">      January 2017</t>
  </si>
  <si>
    <t>January 2017</t>
  </si>
  <si>
    <t xml:space="preserve">      June 2017</t>
  </si>
  <si>
    <t xml:space="preserve">      July 2017</t>
  </si>
  <si>
    <t>June 2017</t>
  </si>
  <si>
    <t xml:space="preserve">Example: Use July 2016 Service month column on your DSS-1571 for </t>
  </si>
  <si>
    <t>August 2016 reimbursement.</t>
  </si>
  <si>
    <t xml:space="preserve">Example: Use July 2017 Service month column on your DSS-1571 for </t>
  </si>
  <si>
    <t>August 2017 reimbursement.</t>
  </si>
  <si>
    <t>SFY 2017 - 2018</t>
  </si>
  <si>
    <t>July 2017</t>
  </si>
  <si>
    <t xml:space="preserve">      August 2017</t>
  </si>
  <si>
    <t xml:space="preserve">      June 2018</t>
  </si>
  <si>
    <t xml:space="preserve">      July 2018</t>
  </si>
  <si>
    <t>June 2018</t>
  </si>
  <si>
    <t xml:space="preserve">      January 2018</t>
  </si>
  <si>
    <t>January 2018</t>
  </si>
  <si>
    <t>SFY 2018 - 2019</t>
  </si>
  <si>
    <t xml:space="preserve">Example: Use July 2018 Service month column on your DSS-1571 for </t>
  </si>
  <si>
    <t>August 2018 reimbursement.</t>
  </si>
  <si>
    <t>SFY 2019 - 2020</t>
  </si>
  <si>
    <t xml:space="preserve">Example: Use July 2019 Service month column on your DSS-1571 for </t>
  </si>
  <si>
    <t>August 2019 reimbursement.</t>
  </si>
  <si>
    <t>SFY 2020 - 2021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</si>
</sst>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</font>
    <font>
      <sz val="24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sz val="14"/>
      <name val="Arial"/>
      <family val="2"/>
    </font>
    <font>
      <sz val="18"/>
      <color indexed="12"/>
      <name val="Arial"/>
      <family val="2"/>
    </font>
    <font>
      <b/>
      <sz val="18"/>
      <color indexed="12"/>
      <name val="Arial"/>
      <family val="2"/>
    </font>
    <font>
      <b/>
      <sz val="18"/>
      <color indexed="10"/>
      <name val="Arial"/>
      <family val="2"/>
    </font>
    <font>
      <sz val="18"/>
      <color indexed="10"/>
      <name val="Arial"/>
      <family val="2"/>
    </font>
    <font>
      <b/>
      <sz val="14"/>
      <name val="Arial"/>
      <family val="2"/>
    </font>
    <font>
      <b/>
      <sz val="24"/>
      <name val="Arial"/>
      <family val="2"/>
    </font>
    <font>
      <b/>
      <sz val="10"/>
      <name val="Arial"/>
      <family val="2"/>
    </font>
    <font>
      <b/>
      <sz val="17"/>
      <name val="Arial"/>
      <family val="2"/>
    </font>
    <font>
      <sz val="9"/>
      <color indexed="81"/>
      <name val="Tahoma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10" fontId="1" fillId="0" borderId="0" xfId="0" applyNumberFormat="1" applyFont="1"/>
    <xf numFmtId="0" fontId="2" fillId="0" borderId="0" xfId="0" applyFont="1" applyAlignment="1">
      <alignment horizontal="center"/>
    </xf>
    <xf numFmtId="0" fontId="3" fillId="0" borderId="0" xfId="0" applyFont="1"/>
    <xf numFmtId="10" fontId="3" fillId="0" borderId="0" xfId="0" applyNumberFormat="1" applyFont="1"/>
    <xf numFmtId="17" fontId="3" fillId="0" borderId="0" xfId="0" quotePrefix="1" applyNumberFormat="1" applyFont="1" applyAlignment="1">
      <alignment horizontal="left"/>
    </xf>
    <xf numFmtId="0" fontId="2" fillId="0" borderId="1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4" fillId="0" borderId="0" xfId="0" applyFont="1"/>
    <xf numFmtId="10" fontId="4" fillId="0" borderId="0" xfId="0" applyNumberFormat="1" applyFont="1"/>
    <xf numFmtId="17" fontId="3" fillId="0" borderId="0" xfId="0" quotePrefix="1" applyNumberFormat="1" applyFont="1" applyAlignment="1"/>
    <xf numFmtId="0" fontId="3" fillId="0" borderId="0" xfId="0" applyFont="1" applyAlignme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10" fontId="9" fillId="0" borderId="1" xfId="0" applyNumberFormat="1" applyFont="1" applyBorder="1" applyAlignment="1">
      <alignment horizontal="center"/>
    </xf>
    <xf numFmtId="10" fontId="5" fillId="0" borderId="0" xfId="0" applyNumberFormat="1" applyFont="1" applyAlignment="1">
      <alignment horizontal="center"/>
    </xf>
    <xf numFmtId="10" fontId="8" fillId="0" borderId="0" xfId="0" applyNumberFormat="1" applyFont="1" applyAlignment="1">
      <alignment horizontal="center"/>
    </xf>
    <xf numFmtId="10" fontId="2" fillId="0" borderId="1" xfId="0" applyNumberFormat="1" applyFont="1" applyBorder="1" applyAlignment="1">
      <alignment horizontal="center"/>
    </xf>
    <xf numFmtId="0" fontId="12" fillId="0" borderId="0" xfId="0" applyFont="1"/>
    <xf numFmtId="17" fontId="3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/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microsoft.com/office/2017/10/relationships/person" Target="persons/perso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Dixon, Myra" id="{E6266F26-E463-47E6-BD18-5D203AAC88F4}" userId="S::myra.dixon@dhhs.nc.gov::783f1d0b-751c-4b90-a74f-0f0f1bade797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C12" dT="2021-04-06T12:31:56.38" personId="{E6266F26-E463-47E6-BD18-5D203AAC88F4}" id="{32B21160-059E-4C41-ABC9-E014F7822907}">
    <text>This FC rate was recalculated and revised 12/17/20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1.bin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2"/>
  <sheetViews>
    <sheetView showGridLines="0" zoomScaleNormal="100" workbookViewId="0">
      <selection activeCell="B18" sqref="B18"/>
    </sheetView>
  </sheetViews>
  <sheetFormatPr defaultColWidth="9.109375" defaultRowHeight="30" x14ac:dyDescent="0.5"/>
  <cols>
    <col min="1" max="1" width="25.6640625" style="1" customWidth="1"/>
    <col min="2" max="2" width="36.88671875" style="1" customWidth="1"/>
    <col min="3" max="3" width="29.33203125" style="2" bestFit="1" customWidth="1"/>
    <col min="4" max="16384" width="9.109375" style="1"/>
  </cols>
  <sheetData>
    <row r="1" spans="1:3" x14ac:dyDescent="0.5">
      <c r="A1" s="3">
        <v>1571</v>
      </c>
      <c r="B1" s="3">
        <v>1571</v>
      </c>
      <c r="C1" s="5"/>
    </row>
    <row r="2" spans="1:3" x14ac:dyDescent="0.5">
      <c r="A2" s="3" t="s">
        <v>10</v>
      </c>
      <c r="B2" s="3" t="s">
        <v>19</v>
      </c>
      <c r="C2" s="5"/>
    </row>
    <row r="3" spans="1:3" x14ac:dyDescent="0.5">
      <c r="A3" s="7" t="s">
        <v>9</v>
      </c>
      <c r="B3" s="7" t="s">
        <v>9</v>
      </c>
      <c r="C3" s="20" t="s">
        <v>36</v>
      </c>
    </row>
    <row r="4" spans="1:3" x14ac:dyDescent="0.5">
      <c r="A4" s="11" t="s">
        <v>37</v>
      </c>
      <c r="B4" s="8" t="s">
        <v>38</v>
      </c>
      <c r="C4" s="5">
        <f>3253/6086</f>
        <v>0.53450542228064413</v>
      </c>
    </row>
    <row r="5" spans="1:3" x14ac:dyDescent="0.5">
      <c r="A5" s="12" t="s">
        <v>0</v>
      </c>
      <c r="B5" s="8" t="s">
        <v>11</v>
      </c>
      <c r="C5" s="5">
        <f>3191/5949</f>
        <v>0.53639267103714905</v>
      </c>
    </row>
    <row r="6" spans="1:3" x14ac:dyDescent="0.5">
      <c r="A6" s="12" t="s">
        <v>1</v>
      </c>
      <c r="B6" s="8" t="s">
        <v>12</v>
      </c>
      <c r="C6" s="5">
        <f>3175/5852</f>
        <v>0.54254955570745045</v>
      </c>
    </row>
    <row r="7" spans="1:3" x14ac:dyDescent="0.5">
      <c r="A7" s="12" t="s">
        <v>2</v>
      </c>
      <c r="B7" s="8" t="s">
        <v>13</v>
      </c>
      <c r="C7" s="5">
        <f>3124/5714</f>
        <v>0.54672733636681836</v>
      </c>
    </row>
    <row r="8" spans="1:3" x14ac:dyDescent="0.5">
      <c r="A8" s="12" t="s">
        <v>3</v>
      </c>
      <c r="B8" s="8" t="s">
        <v>14</v>
      </c>
      <c r="C8" s="5">
        <f>3082/5768</f>
        <v>0.5343273231622746</v>
      </c>
    </row>
    <row r="9" spans="1:3" x14ac:dyDescent="0.5">
      <c r="A9" s="12" t="s">
        <v>4</v>
      </c>
      <c r="B9" s="6" t="s">
        <v>39</v>
      </c>
      <c r="C9" s="5">
        <f>3058/5748</f>
        <v>0.53201113430758529</v>
      </c>
    </row>
    <row r="10" spans="1:3" x14ac:dyDescent="0.5">
      <c r="A10" s="11" t="s">
        <v>40</v>
      </c>
      <c r="B10" s="8" t="s">
        <v>15</v>
      </c>
      <c r="C10" s="5">
        <f>2991/5617</f>
        <v>0.53249065337368706</v>
      </c>
    </row>
    <row r="11" spans="1:3" x14ac:dyDescent="0.5">
      <c r="A11" s="12" t="s">
        <v>5</v>
      </c>
      <c r="B11" s="8" t="s">
        <v>16</v>
      </c>
      <c r="C11" s="5">
        <f>2967/5579</f>
        <v>0.53181573758738121</v>
      </c>
    </row>
    <row r="12" spans="1:3" x14ac:dyDescent="0.5">
      <c r="A12" s="12" t="s">
        <v>6</v>
      </c>
      <c r="B12" s="8" t="s">
        <v>17</v>
      </c>
      <c r="C12" s="5">
        <f>3003/5628</f>
        <v>0.53358208955223885</v>
      </c>
    </row>
    <row r="13" spans="1:3" x14ac:dyDescent="0.5">
      <c r="A13" s="12" t="s">
        <v>7</v>
      </c>
      <c r="B13" s="8" t="s">
        <v>18</v>
      </c>
      <c r="C13" s="5">
        <f>3059/5699</f>
        <v>0.53676083523425167</v>
      </c>
    </row>
    <row r="14" spans="1:3" x14ac:dyDescent="0.5">
      <c r="A14" s="12" t="s">
        <v>8</v>
      </c>
      <c r="B14" s="6" t="s">
        <v>41</v>
      </c>
      <c r="C14" s="5">
        <f>2989/5635</f>
        <v>0.5304347826086957</v>
      </c>
    </row>
    <row r="15" spans="1:3" x14ac:dyDescent="0.5">
      <c r="A15" s="11" t="s">
        <v>42</v>
      </c>
      <c r="B15" s="6" t="s">
        <v>43</v>
      </c>
      <c r="C15" s="5">
        <f>3058/5699</f>
        <v>0.53658536585365857</v>
      </c>
    </row>
    <row r="16" spans="1:3" ht="43.5" customHeight="1" x14ac:dyDescent="0.5">
      <c r="A16" s="4"/>
      <c r="B16" s="4"/>
      <c r="C16" s="5"/>
    </row>
    <row r="17" spans="1:3" ht="20.100000000000001" customHeight="1" x14ac:dyDescent="0.5">
      <c r="B17" s="9"/>
      <c r="C17" s="10"/>
    </row>
    <row r="18" spans="1:3" ht="20.100000000000001" customHeight="1" x14ac:dyDescent="0.5">
      <c r="B18" s="9"/>
      <c r="C18" s="10"/>
    </row>
    <row r="19" spans="1:3" ht="20.100000000000001" customHeight="1" x14ac:dyDescent="0.5">
      <c r="A19" s="9"/>
      <c r="B19" s="9"/>
      <c r="C19" s="10"/>
    </row>
    <row r="20" spans="1:3" ht="20.100000000000001" customHeight="1" x14ac:dyDescent="0.5">
      <c r="B20" s="9"/>
      <c r="C20" s="10"/>
    </row>
    <row r="21" spans="1:3" ht="20.100000000000001" customHeight="1" x14ac:dyDescent="0.5">
      <c r="A21" s="9" t="s">
        <v>44</v>
      </c>
    </row>
    <row r="22" spans="1:3" ht="20.100000000000001" customHeight="1" x14ac:dyDescent="0.5">
      <c r="A22" s="9" t="s">
        <v>45</v>
      </c>
    </row>
  </sheetData>
  <phoneticPr fontId="0" type="noConversion"/>
  <pageMargins left="0.63" right="0.56999999999999995" top="1.78" bottom="0.76" header="0.5" footer="0.5"/>
  <pageSetup orientation="portrait" horizontalDpi="4294967292" r:id="rId1"/>
  <headerFooter alignWithMargins="0">
    <oddHeader xml:space="preserve">&amp;C&amp;"Arial,Bold"&amp;24Title IV-E Monthly Penetration Rate
SFY 2010-2011
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3FFFF1-F8AA-43ED-A7A8-E04E5F49AF27}">
  <dimension ref="A1:D26"/>
  <sheetViews>
    <sheetView showGridLines="0" zoomScale="94" zoomScaleNormal="94" workbookViewId="0">
      <selection activeCell="B18" sqref="B18"/>
    </sheetView>
  </sheetViews>
  <sheetFormatPr defaultColWidth="9.109375" defaultRowHeight="30" x14ac:dyDescent="0.5"/>
  <cols>
    <col min="1" max="1" width="23" style="1" customWidth="1"/>
    <col min="2" max="2" width="30" style="1" customWidth="1"/>
    <col min="3" max="3" width="23.5546875" style="2" customWidth="1"/>
    <col min="4" max="4" width="23.6640625" style="2" customWidth="1"/>
    <col min="5" max="16384" width="9.109375" style="1"/>
  </cols>
  <sheetData>
    <row r="1" spans="1:4" x14ac:dyDescent="0.5">
      <c r="A1" s="30" t="s">
        <v>31</v>
      </c>
      <c r="B1" s="31"/>
      <c r="C1" s="31"/>
      <c r="D1" s="32"/>
    </row>
    <row r="2" spans="1:4" x14ac:dyDescent="0.5">
      <c r="A2" s="30" t="s">
        <v>27</v>
      </c>
      <c r="B2" s="31"/>
      <c r="C2" s="31"/>
      <c r="D2" s="32"/>
    </row>
    <row r="3" spans="1:4" x14ac:dyDescent="0.5">
      <c r="A3" s="30" t="s">
        <v>109</v>
      </c>
      <c r="B3" s="31"/>
      <c r="C3" s="31"/>
      <c r="D3" s="32"/>
    </row>
    <row r="4" spans="1:4" ht="14.25" customHeight="1" x14ac:dyDescent="0.5">
      <c r="A4" s="23"/>
      <c r="B4" s="24"/>
      <c r="C4" s="24"/>
      <c r="D4" s="24"/>
    </row>
    <row r="5" spans="1:4" ht="23.25" customHeight="1" x14ac:dyDescent="0.5">
      <c r="A5" s="3">
        <v>1571</v>
      </c>
      <c r="B5" s="3">
        <v>1571</v>
      </c>
      <c r="C5" s="15" t="s">
        <v>29</v>
      </c>
      <c r="D5" s="16" t="s">
        <v>32</v>
      </c>
    </row>
    <row r="6" spans="1:4" ht="23.25" customHeight="1" x14ac:dyDescent="0.5">
      <c r="A6" s="3" t="s">
        <v>10</v>
      </c>
      <c r="B6" s="3" t="s">
        <v>19</v>
      </c>
      <c r="C6" s="15" t="s">
        <v>30</v>
      </c>
      <c r="D6" s="16" t="s">
        <v>33</v>
      </c>
    </row>
    <row r="7" spans="1:4" ht="23.25" customHeight="1" x14ac:dyDescent="0.5">
      <c r="A7" s="7" t="s">
        <v>9</v>
      </c>
      <c r="B7" s="7" t="s">
        <v>9</v>
      </c>
      <c r="C7" s="17" t="s">
        <v>36</v>
      </c>
      <c r="D7" s="17" t="s">
        <v>36</v>
      </c>
    </row>
    <row r="8" spans="1:4" x14ac:dyDescent="0.5">
      <c r="A8" s="22">
        <v>43647</v>
      </c>
      <c r="B8" s="22">
        <v>43678</v>
      </c>
      <c r="C8" s="18">
        <f>5219/10758</f>
        <v>0.48512734709053729</v>
      </c>
      <c r="D8" s="19">
        <f>11859/16679</f>
        <v>0.71101384975118409</v>
      </c>
    </row>
    <row r="9" spans="1:4" x14ac:dyDescent="0.5">
      <c r="A9" s="22">
        <v>43678</v>
      </c>
      <c r="B9" s="22">
        <v>43709</v>
      </c>
      <c r="C9" s="18">
        <f>5146/10762</f>
        <v>0.4781639100538933</v>
      </c>
      <c r="D9" s="19">
        <f>11878/16684</f>
        <v>0.71193958283385284</v>
      </c>
    </row>
    <row r="10" spans="1:4" x14ac:dyDescent="0.5">
      <c r="A10" s="22">
        <v>43709</v>
      </c>
      <c r="B10" s="22">
        <v>43739</v>
      </c>
      <c r="C10" s="18">
        <f>5164/10696</f>
        <v>0.48279730740463722</v>
      </c>
      <c r="D10" s="19">
        <f>11940/16704</f>
        <v>0.7147988505747126</v>
      </c>
    </row>
    <row r="11" spans="1:4" x14ac:dyDescent="0.5">
      <c r="A11" s="22">
        <v>43739</v>
      </c>
      <c r="B11" s="22">
        <v>43770</v>
      </c>
      <c r="C11" s="18">
        <f>5092/10575</f>
        <v>0.48151300236406619</v>
      </c>
      <c r="D11" s="19">
        <f>11980/16723</f>
        <v>0.71637864019613706</v>
      </c>
    </row>
    <row r="12" spans="1:4" x14ac:dyDescent="0.5">
      <c r="A12" s="22">
        <v>43770</v>
      </c>
      <c r="B12" s="22">
        <v>43800</v>
      </c>
      <c r="C12" s="18">
        <f>5056/10476</f>
        <v>0.482626956853761</v>
      </c>
      <c r="D12" s="19">
        <f>12051/16762</f>
        <v>0.71894761961579767</v>
      </c>
    </row>
    <row r="13" spans="1:4" x14ac:dyDescent="0.5">
      <c r="A13" s="22">
        <v>43800</v>
      </c>
      <c r="B13" s="22">
        <v>43831</v>
      </c>
      <c r="C13" s="18">
        <f>4997/10441</f>
        <v>0.47859400440570826</v>
      </c>
      <c r="D13" s="19">
        <f>12145/16832</f>
        <v>0.72154230038022815</v>
      </c>
    </row>
    <row r="14" spans="1:4" x14ac:dyDescent="0.5">
      <c r="A14" s="22">
        <v>43831</v>
      </c>
      <c r="B14" s="22">
        <v>43862</v>
      </c>
      <c r="C14" s="18">
        <f>4947/10382</f>
        <v>0.47649778462723946</v>
      </c>
      <c r="D14" s="19">
        <f>12197/16851</f>
        <v>0.72381461040887785</v>
      </c>
    </row>
    <row r="15" spans="1:4" x14ac:dyDescent="0.5">
      <c r="A15" s="22">
        <v>43862</v>
      </c>
      <c r="B15" s="22">
        <v>43891</v>
      </c>
      <c r="C15" s="18">
        <f>5018/10627</f>
        <v>0.47219346946457136</v>
      </c>
      <c r="D15" s="19">
        <f>12265/16885</f>
        <v>0.7263843648208469</v>
      </c>
    </row>
    <row r="16" spans="1:4" x14ac:dyDescent="0.5">
      <c r="A16" s="22">
        <v>43891</v>
      </c>
      <c r="B16" s="22">
        <v>43922</v>
      </c>
      <c r="C16" s="18">
        <f>5030/10505</f>
        <v>0.47881960970966209</v>
      </c>
      <c r="D16" s="19">
        <f>12297/16868</f>
        <v>0.72901351671804604</v>
      </c>
    </row>
    <row r="17" spans="1:4" x14ac:dyDescent="0.5">
      <c r="A17" s="22">
        <v>43922</v>
      </c>
      <c r="B17" s="22">
        <v>43952</v>
      </c>
      <c r="C17" s="18">
        <f>5046/10517</f>
        <v>0.47979461823713987</v>
      </c>
      <c r="D17" s="19">
        <f>12340/16879</f>
        <v>0.73108596480834176</v>
      </c>
    </row>
    <row r="18" spans="1:4" x14ac:dyDescent="0.5">
      <c r="A18" s="22">
        <v>43952</v>
      </c>
      <c r="B18" s="22">
        <v>43983</v>
      </c>
      <c r="C18" s="18">
        <f>5085/10547</f>
        <v>0.48212761922821656</v>
      </c>
      <c r="D18" s="19">
        <f>12357/16852</f>
        <v>0.73326608117730829</v>
      </c>
    </row>
    <row r="19" spans="1:4" x14ac:dyDescent="0.5">
      <c r="A19" s="22">
        <v>43983</v>
      </c>
      <c r="B19" s="22">
        <v>44013</v>
      </c>
      <c r="C19" s="18">
        <f>5109/10630</f>
        <v>0.48062088428974598</v>
      </c>
      <c r="D19" s="19">
        <f>12400/16883</f>
        <v>0.73446662323046852</v>
      </c>
    </row>
    <row r="20" spans="1:4" ht="43.5" customHeight="1" x14ac:dyDescent="0.5">
      <c r="A20" s="4"/>
      <c r="B20" s="4"/>
      <c r="C20" s="5"/>
      <c r="D20" s="5"/>
    </row>
    <row r="21" spans="1:4" ht="20.100000000000001" customHeight="1" x14ac:dyDescent="0.5">
      <c r="B21" s="9"/>
      <c r="C21" s="10"/>
      <c r="D21" s="10"/>
    </row>
    <row r="22" spans="1:4" ht="20.100000000000001" customHeight="1" x14ac:dyDescent="0.5">
      <c r="B22" s="9"/>
      <c r="C22" s="10"/>
      <c r="D22" s="10"/>
    </row>
    <row r="23" spans="1:4" ht="20.100000000000001" customHeight="1" x14ac:dyDescent="0.5">
      <c r="A23" s="9" t="s">
        <v>110</v>
      </c>
    </row>
    <row r="24" spans="1:4" ht="20.100000000000001" customHeight="1" x14ac:dyDescent="0.5">
      <c r="A24" s="9" t="s">
        <v>111</v>
      </c>
    </row>
    <row r="25" spans="1:4" ht="20.100000000000001" customHeight="1" x14ac:dyDescent="0.5">
      <c r="A25" s="9"/>
    </row>
    <row r="26" spans="1:4" x14ac:dyDescent="0.5">
      <c r="A26" s="21" t="s">
        <v>65</v>
      </c>
    </row>
  </sheetData>
  <mergeCells count="3">
    <mergeCell ref="A1:D1"/>
    <mergeCell ref="A2:D2"/>
    <mergeCell ref="A3:D3"/>
  </mergeCells>
  <pageMargins left="0.38" right="0.32" top="0.78" bottom="0.76" header="0.5" footer="0.5"/>
  <pageSetup scale="95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A7FCCD-617B-4412-985E-09BFD6B2D073}">
  <dimension ref="A1:D26"/>
  <sheetViews>
    <sheetView showGridLines="0" tabSelected="1" zoomScale="94" zoomScaleNormal="94" workbookViewId="0">
      <selection activeCell="J11" sqref="J11"/>
    </sheetView>
  </sheetViews>
  <sheetFormatPr defaultColWidth="9.109375" defaultRowHeight="30" x14ac:dyDescent="0.5"/>
  <cols>
    <col min="1" max="1" width="23" style="1" customWidth="1"/>
    <col min="2" max="2" width="30" style="1" customWidth="1"/>
    <col min="3" max="3" width="23.5546875" style="2" customWidth="1"/>
    <col min="4" max="4" width="23.6640625" style="2" customWidth="1"/>
    <col min="5" max="16384" width="9.109375" style="1"/>
  </cols>
  <sheetData>
    <row r="1" spans="1:4" x14ac:dyDescent="0.5">
      <c r="A1" s="30" t="s">
        <v>31</v>
      </c>
      <c r="B1" s="31"/>
      <c r="C1" s="31"/>
      <c r="D1" s="32"/>
    </row>
    <row r="2" spans="1:4" x14ac:dyDescent="0.5">
      <c r="A2" s="30" t="s">
        <v>27</v>
      </c>
      <c r="B2" s="31"/>
      <c r="C2" s="31"/>
      <c r="D2" s="32"/>
    </row>
    <row r="3" spans="1:4" x14ac:dyDescent="0.5">
      <c r="A3" s="30" t="s">
        <v>112</v>
      </c>
      <c r="B3" s="31"/>
      <c r="C3" s="31"/>
      <c r="D3" s="32"/>
    </row>
    <row r="4" spans="1:4" ht="14.25" customHeight="1" x14ac:dyDescent="0.5">
      <c r="A4" s="25"/>
      <c r="B4" s="26"/>
      <c r="C4" s="26"/>
      <c r="D4" s="26"/>
    </row>
    <row r="5" spans="1:4" ht="23.25" customHeight="1" x14ac:dyDescent="0.5">
      <c r="A5" s="3">
        <v>1571</v>
      </c>
      <c r="B5" s="3">
        <v>1571</v>
      </c>
      <c r="C5" s="15" t="s">
        <v>29</v>
      </c>
      <c r="D5" s="16" t="s">
        <v>32</v>
      </c>
    </row>
    <row r="6" spans="1:4" ht="23.25" customHeight="1" x14ac:dyDescent="0.5">
      <c r="A6" s="3" t="s">
        <v>10</v>
      </c>
      <c r="B6" s="3" t="s">
        <v>19</v>
      </c>
      <c r="C6" s="15" t="s">
        <v>30</v>
      </c>
      <c r="D6" s="16" t="s">
        <v>33</v>
      </c>
    </row>
    <row r="7" spans="1:4" ht="23.25" customHeight="1" x14ac:dyDescent="0.5">
      <c r="A7" s="7" t="s">
        <v>9</v>
      </c>
      <c r="B7" s="7" t="s">
        <v>9</v>
      </c>
      <c r="C7" s="17" t="s">
        <v>36</v>
      </c>
      <c r="D7" s="17" t="s">
        <v>36</v>
      </c>
    </row>
    <row r="8" spans="1:4" x14ac:dyDescent="0.5">
      <c r="A8" s="22">
        <v>44013</v>
      </c>
      <c r="B8" s="22">
        <v>44044</v>
      </c>
      <c r="C8" s="18">
        <f>5052/10490</f>
        <v>0.48160152526215444</v>
      </c>
      <c r="D8" s="19">
        <f>12393/16844</f>
        <v>0.73575160294466868</v>
      </c>
    </row>
    <row r="9" spans="1:4" x14ac:dyDescent="0.5">
      <c r="A9" s="22">
        <v>44044</v>
      </c>
      <c r="B9" s="22">
        <v>44075</v>
      </c>
      <c r="C9" s="18">
        <f>5040/10408</f>
        <v>0.48424289008455035</v>
      </c>
      <c r="D9" s="19">
        <f>12399/16817</f>
        <v>0.73728964738062674</v>
      </c>
    </row>
    <row r="10" spans="1:4" x14ac:dyDescent="0.5">
      <c r="A10" s="22">
        <v>44075</v>
      </c>
      <c r="B10" s="22">
        <v>44105</v>
      </c>
      <c r="C10" s="18">
        <f>4992/10369</f>
        <v>0.48143504677403798</v>
      </c>
      <c r="D10" s="19">
        <f>12444/16827</f>
        <v>0.73952576216794441</v>
      </c>
    </row>
    <row r="11" spans="1:4" x14ac:dyDescent="0.5">
      <c r="A11" s="22">
        <v>44105</v>
      </c>
      <c r="B11" s="22">
        <v>44136</v>
      </c>
      <c r="C11" s="18">
        <f>4997/10783</f>
        <v>0.46341463414634149</v>
      </c>
      <c r="D11" s="19">
        <f>12451/16794</f>
        <v>0.7413957365725854</v>
      </c>
    </row>
    <row r="12" spans="1:4" x14ac:dyDescent="0.5">
      <c r="A12" s="22">
        <v>44136</v>
      </c>
      <c r="B12" s="22">
        <v>44166</v>
      </c>
      <c r="C12" s="18">
        <f>5001/10732</f>
        <v>0.46598956392098395</v>
      </c>
      <c r="D12" s="19">
        <f>12474/16797</f>
        <v>0.74263261296660121</v>
      </c>
    </row>
    <row r="13" spans="1:4" x14ac:dyDescent="0.5">
      <c r="A13" s="22">
        <v>44166</v>
      </c>
      <c r="B13" s="22">
        <v>44197</v>
      </c>
      <c r="C13" s="18">
        <f>5003/10765</f>
        <v>0.46474686483975847</v>
      </c>
      <c r="D13" s="19">
        <f>12525/16814</f>
        <v>0.74491495182585943</v>
      </c>
    </row>
    <row r="14" spans="1:4" x14ac:dyDescent="0.5">
      <c r="A14" s="22">
        <v>44197</v>
      </c>
      <c r="B14" s="22">
        <v>44228</v>
      </c>
      <c r="C14" s="18">
        <f>4947/10633</f>
        <v>0.46524969434778518</v>
      </c>
      <c r="D14" s="19">
        <f>12559/16812</f>
        <v>0.74702593385676896</v>
      </c>
    </row>
    <row r="15" spans="1:4" x14ac:dyDescent="0.5">
      <c r="A15" s="22">
        <v>44228</v>
      </c>
      <c r="B15" s="22">
        <v>44256</v>
      </c>
      <c r="C15" s="18">
        <f>4939/10678</f>
        <v>0.46253980146094775</v>
      </c>
      <c r="D15" s="19">
        <f>12579/16788</f>
        <v>0.74928520371694063</v>
      </c>
    </row>
    <row r="16" spans="1:4" x14ac:dyDescent="0.5">
      <c r="A16" s="22">
        <v>44256</v>
      </c>
      <c r="B16" s="22">
        <v>44287</v>
      </c>
      <c r="C16" s="18">
        <f>4967/10688</f>
        <v>0.46472679640718562</v>
      </c>
      <c r="D16" s="19">
        <f>12597/16785</f>
        <v>0.75049151027703309</v>
      </c>
    </row>
    <row r="17" spans="1:4" x14ac:dyDescent="0.5">
      <c r="A17" s="22">
        <v>44287</v>
      </c>
      <c r="B17" s="22">
        <v>44317</v>
      </c>
      <c r="C17" s="18"/>
      <c r="D17" s="19"/>
    </row>
    <row r="18" spans="1:4" x14ac:dyDescent="0.5">
      <c r="A18" s="22">
        <v>44317</v>
      </c>
      <c r="B18" s="22">
        <v>44348</v>
      </c>
      <c r="C18" s="18"/>
      <c r="D18" s="19"/>
    </row>
    <row r="19" spans="1:4" x14ac:dyDescent="0.5">
      <c r="A19" s="22">
        <v>44348</v>
      </c>
      <c r="B19" s="22">
        <v>44378</v>
      </c>
      <c r="C19" s="18"/>
      <c r="D19" s="19"/>
    </row>
    <row r="20" spans="1:4" ht="43.5" customHeight="1" x14ac:dyDescent="0.5">
      <c r="A20" s="4"/>
      <c r="B20" s="4"/>
      <c r="C20" s="5"/>
      <c r="D20" s="5"/>
    </row>
    <row r="21" spans="1:4" ht="20.100000000000001" customHeight="1" x14ac:dyDescent="0.5">
      <c r="B21" s="9"/>
      <c r="C21" s="10"/>
      <c r="D21" s="10"/>
    </row>
    <row r="22" spans="1:4" ht="20.100000000000001" customHeight="1" x14ac:dyDescent="0.5">
      <c r="B22" s="9"/>
      <c r="C22" s="10"/>
      <c r="D22" s="10"/>
    </row>
    <row r="23" spans="1:4" ht="20.100000000000001" customHeight="1" x14ac:dyDescent="0.5">
      <c r="A23" s="9" t="s">
        <v>110</v>
      </c>
    </row>
    <row r="24" spans="1:4" ht="20.100000000000001" customHeight="1" x14ac:dyDescent="0.5">
      <c r="A24" s="9" t="s">
        <v>111</v>
      </c>
    </row>
    <row r="25" spans="1:4" ht="20.100000000000001" customHeight="1" x14ac:dyDescent="0.5">
      <c r="A25" s="9"/>
    </row>
    <row r="26" spans="1:4" x14ac:dyDescent="0.5">
      <c r="A26" s="21" t="s">
        <v>65</v>
      </c>
    </row>
  </sheetData>
  <mergeCells count="3">
    <mergeCell ref="A1:D1"/>
    <mergeCell ref="A2:D2"/>
    <mergeCell ref="A3:D3"/>
  </mergeCells>
  <pageMargins left="0.38" right="0.32" top="0.78" bottom="0.76" header="0.5" footer="0.5"/>
  <pageSetup scale="95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22"/>
  <sheetViews>
    <sheetView showGridLines="0" zoomScaleNormal="100" workbookViewId="0">
      <selection activeCell="B18" sqref="B18"/>
    </sheetView>
  </sheetViews>
  <sheetFormatPr defaultColWidth="9.109375" defaultRowHeight="30" x14ac:dyDescent="0.5"/>
  <cols>
    <col min="1" max="1" width="25.6640625" style="1" customWidth="1"/>
    <col min="2" max="2" width="36.88671875" style="1" customWidth="1"/>
    <col min="3" max="3" width="29.33203125" style="2" bestFit="1" customWidth="1"/>
    <col min="4" max="16384" width="9.109375" style="1"/>
  </cols>
  <sheetData>
    <row r="1" spans="1:3" x14ac:dyDescent="0.5">
      <c r="A1" s="3">
        <v>1571</v>
      </c>
      <c r="B1" s="3">
        <v>1571</v>
      </c>
      <c r="C1" s="5"/>
    </row>
    <row r="2" spans="1:3" x14ac:dyDescent="0.5">
      <c r="A2" s="3" t="s">
        <v>10</v>
      </c>
      <c r="B2" s="3" t="s">
        <v>19</v>
      </c>
      <c r="C2" s="5"/>
    </row>
    <row r="3" spans="1:3" x14ac:dyDescent="0.5">
      <c r="A3" s="7" t="s">
        <v>9</v>
      </c>
      <c r="B3" s="7" t="s">
        <v>9</v>
      </c>
      <c r="C3" s="20" t="s">
        <v>36</v>
      </c>
    </row>
    <row r="4" spans="1:3" x14ac:dyDescent="0.5">
      <c r="A4" s="11" t="s">
        <v>46</v>
      </c>
      <c r="B4" s="8" t="s">
        <v>47</v>
      </c>
      <c r="C4" s="5">
        <f>3092/5852</f>
        <v>0.5283663704716336</v>
      </c>
    </row>
    <row r="5" spans="1:3" x14ac:dyDescent="0.5">
      <c r="A5" s="12" t="s">
        <v>0</v>
      </c>
      <c r="B5" s="8" t="s">
        <v>11</v>
      </c>
      <c r="C5" s="5">
        <f>3001/5602</f>
        <v>0.53570153516601215</v>
      </c>
    </row>
    <row r="6" spans="1:3" x14ac:dyDescent="0.5">
      <c r="A6" s="12" t="s">
        <v>1</v>
      </c>
      <c r="B6" s="8" t="s">
        <v>12</v>
      </c>
      <c r="C6" s="5">
        <f>3037/5654</f>
        <v>0.53714184648036789</v>
      </c>
    </row>
    <row r="7" spans="1:3" x14ac:dyDescent="0.5">
      <c r="A7" s="12" t="s">
        <v>2</v>
      </c>
      <c r="B7" s="8" t="s">
        <v>13</v>
      </c>
      <c r="C7" s="5">
        <f>3004/5547</f>
        <v>0.54155399314945019</v>
      </c>
    </row>
    <row r="8" spans="1:3" x14ac:dyDescent="0.5">
      <c r="A8" s="12" t="s">
        <v>3</v>
      </c>
      <c r="B8" s="8" t="s">
        <v>14</v>
      </c>
      <c r="C8" s="5">
        <f>2998/5536</f>
        <v>0.54154624277456642</v>
      </c>
    </row>
    <row r="9" spans="1:3" x14ac:dyDescent="0.5">
      <c r="A9" s="12" t="s">
        <v>4</v>
      </c>
      <c r="B9" s="6" t="s">
        <v>48</v>
      </c>
      <c r="C9" s="5">
        <f>2983/5454</f>
        <v>0.54693802713604689</v>
      </c>
    </row>
    <row r="10" spans="1:3" x14ac:dyDescent="0.5">
      <c r="A10" s="11" t="s">
        <v>49</v>
      </c>
      <c r="B10" s="8" t="s">
        <v>15</v>
      </c>
      <c r="C10" s="5">
        <f>2951/5388</f>
        <v>0.54769858945805494</v>
      </c>
    </row>
    <row r="11" spans="1:3" x14ac:dyDescent="0.5">
      <c r="A11" s="12" t="s">
        <v>5</v>
      </c>
      <c r="B11" s="8" t="s">
        <v>16</v>
      </c>
      <c r="C11" s="5">
        <f>2988/5393</f>
        <v>0.55405154830335623</v>
      </c>
    </row>
    <row r="12" spans="1:3" x14ac:dyDescent="0.5">
      <c r="A12" s="12" t="s">
        <v>6</v>
      </c>
      <c r="B12" s="8" t="s">
        <v>17</v>
      </c>
      <c r="C12" s="5">
        <f>3002/5438</f>
        <v>0.55204119161456422</v>
      </c>
    </row>
    <row r="13" spans="1:3" x14ac:dyDescent="0.5">
      <c r="A13" s="12" t="s">
        <v>7</v>
      </c>
      <c r="B13" s="8" t="s">
        <v>18</v>
      </c>
      <c r="C13" s="5">
        <f>3043/5497</f>
        <v>0.55357467709659813</v>
      </c>
    </row>
    <row r="14" spans="1:3" x14ac:dyDescent="0.5">
      <c r="A14" s="12" t="s">
        <v>8</v>
      </c>
      <c r="B14" s="6" t="s">
        <v>50</v>
      </c>
      <c r="C14" s="5">
        <f>3035/5462</f>
        <v>0.55565726839985352</v>
      </c>
    </row>
    <row r="15" spans="1:3" x14ac:dyDescent="0.5">
      <c r="A15" s="11" t="s">
        <v>51</v>
      </c>
      <c r="B15" s="6" t="s">
        <v>52</v>
      </c>
      <c r="C15" s="5">
        <f>3135/5486</f>
        <v>0.57145461173897194</v>
      </c>
    </row>
    <row r="16" spans="1:3" ht="43.5" customHeight="1" x14ac:dyDescent="0.5">
      <c r="A16" s="4"/>
      <c r="B16" s="4"/>
      <c r="C16" s="5"/>
    </row>
    <row r="17" spans="1:3" ht="20.100000000000001" customHeight="1" x14ac:dyDescent="0.5">
      <c r="B17" s="9"/>
      <c r="C17" s="10"/>
    </row>
    <row r="18" spans="1:3" ht="20.100000000000001" customHeight="1" x14ac:dyDescent="0.5">
      <c r="B18" s="9"/>
      <c r="C18" s="10"/>
    </row>
    <row r="19" spans="1:3" ht="20.100000000000001" customHeight="1" x14ac:dyDescent="0.5">
      <c r="A19" s="9"/>
      <c r="B19" s="9"/>
      <c r="C19" s="10"/>
    </row>
    <row r="20" spans="1:3" ht="20.100000000000001" customHeight="1" x14ac:dyDescent="0.5">
      <c r="B20" s="9"/>
      <c r="C20" s="10"/>
    </row>
    <row r="21" spans="1:3" ht="20.100000000000001" customHeight="1" x14ac:dyDescent="0.5">
      <c r="A21" s="9" t="s">
        <v>53</v>
      </c>
    </row>
    <row r="22" spans="1:3" ht="20.100000000000001" customHeight="1" x14ac:dyDescent="0.5">
      <c r="A22" s="9" t="s">
        <v>54</v>
      </c>
    </row>
  </sheetData>
  <phoneticPr fontId="0" type="noConversion"/>
  <pageMargins left="0.63" right="0.56999999999999995" top="1.78" bottom="0.76" header="0.5" footer="0.5"/>
  <pageSetup orientation="portrait" horizontalDpi="4294967292" r:id="rId1"/>
  <headerFooter alignWithMargins="0">
    <oddHeader xml:space="preserve">&amp;C&amp;"Arial,Bold"&amp;24Title IV-E Monthly Penetration Rate
SFY 2011-2012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24"/>
  <sheetViews>
    <sheetView showGridLines="0" topLeftCell="A4" zoomScaleNormal="100" workbookViewId="0">
      <selection activeCell="B18" sqref="B18"/>
    </sheetView>
  </sheetViews>
  <sheetFormatPr defaultColWidth="9.109375" defaultRowHeight="30" x14ac:dyDescent="0.5"/>
  <cols>
    <col min="1" max="1" width="23" style="1" customWidth="1"/>
    <col min="2" max="2" width="30" style="1" customWidth="1"/>
    <col min="3" max="3" width="23.5546875" style="2" customWidth="1"/>
    <col min="4" max="4" width="23.6640625" style="2" customWidth="1"/>
    <col min="5" max="16384" width="9.109375" style="1"/>
  </cols>
  <sheetData>
    <row r="1" spans="1:4" x14ac:dyDescent="0.5">
      <c r="A1" s="27" t="s">
        <v>31</v>
      </c>
      <c r="B1" s="28"/>
      <c r="C1" s="28"/>
      <c r="D1" s="29"/>
    </row>
    <row r="2" spans="1:4" x14ac:dyDescent="0.5">
      <c r="A2" s="27" t="s">
        <v>27</v>
      </c>
      <c r="B2" s="28"/>
      <c r="C2" s="28"/>
      <c r="D2" s="29"/>
    </row>
    <row r="3" spans="1:4" x14ac:dyDescent="0.5">
      <c r="A3" s="27" t="s">
        <v>28</v>
      </c>
      <c r="B3" s="28"/>
      <c r="C3" s="28"/>
      <c r="D3" s="29"/>
    </row>
    <row r="4" spans="1:4" ht="14.25" customHeight="1" x14ac:dyDescent="0.5">
      <c r="A4" s="13"/>
      <c r="B4" s="14"/>
      <c r="C4" s="14"/>
      <c r="D4" s="14"/>
    </row>
    <row r="5" spans="1:4" ht="23.25" customHeight="1" x14ac:dyDescent="0.5">
      <c r="A5" s="3">
        <v>1571</v>
      </c>
      <c r="B5" s="3">
        <v>1571</v>
      </c>
      <c r="C5" s="15" t="s">
        <v>29</v>
      </c>
      <c r="D5" s="16" t="s">
        <v>32</v>
      </c>
    </row>
    <row r="6" spans="1:4" ht="23.25" customHeight="1" x14ac:dyDescent="0.5">
      <c r="A6" s="3" t="s">
        <v>10</v>
      </c>
      <c r="B6" s="3" t="s">
        <v>19</v>
      </c>
      <c r="C6" s="15" t="s">
        <v>30</v>
      </c>
      <c r="D6" s="16" t="s">
        <v>33</v>
      </c>
    </row>
    <row r="7" spans="1:4" ht="23.25" customHeight="1" x14ac:dyDescent="0.5">
      <c r="A7" s="7" t="s">
        <v>9</v>
      </c>
      <c r="B7" s="7" t="s">
        <v>9</v>
      </c>
      <c r="C7" s="17" t="s">
        <v>36</v>
      </c>
      <c r="D7" s="17" t="s">
        <v>36</v>
      </c>
    </row>
    <row r="8" spans="1:4" x14ac:dyDescent="0.5">
      <c r="A8" s="11" t="s">
        <v>20</v>
      </c>
      <c r="B8" s="8" t="s">
        <v>21</v>
      </c>
      <c r="C8" s="18">
        <f>3151/5538</f>
        <v>0.56897797038642106</v>
      </c>
      <c r="D8" s="19"/>
    </row>
    <row r="9" spans="1:4" x14ac:dyDescent="0.5">
      <c r="A9" s="12" t="s">
        <v>0</v>
      </c>
      <c r="B9" s="8" t="s">
        <v>11</v>
      </c>
      <c r="C9" s="18">
        <f>3140/5473</f>
        <v>0.5737255618490773</v>
      </c>
      <c r="D9" s="19"/>
    </row>
    <row r="10" spans="1:4" x14ac:dyDescent="0.5">
      <c r="A10" s="12" t="s">
        <v>1</v>
      </c>
      <c r="B10" s="8" t="s">
        <v>12</v>
      </c>
      <c r="C10" s="18">
        <f>3897/8208</f>
        <v>0.47478070175438597</v>
      </c>
      <c r="D10" s="19">
        <f>9380/15183</f>
        <v>0.61779621945597052</v>
      </c>
    </row>
    <row r="11" spans="1:4" x14ac:dyDescent="0.5">
      <c r="A11" s="12" t="s">
        <v>2</v>
      </c>
      <c r="B11" s="8" t="s">
        <v>13</v>
      </c>
      <c r="C11" s="18">
        <f>3930/8298</f>
        <v>0.47360809833694867</v>
      </c>
      <c r="D11" s="19">
        <f>9413/15223</f>
        <v>0.61834066872495563</v>
      </c>
    </row>
    <row r="12" spans="1:4" x14ac:dyDescent="0.5">
      <c r="A12" s="12" t="s">
        <v>3</v>
      </c>
      <c r="B12" s="8" t="s">
        <v>14</v>
      </c>
      <c r="C12" s="18">
        <f>3923/8295</f>
        <v>0.47293550331525014</v>
      </c>
      <c r="D12" s="19">
        <f>9430/15234</f>
        <v>0.61901010896678488</v>
      </c>
    </row>
    <row r="13" spans="1:4" x14ac:dyDescent="0.5">
      <c r="A13" s="12" t="s">
        <v>4</v>
      </c>
      <c r="B13" s="6" t="s">
        <v>34</v>
      </c>
      <c r="C13" s="18">
        <f>3913/8292</f>
        <v>0.47190062711046793</v>
      </c>
      <c r="D13" s="19">
        <f>9436/15219</f>
        <v>0.62001445561469215</v>
      </c>
    </row>
    <row r="14" spans="1:4" x14ac:dyDescent="0.5">
      <c r="A14" s="11" t="s">
        <v>35</v>
      </c>
      <c r="B14" s="8" t="s">
        <v>15</v>
      </c>
      <c r="C14" s="18">
        <f>3888/8311</f>
        <v>0.46781374082541211</v>
      </c>
      <c r="D14" s="19">
        <f>9479/15283</f>
        <v>0.62023162991559244</v>
      </c>
    </row>
    <row r="15" spans="1:4" x14ac:dyDescent="0.5">
      <c r="A15" s="12" t="s">
        <v>5</v>
      </c>
      <c r="B15" s="8" t="s">
        <v>16</v>
      </c>
      <c r="C15" s="18">
        <f>3893/8362</f>
        <v>0.46555847883281509</v>
      </c>
      <c r="D15" s="19">
        <f>9482/15274</f>
        <v>0.62079350530312949</v>
      </c>
    </row>
    <row r="16" spans="1:4" x14ac:dyDescent="0.5">
      <c r="A16" s="12" t="s">
        <v>6</v>
      </c>
      <c r="B16" s="8" t="s">
        <v>17</v>
      </c>
      <c r="C16" s="18">
        <f>3929/8429</f>
        <v>0.46612884090639461</v>
      </c>
      <c r="D16" s="19">
        <f>9483/15270</f>
        <v>0.62102161100196462</v>
      </c>
    </row>
    <row r="17" spans="1:4" x14ac:dyDescent="0.5">
      <c r="A17" s="12" t="s">
        <v>7</v>
      </c>
      <c r="B17" s="8" t="s">
        <v>18</v>
      </c>
      <c r="C17" s="18">
        <f>3957/8473</f>
        <v>0.46701286439277706</v>
      </c>
      <c r="D17" s="19">
        <f>9518/15297</f>
        <v>0.62221350591619273</v>
      </c>
    </row>
    <row r="18" spans="1:4" x14ac:dyDescent="0.5">
      <c r="A18" s="12" t="s">
        <v>8</v>
      </c>
      <c r="B18" s="6" t="s">
        <v>22</v>
      </c>
      <c r="C18" s="18">
        <f>3999/8615</f>
        <v>0.46419036564132327</v>
      </c>
      <c r="D18" s="19">
        <f>10011/16002</f>
        <v>0.62560929883764527</v>
      </c>
    </row>
    <row r="19" spans="1:4" x14ac:dyDescent="0.5">
      <c r="A19" s="11" t="s">
        <v>24</v>
      </c>
      <c r="B19" s="6" t="s">
        <v>23</v>
      </c>
      <c r="C19" s="18">
        <f>3992/8691</f>
        <v>0.45932573927050974</v>
      </c>
      <c r="D19" s="19">
        <f>10049/16031</f>
        <v>0.62684798203480752</v>
      </c>
    </row>
    <row r="20" spans="1:4" ht="43.5" customHeight="1" x14ac:dyDescent="0.5">
      <c r="A20" s="4"/>
      <c r="B20" s="4"/>
      <c r="C20" s="5"/>
      <c r="D20" s="5"/>
    </row>
    <row r="21" spans="1:4" ht="20.100000000000001" customHeight="1" x14ac:dyDescent="0.5">
      <c r="B21" s="9"/>
      <c r="C21" s="10"/>
      <c r="D21" s="10"/>
    </row>
    <row r="22" spans="1:4" ht="20.100000000000001" customHeight="1" x14ac:dyDescent="0.5">
      <c r="B22" s="9"/>
      <c r="C22" s="10"/>
      <c r="D22" s="10"/>
    </row>
    <row r="23" spans="1:4" ht="20.100000000000001" customHeight="1" x14ac:dyDescent="0.5">
      <c r="A23" s="9" t="s">
        <v>25</v>
      </c>
    </row>
    <row r="24" spans="1:4" ht="20.100000000000001" customHeight="1" x14ac:dyDescent="0.5">
      <c r="A24" s="9" t="s">
        <v>26</v>
      </c>
    </row>
  </sheetData>
  <mergeCells count="3">
    <mergeCell ref="A1:D1"/>
    <mergeCell ref="A2:D2"/>
    <mergeCell ref="A3:D3"/>
  </mergeCells>
  <phoneticPr fontId="0" type="noConversion"/>
  <pageMargins left="0.38" right="0.32" top="0.78" bottom="0.76" header="0.5" footer="0.5"/>
  <pageSetup scale="95" orientation="portrait" horizontalDpi="4294967292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26"/>
  <sheetViews>
    <sheetView showGridLines="0" topLeftCell="A2" zoomScaleNormal="100" workbookViewId="0">
      <selection activeCell="B18" sqref="B18"/>
    </sheetView>
  </sheetViews>
  <sheetFormatPr defaultColWidth="9.109375" defaultRowHeight="30" x14ac:dyDescent="0.5"/>
  <cols>
    <col min="1" max="1" width="23" style="1" customWidth="1"/>
    <col min="2" max="2" width="30" style="1" customWidth="1"/>
    <col min="3" max="3" width="23.5546875" style="2" customWidth="1"/>
    <col min="4" max="4" width="23.6640625" style="2" customWidth="1"/>
    <col min="5" max="16384" width="9.109375" style="1"/>
  </cols>
  <sheetData>
    <row r="1" spans="1:4" x14ac:dyDescent="0.5">
      <c r="A1" s="30" t="s">
        <v>31</v>
      </c>
      <c r="B1" s="31"/>
      <c r="C1" s="31"/>
      <c r="D1" s="32"/>
    </row>
    <row r="2" spans="1:4" x14ac:dyDescent="0.5">
      <c r="A2" s="30" t="s">
        <v>27</v>
      </c>
      <c r="B2" s="31"/>
      <c r="C2" s="31"/>
      <c r="D2" s="32"/>
    </row>
    <row r="3" spans="1:4" x14ac:dyDescent="0.5">
      <c r="A3" s="30" t="s">
        <v>55</v>
      </c>
      <c r="B3" s="31"/>
      <c r="C3" s="31"/>
      <c r="D3" s="32"/>
    </row>
    <row r="4" spans="1:4" ht="14.25" customHeight="1" x14ac:dyDescent="0.5">
      <c r="A4" s="13"/>
      <c r="B4" s="14"/>
      <c r="C4" s="14"/>
      <c r="D4" s="14"/>
    </row>
    <row r="5" spans="1:4" ht="23.25" customHeight="1" x14ac:dyDescent="0.5">
      <c r="A5" s="3">
        <v>1571</v>
      </c>
      <c r="B5" s="3">
        <v>1571</v>
      </c>
      <c r="C5" s="15" t="s">
        <v>29</v>
      </c>
      <c r="D5" s="16" t="s">
        <v>32</v>
      </c>
    </row>
    <row r="6" spans="1:4" ht="23.25" customHeight="1" x14ac:dyDescent="0.5">
      <c r="A6" s="3" t="s">
        <v>10</v>
      </c>
      <c r="B6" s="3" t="s">
        <v>19</v>
      </c>
      <c r="C6" s="15" t="s">
        <v>30</v>
      </c>
      <c r="D6" s="16" t="s">
        <v>33</v>
      </c>
    </row>
    <row r="7" spans="1:4" ht="23.25" customHeight="1" x14ac:dyDescent="0.5">
      <c r="A7" s="7" t="s">
        <v>9</v>
      </c>
      <c r="B7" s="7" t="s">
        <v>9</v>
      </c>
      <c r="C7" s="17" t="s">
        <v>36</v>
      </c>
      <c r="D7" s="17" t="s">
        <v>36</v>
      </c>
    </row>
    <row r="8" spans="1:4" x14ac:dyDescent="0.5">
      <c r="A8" s="11" t="s">
        <v>56</v>
      </c>
      <c r="B8" s="8" t="s">
        <v>57</v>
      </c>
      <c r="C8" s="18">
        <f>4004/8691</f>
        <v>0.46070647796571168</v>
      </c>
      <c r="D8" s="19">
        <f>10061/16020</f>
        <v>0.62802746566791512</v>
      </c>
    </row>
    <row r="9" spans="1:4" x14ac:dyDescent="0.5">
      <c r="A9" s="12" t="s">
        <v>0</v>
      </c>
      <c r="B9" s="8" t="s">
        <v>11</v>
      </c>
      <c r="C9" s="18">
        <f>4025/8708</f>
        <v>0.46221864951768488</v>
      </c>
      <c r="D9" s="19">
        <f>10078/16038</f>
        <v>0.6283825913455543</v>
      </c>
    </row>
    <row r="10" spans="1:4" x14ac:dyDescent="0.5">
      <c r="A10" s="12" t="s">
        <v>1</v>
      </c>
      <c r="B10" s="8" t="s">
        <v>12</v>
      </c>
      <c r="C10" s="18">
        <f>3952/8707</f>
        <v>0.45388767658206042</v>
      </c>
      <c r="D10" s="19">
        <f>10098/16031</f>
        <v>0.62990455991516436</v>
      </c>
    </row>
    <row r="11" spans="1:4" x14ac:dyDescent="0.5">
      <c r="A11" s="12" t="s">
        <v>2</v>
      </c>
      <c r="B11" s="8" t="s">
        <v>13</v>
      </c>
      <c r="C11" s="18">
        <f>4019/8880</f>
        <v>0.4525900900900901</v>
      </c>
      <c r="D11" s="19">
        <f>10112/16005</f>
        <v>0.63180256169946891</v>
      </c>
    </row>
    <row r="12" spans="1:4" x14ac:dyDescent="0.5">
      <c r="A12" s="12" t="s">
        <v>3</v>
      </c>
      <c r="B12" s="8" t="s">
        <v>14</v>
      </c>
      <c r="C12" s="18">
        <f>4009/8885</f>
        <v>0.45120990433314573</v>
      </c>
      <c r="D12" s="19">
        <f>10129/16013</f>
        <v>0.63254855429963153</v>
      </c>
    </row>
    <row r="13" spans="1:4" x14ac:dyDescent="0.5">
      <c r="A13" s="12" t="s">
        <v>4</v>
      </c>
      <c r="B13" s="6" t="s">
        <v>58</v>
      </c>
      <c r="C13" s="18">
        <f>4041/9014</f>
        <v>0.44830264033725314</v>
      </c>
      <c r="D13" s="19">
        <f>10162/16024</f>
        <v>0.63417373939091359</v>
      </c>
    </row>
    <row r="14" spans="1:4" x14ac:dyDescent="0.5">
      <c r="A14" s="11" t="s">
        <v>59</v>
      </c>
      <c r="B14" s="8" t="s">
        <v>15</v>
      </c>
      <c r="C14" s="18">
        <f>4105/8990</f>
        <v>0.45661846496106784</v>
      </c>
      <c r="D14" s="19">
        <f>10166/16018</f>
        <v>0.63466100636783618</v>
      </c>
    </row>
    <row r="15" spans="1:4" x14ac:dyDescent="0.5">
      <c r="A15" s="12" t="s">
        <v>5</v>
      </c>
      <c r="B15" s="8" t="s">
        <v>16</v>
      </c>
      <c r="C15" s="18">
        <f>4057/9077</f>
        <v>0.4469538393742426</v>
      </c>
      <c r="D15" s="19">
        <f>10122/15978</f>
        <v>0.63349605707848289</v>
      </c>
    </row>
    <row r="16" spans="1:4" x14ac:dyDescent="0.5">
      <c r="A16" s="12" t="s">
        <v>6</v>
      </c>
      <c r="B16" s="8" t="s">
        <v>17</v>
      </c>
      <c r="C16" s="18">
        <f>4090/9179</f>
        <v>0.44558230744089772</v>
      </c>
      <c r="D16" s="19">
        <f>10145/15982</f>
        <v>0.63477662370166432</v>
      </c>
    </row>
    <row r="17" spans="1:4" x14ac:dyDescent="0.5">
      <c r="A17" s="12" t="s">
        <v>7</v>
      </c>
      <c r="B17" s="8" t="s">
        <v>18</v>
      </c>
      <c r="C17" s="18">
        <f>4143/9301</f>
        <v>0.44543597462638423</v>
      </c>
      <c r="D17" s="19">
        <f>10156/15997</f>
        <v>0.63486903794461458</v>
      </c>
    </row>
    <row r="18" spans="1:4" x14ac:dyDescent="0.5">
      <c r="A18" s="12" t="s">
        <v>8</v>
      </c>
      <c r="B18" s="6" t="s">
        <v>61</v>
      </c>
      <c r="C18" s="18">
        <f>4262/9366</f>
        <v>0.45505018150758059</v>
      </c>
      <c r="D18" s="19">
        <f>10176/16027</f>
        <v>0.63492855805827664</v>
      </c>
    </row>
    <row r="19" spans="1:4" x14ac:dyDescent="0.5">
      <c r="A19" s="11" t="s">
        <v>60</v>
      </c>
      <c r="B19" s="6" t="s">
        <v>62</v>
      </c>
      <c r="C19" s="18">
        <f>4304/9450</f>
        <v>0.45544973544973544</v>
      </c>
      <c r="D19" s="19">
        <f>10193/16044</f>
        <v>0.6353153826975817</v>
      </c>
    </row>
    <row r="20" spans="1:4" ht="43.5" customHeight="1" x14ac:dyDescent="0.5">
      <c r="A20" s="4"/>
      <c r="B20" s="4"/>
      <c r="C20" s="5"/>
      <c r="D20" s="5"/>
    </row>
    <row r="21" spans="1:4" ht="20.100000000000001" customHeight="1" x14ac:dyDescent="0.5">
      <c r="B21" s="9"/>
      <c r="C21" s="10"/>
      <c r="D21" s="10"/>
    </row>
    <row r="22" spans="1:4" ht="20.100000000000001" customHeight="1" x14ac:dyDescent="0.5">
      <c r="B22" s="9"/>
      <c r="C22" s="10"/>
      <c r="D22" s="10"/>
    </row>
    <row r="23" spans="1:4" ht="20.100000000000001" customHeight="1" x14ac:dyDescent="0.5">
      <c r="A23" s="9" t="s">
        <v>63</v>
      </c>
    </row>
    <row r="24" spans="1:4" ht="20.100000000000001" customHeight="1" x14ac:dyDescent="0.5">
      <c r="A24" s="9" t="s">
        <v>64</v>
      </c>
    </row>
    <row r="25" spans="1:4" ht="20.100000000000001" customHeight="1" x14ac:dyDescent="0.5">
      <c r="A25" s="9"/>
    </row>
    <row r="26" spans="1:4" x14ac:dyDescent="0.5">
      <c r="A26" s="21" t="s">
        <v>65</v>
      </c>
    </row>
  </sheetData>
  <mergeCells count="3">
    <mergeCell ref="A1:D1"/>
    <mergeCell ref="A2:D2"/>
    <mergeCell ref="A3:D3"/>
  </mergeCells>
  <phoneticPr fontId="0" type="noConversion"/>
  <pageMargins left="0.38" right="0.32" top="0.78" bottom="0.76" header="0.5" footer="0.5"/>
  <pageSetup scale="95" orientation="portrait" horizontalDpi="4294967292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26"/>
  <sheetViews>
    <sheetView showGridLines="0" topLeftCell="A13" zoomScale="94" zoomScaleNormal="94" workbookViewId="0">
      <selection activeCell="B18" sqref="B18"/>
    </sheetView>
  </sheetViews>
  <sheetFormatPr defaultColWidth="9.109375" defaultRowHeight="30" x14ac:dyDescent="0.5"/>
  <cols>
    <col min="1" max="1" width="23" style="1" customWidth="1"/>
    <col min="2" max="2" width="30" style="1" customWidth="1"/>
    <col min="3" max="3" width="23.5546875" style="2" customWidth="1"/>
    <col min="4" max="4" width="23.6640625" style="2" customWidth="1"/>
    <col min="5" max="16384" width="9.109375" style="1"/>
  </cols>
  <sheetData>
    <row r="1" spans="1:4" x14ac:dyDescent="0.5">
      <c r="A1" s="30" t="s">
        <v>31</v>
      </c>
      <c r="B1" s="31"/>
      <c r="C1" s="31"/>
      <c r="D1" s="32"/>
    </row>
    <row r="2" spans="1:4" x14ac:dyDescent="0.5">
      <c r="A2" s="30" t="s">
        <v>27</v>
      </c>
      <c r="B2" s="31"/>
      <c r="C2" s="31"/>
      <c r="D2" s="32"/>
    </row>
    <row r="3" spans="1:4" x14ac:dyDescent="0.5">
      <c r="A3" s="30" t="s">
        <v>66</v>
      </c>
      <c r="B3" s="31"/>
      <c r="C3" s="31"/>
      <c r="D3" s="32"/>
    </row>
    <row r="4" spans="1:4" ht="14.25" customHeight="1" x14ac:dyDescent="0.5">
      <c r="A4" s="13"/>
      <c r="B4" s="14"/>
      <c r="C4" s="14"/>
      <c r="D4" s="14"/>
    </row>
    <row r="5" spans="1:4" ht="23.25" customHeight="1" x14ac:dyDescent="0.5">
      <c r="A5" s="3">
        <v>1571</v>
      </c>
      <c r="B5" s="3">
        <v>1571</v>
      </c>
      <c r="C5" s="15" t="s">
        <v>29</v>
      </c>
      <c r="D5" s="16" t="s">
        <v>32</v>
      </c>
    </row>
    <row r="6" spans="1:4" ht="23.25" customHeight="1" x14ac:dyDescent="0.5">
      <c r="A6" s="3" t="s">
        <v>10</v>
      </c>
      <c r="B6" s="3" t="s">
        <v>19</v>
      </c>
      <c r="C6" s="15" t="s">
        <v>30</v>
      </c>
      <c r="D6" s="16" t="s">
        <v>33</v>
      </c>
    </row>
    <row r="7" spans="1:4" ht="23.25" customHeight="1" x14ac:dyDescent="0.5">
      <c r="A7" s="7" t="s">
        <v>9</v>
      </c>
      <c r="B7" s="7" t="s">
        <v>9</v>
      </c>
      <c r="C7" s="17" t="s">
        <v>36</v>
      </c>
      <c r="D7" s="17" t="s">
        <v>36</v>
      </c>
    </row>
    <row r="8" spans="1:4" x14ac:dyDescent="0.5">
      <c r="A8" s="11" t="s">
        <v>67</v>
      </c>
      <c r="B8" s="8" t="s">
        <v>68</v>
      </c>
      <c r="C8" s="18">
        <f>4328/9490</f>
        <v>0.45605900948366701</v>
      </c>
      <c r="D8" s="19">
        <f>10181/16001</f>
        <v>0.6362727329541904</v>
      </c>
    </row>
    <row r="9" spans="1:4" x14ac:dyDescent="0.5">
      <c r="A9" s="12" t="s">
        <v>0</v>
      </c>
      <c r="B9" s="8" t="s">
        <v>11</v>
      </c>
      <c r="C9" s="18">
        <f>4349/9632</f>
        <v>0.45151578073089699</v>
      </c>
      <c r="D9" s="19">
        <f>10163/15970</f>
        <v>0.63638071383844708</v>
      </c>
    </row>
    <row r="10" spans="1:4" x14ac:dyDescent="0.5">
      <c r="A10" s="12" t="s">
        <v>1</v>
      </c>
      <c r="B10" s="8" t="s">
        <v>12</v>
      </c>
      <c r="C10" s="18">
        <f>4387/9738</f>
        <v>0.45050318340521667</v>
      </c>
      <c r="D10" s="19">
        <f>10115/15973</f>
        <v>0.63325611970199713</v>
      </c>
    </row>
    <row r="11" spans="1:4" x14ac:dyDescent="0.5">
      <c r="A11" s="12" t="s">
        <v>2</v>
      </c>
      <c r="B11" s="8" t="s">
        <v>13</v>
      </c>
      <c r="C11" s="18">
        <f>4420/9694</f>
        <v>0.45595213534144829</v>
      </c>
      <c r="D11" s="19">
        <f>10169/16011</f>
        <v>0.635125850977453</v>
      </c>
    </row>
    <row r="12" spans="1:4" x14ac:dyDescent="0.5">
      <c r="A12" s="12" t="s">
        <v>3</v>
      </c>
      <c r="B12" s="8" t="s">
        <v>14</v>
      </c>
      <c r="C12" s="18">
        <f>4455/9755</f>
        <v>0.45668887749871862</v>
      </c>
      <c r="D12" s="19">
        <f>10167/15995</f>
        <v>0.63563613629259141</v>
      </c>
    </row>
    <row r="13" spans="1:4" x14ac:dyDescent="0.5">
      <c r="A13" s="12" t="s">
        <v>4</v>
      </c>
      <c r="B13" s="6" t="s">
        <v>69</v>
      </c>
      <c r="C13" s="18">
        <f>4435/9776</f>
        <v>0.45366202945990181</v>
      </c>
      <c r="D13" s="19">
        <f>10198/16010</f>
        <v>0.63697688944409747</v>
      </c>
    </row>
    <row r="14" spans="1:4" x14ac:dyDescent="0.5">
      <c r="A14" s="11" t="s">
        <v>70</v>
      </c>
      <c r="B14" s="8" t="s">
        <v>15</v>
      </c>
      <c r="C14" s="18">
        <f>4406/9662</f>
        <v>0.45601324777478786</v>
      </c>
      <c r="D14" s="19">
        <f>10227/16031</f>
        <v>0.63795146902875677</v>
      </c>
    </row>
    <row r="15" spans="1:4" x14ac:dyDescent="0.5">
      <c r="A15" s="12" t="s">
        <v>5</v>
      </c>
      <c r="B15" s="8" t="s">
        <v>16</v>
      </c>
      <c r="C15" s="18">
        <f>4458/9750</f>
        <v>0.45723076923076922</v>
      </c>
      <c r="D15" s="19">
        <f>10225/16006</f>
        <v>0.63882294139697615</v>
      </c>
    </row>
    <row r="16" spans="1:4" x14ac:dyDescent="0.5">
      <c r="A16" s="12" t="s">
        <v>6</v>
      </c>
      <c r="B16" s="8" t="s">
        <v>17</v>
      </c>
      <c r="C16" s="18">
        <f>4485/9776</f>
        <v>0.45877659574468083</v>
      </c>
      <c r="D16" s="19">
        <f>10237/15998</f>
        <v>0.6398924865608201</v>
      </c>
    </row>
    <row r="17" spans="1:4" x14ac:dyDescent="0.5">
      <c r="A17" s="12" t="s">
        <v>7</v>
      </c>
      <c r="B17" s="8" t="s">
        <v>18</v>
      </c>
      <c r="C17" s="18">
        <f>4533/9862</f>
        <v>0.4596430744270939</v>
      </c>
      <c r="D17" s="19">
        <f>10252/16001</f>
        <v>0.64070995562777322</v>
      </c>
    </row>
    <row r="18" spans="1:4" x14ac:dyDescent="0.5">
      <c r="A18" s="12" t="s">
        <v>8</v>
      </c>
      <c r="B18" s="6" t="s">
        <v>71</v>
      </c>
      <c r="C18" s="18">
        <f>4540/9919</f>
        <v>0.45770743018449439</v>
      </c>
      <c r="D18" s="19">
        <f>10221/15989</f>
        <v>0.63925198574019637</v>
      </c>
    </row>
    <row r="19" spans="1:4" x14ac:dyDescent="0.5">
      <c r="A19" s="11" t="s">
        <v>73</v>
      </c>
      <c r="B19" s="6" t="s">
        <v>72</v>
      </c>
      <c r="C19" s="18">
        <f>4576/10054</f>
        <v>0.4551422319474836</v>
      </c>
      <c r="D19" s="19">
        <f>10236/16014</f>
        <v>0.63919070813038592</v>
      </c>
    </row>
    <row r="20" spans="1:4" ht="43.5" customHeight="1" x14ac:dyDescent="0.5">
      <c r="A20" s="4"/>
      <c r="B20" s="4"/>
      <c r="C20" s="5"/>
      <c r="D20" s="5"/>
    </row>
    <row r="21" spans="1:4" ht="20.100000000000001" customHeight="1" x14ac:dyDescent="0.5">
      <c r="B21" s="9"/>
      <c r="C21" s="10"/>
      <c r="D21" s="10"/>
    </row>
    <row r="22" spans="1:4" ht="20.100000000000001" customHeight="1" x14ac:dyDescent="0.5">
      <c r="B22" s="9"/>
      <c r="C22" s="10"/>
      <c r="D22" s="10"/>
    </row>
    <row r="23" spans="1:4" ht="20.100000000000001" customHeight="1" x14ac:dyDescent="0.5">
      <c r="A23" s="9" t="s">
        <v>74</v>
      </c>
    </row>
    <row r="24" spans="1:4" ht="20.100000000000001" customHeight="1" x14ac:dyDescent="0.5">
      <c r="A24" s="9" t="s">
        <v>75</v>
      </c>
    </row>
    <row r="25" spans="1:4" ht="20.100000000000001" customHeight="1" x14ac:dyDescent="0.5">
      <c r="A25" s="9"/>
    </row>
    <row r="26" spans="1:4" x14ac:dyDescent="0.5">
      <c r="A26" s="21" t="s">
        <v>65</v>
      </c>
    </row>
  </sheetData>
  <mergeCells count="3">
    <mergeCell ref="A1:D1"/>
    <mergeCell ref="A2:D2"/>
    <mergeCell ref="A3:D3"/>
  </mergeCells>
  <phoneticPr fontId="0" type="noConversion"/>
  <pageMargins left="0.38" right="0.32" top="0.78" bottom="0.76" header="0.5" footer="0.5"/>
  <pageSetup scale="95" orientation="portrait" horizontalDpi="1200" verticalDpi="12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26"/>
  <sheetViews>
    <sheetView showGridLines="0" topLeftCell="A16" zoomScale="94" zoomScaleNormal="94" workbookViewId="0">
      <selection activeCell="B18" sqref="B18"/>
    </sheetView>
  </sheetViews>
  <sheetFormatPr defaultColWidth="9.109375" defaultRowHeight="30" x14ac:dyDescent="0.5"/>
  <cols>
    <col min="1" max="1" width="23" style="1" customWidth="1"/>
    <col min="2" max="2" width="30" style="1" customWidth="1"/>
    <col min="3" max="3" width="23.5546875" style="2" customWidth="1"/>
    <col min="4" max="4" width="23.6640625" style="2" customWidth="1"/>
    <col min="5" max="16384" width="9.109375" style="1"/>
  </cols>
  <sheetData>
    <row r="1" spans="1:4" x14ac:dyDescent="0.5">
      <c r="A1" s="30" t="s">
        <v>31</v>
      </c>
      <c r="B1" s="31"/>
      <c r="C1" s="31"/>
      <c r="D1" s="32"/>
    </row>
    <row r="2" spans="1:4" x14ac:dyDescent="0.5">
      <c r="A2" s="30" t="s">
        <v>27</v>
      </c>
      <c r="B2" s="31"/>
      <c r="C2" s="31"/>
      <c r="D2" s="32"/>
    </row>
    <row r="3" spans="1:4" x14ac:dyDescent="0.5">
      <c r="A3" s="30" t="s">
        <v>85</v>
      </c>
      <c r="B3" s="31"/>
      <c r="C3" s="31"/>
      <c r="D3" s="32"/>
    </row>
    <row r="4" spans="1:4" ht="14.25" customHeight="1" x14ac:dyDescent="0.5">
      <c r="A4" s="13"/>
      <c r="B4" s="14"/>
      <c r="C4" s="14"/>
      <c r="D4" s="14"/>
    </row>
    <row r="5" spans="1:4" ht="23.25" customHeight="1" x14ac:dyDescent="0.5">
      <c r="A5" s="3">
        <v>1571</v>
      </c>
      <c r="B5" s="3">
        <v>1571</v>
      </c>
      <c r="C5" s="15" t="s">
        <v>29</v>
      </c>
      <c r="D5" s="16" t="s">
        <v>32</v>
      </c>
    </row>
    <row r="6" spans="1:4" ht="23.25" customHeight="1" x14ac:dyDescent="0.5">
      <c r="A6" s="3" t="s">
        <v>10</v>
      </c>
      <c r="B6" s="3" t="s">
        <v>19</v>
      </c>
      <c r="C6" s="15" t="s">
        <v>30</v>
      </c>
      <c r="D6" s="16" t="s">
        <v>33</v>
      </c>
    </row>
    <row r="7" spans="1:4" ht="23.25" customHeight="1" x14ac:dyDescent="0.5">
      <c r="A7" s="7" t="s">
        <v>9</v>
      </c>
      <c r="B7" s="7" t="s">
        <v>9</v>
      </c>
      <c r="C7" s="17" t="s">
        <v>36</v>
      </c>
      <c r="D7" s="17" t="s">
        <v>36</v>
      </c>
    </row>
    <row r="8" spans="1:4" x14ac:dyDescent="0.5">
      <c r="A8" s="11" t="s">
        <v>78</v>
      </c>
      <c r="B8" s="8" t="s">
        <v>79</v>
      </c>
      <c r="C8" s="18">
        <f>4591/10040</f>
        <v>0.45727091633466138</v>
      </c>
      <c r="D8" s="19">
        <f>10171/15972</f>
        <v>0.63680190333082898</v>
      </c>
    </row>
    <row r="9" spans="1:4" x14ac:dyDescent="0.5">
      <c r="A9" s="12" t="s">
        <v>0</v>
      </c>
      <c r="B9" s="8" t="s">
        <v>11</v>
      </c>
      <c r="C9" s="18">
        <f>4566/10025</f>
        <v>0.45546134663341648</v>
      </c>
      <c r="D9" s="19">
        <f>10192/15967</f>
        <v>0.63831652783866721</v>
      </c>
    </row>
    <row r="10" spans="1:4" x14ac:dyDescent="0.5">
      <c r="A10" s="12" t="s">
        <v>1</v>
      </c>
      <c r="B10" s="8" t="s">
        <v>12</v>
      </c>
      <c r="C10" s="18">
        <f>4570/10098</f>
        <v>0.45256486432957022</v>
      </c>
      <c r="D10" s="19">
        <f>10209/15991</f>
        <v>0.63842161215683824</v>
      </c>
    </row>
    <row r="11" spans="1:4" x14ac:dyDescent="0.5">
      <c r="A11" s="12" t="s">
        <v>2</v>
      </c>
      <c r="B11" s="8" t="s">
        <v>13</v>
      </c>
      <c r="C11" s="18">
        <f>4574/10153</f>
        <v>0.45050723923963359</v>
      </c>
      <c r="D11" s="19">
        <f>10243/15986</f>
        <v>0.64074815463530588</v>
      </c>
    </row>
    <row r="12" spans="1:4" x14ac:dyDescent="0.5">
      <c r="A12" s="12" t="s">
        <v>3</v>
      </c>
      <c r="B12" s="8" t="s">
        <v>14</v>
      </c>
      <c r="C12" s="18">
        <f>4628/10115</f>
        <v>0.45753830944142365</v>
      </c>
      <c r="D12" s="19">
        <f>10266/15992</f>
        <v>0.64194597298649325</v>
      </c>
    </row>
    <row r="13" spans="1:4" x14ac:dyDescent="0.5">
      <c r="A13" s="12" t="s">
        <v>4</v>
      </c>
      <c r="B13" s="6" t="s">
        <v>80</v>
      </c>
      <c r="C13" s="18">
        <f>4680/10129</f>
        <v>0.46203968802448414</v>
      </c>
      <c r="D13" s="19">
        <f>10307/16015</f>
        <v>0.64358413986887297</v>
      </c>
    </row>
    <row r="14" spans="1:4" x14ac:dyDescent="0.5">
      <c r="A14" s="11" t="s">
        <v>81</v>
      </c>
      <c r="B14" s="8" t="s">
        <v>15</v>
      </c>
      <c r="C14" s="18">
        <f>4603/10006</f>
        <v>0.46002398560863483</v>
      </c>
      <c r="D14" s="19">
        <f>10342/16020</f>
        <v>0.6455680399500624</v>
      </c>
    </row>
    <row r="15" spans="1:4" x14ac:dyDescent="0.5">
      <c r="A15" s="12" t="s">
        <v>5</v>
      </c>
      <c r="B15" s="8" t="s">
        <v>16</v>
      </c>
      <c r="C15" s="18">
        <f>4647/10048</f>
        <v>0.46248009554140129</v>
      </c>
      <c r="D15" s="19">
        <f>10385/16042</f>
        <v>0.64736317167435486</v>
      </c>
    </row>
    <row r="16" spans="1:4" x14ac:dyDescent="0.5">
      <c r="A16" s="12" t="s">
        <v>6</v>
      </c>
      <c r="B16" s="8" t="s">
        <v>17</v>
      </c>
      <c r="C16" s="18">
        <f>4664/10038</f>
        <v>0.46463438932058176</v>
      </c>
      <c r="D16" s="19">
        <f>10402/16054</f>
        <v>0.64793820854615669</v>
      </c>
    </row>
    <row r="17" spans="1:4" x14ac:dyDescent="0.5">
      <c r="A17" s="12" t="s">
        <v>7</v>
      </c>
      <c r="B17" s="8" t="s">
        <v>18</v>
      </c>
      <c r="C17" s="18">
        <f>4642/10147</f>
        <v>0.45747511579777272</v>
      </c>
      <c r="D17" s="19">
        <f>10429/16070</f>
        <v>0.64897324206596141</v>
      </c>
    </row>
    <row r="18" spans="1:4" x14ac:dyDescent="0.5">
      <c r="A18" s="12" t="s">
        <v>8</v>
      </c>
      <c r="B18" s="6" t="s">
        <v>82</v>
      </c>
      <c r="C18" s="18">
        <f>4657/10196</f>
        <v>0.45674774421341702</v>
      </c>
      <c r="D18" s="19">
        <f>10474/16095</f>
        <v>0.65076110593351977</v>
      </c>
    </row>
    <row r="19" spans="1:4" x14ac:dyDescent="0.5">
      <c r="A19" s="11" t="s">
        <v>83</v>
      </c>
      <c r="B19" s="6" t="s">
        <v>84</v>
      </c>
      <c r="C19" s="18">
        <f>4607/10133</f>
        <v>0.4546531135892628</v>
      </c>
      <c r="D19" s="19">
        <f>10513/16149</f>
        <v>0.65100006192333892</v>
      </c>
    </row>
    <row r="20" spans="1:4" ht="43.5" customHeight="1" x14ac:dyDescent="0.5">
      <c r="A20" s="4"/>
      <c r="B20" s="4"/>
      <c r="C20" s="5"/>
      <c r="D20" s="5"/>
    </row>
    <row r="21" spans="1:4" ht="20.100000000000001" customHeight="1" x14ac:dyDescent="0.5">
      <c r="B21" s="9"/>
      <c r="C21" s="10"/>
      <c r="D21" s="10"/>
    </row>
    <row r="22" spans="1:4" ht="20.100000000000001" customHeight="1" x14ac:dyDescent="0.5">
      <c r="B22" s="9"/>
      <c r="C22" s="10"/>
      <c r="D22" s="10"/>
    </row>
    <row r="23" spans="1:4" ht="20.100000000000001" customHeight="1" x14ac:dyDescent="0.5">
      <c r="A23" s="9" t="s">
        <v>76</v>
      </c>
    </row>
    <row r="24" spans="1:4" ht="20.100000000000001" customHeight="1" x14ac:dyDescent="0.5">
      <c r="A24" s="9" t="s">
        <v>77</v>
      </c>
    </row>
    <row r="25" spans="1:4" ht="20.100000000000001" customHeight="1" x14ac:dyDescent="0.5">
      <c r="A25" s="9"/>
    </row>
    <row r="26" spans="1:4" x14ac:dyDescent="0.5">
      <c r="A26" s="21" t="s">
        <v>65</v>
      </c>
    </row>
  </sheetData>
  <mergeCells count="3">
    <mergeCell ref="A1:D1"/>
    <mergeCell ref="A2:D2"/>
    <mergeCell ref="A3:D3"/>
  </mergeCells>
  <pageMargins left="0.38" right="0.32" top="0.78" bottom="0.76" header="0.5" footer="0.5"/>
  <pageSetup scale="95" orientation="portrait" horizontalDpi="1200" verticalDpi="12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26"/>
  <sheetViews>
    <sheetView showGridLines="0" zoomScale="94" zoomScaleNormal="94" workbookViewId="0">
      <selection activeCell="B18" sqref="B18"/>
    </sheetView>
  </sheetViews>
  <sheetFormatPr defaultColWidth="9.109375" defaultRowHeight="30" x14ac:dyDescent="0.5"/>
  <cols>
    <col min="1" max="1" width="23" style="1" customWidth="1"/>
    <col min="2" max="2" width="30" style="1" customWidth="1"/>
    <col min="3" max="3" width="23.5546875" style="2" customWidth="1"/>
    <col min="4" max="4" width="23.6640625" style="2" customWidth="1"/>
    <col min="5" max="16384" width="9.109375" style="1"/>
  </cols>
  <sheetData>
    <row r="1" spans="1:4" x14ac:dyDescent="0.5">
      <c r="A1" s="30" t="s">
        <v>31</v>
      </c>
      <c r="B1" s="31"/>
      <c r="C1" s="31"/>
      <c r="D1" s="32"/>
    </row>
    <row r="2" spans="1:4" x14ac:dyDescent="0.5">
      <c r="A2" s="30" t="s">
        <v>27</v>
      </c>
      <c r="B2" s="31"/>
      <c r="C2" s="31"/>
      <c r="D2" s="32"/>
    </row>
    <row r="3" spans="1:4" x14ac:dyDescent="0.5">
      <c r="A3" s="30" t="s">
        <v>86</v>
      </c>
      <c r="B3" s="31"/>
      <c r="C3" s="31"/>
      <c r="D3" s="32"/>
    </row>
    <row r="4" spans="1:4" ht="14.25" customHeight="1" x14ac:dyDescent="0.5">
      <c r="A4" s="13"/>
      <c r="B4" s="14"/>
      <c r="C4" s="14"/>
      <c r="D4" s="14"/>
    </row>
    <row r="5" spans="1:4" ht="23.25" customHeight="1" x14ac:dyDescent="0.5">
      <c r="A5" s="3">
        <v>1571</v>
      </c>
      <c r="B5" s="3">
        <v>1571</v>
      </c>
      <c r="C5" s="15" t="s">
        <v>29</v>
      </c>
      <c r="D5" s="16" t="s">
        <v>32</v>
      </c>
    </row>
    <row r="6" spans="1:4" ht="23.25" customHeight="1" x14ac:dyDescent="0.5">
      <c r="A6" s="3" t="s">
        <v>10</v>
      </c>
      <c r="B6" s="3" t="s">
        <v>19</v>
      </c>
      <c r="C6" s="15" t="s">
        <v>30</v>
      </c>
      <c r="D6" s="16" t="s">
        <v>33</v>
      </c>
    </row>
    <row r="7" spans="1:4" ht="23.25" customHeight="1" x14ac:dyDescent="0.5">
      <c r="A7" s="7" t="s">
        <v>9</v>
      </c>
      <c r="B7" s="7" t="s">
        <v>9</v>
      </c>
      <c r="C7" s="17" t="s">
        <v>36</v>
      </c>
      <c r="D7" s="17" t="s">
        <v>36</v>
      </c>
    </row>
    <row r="8" spans="1:4" x14ac:dyDescent="0.5">
      <c r="A8" s="11" t="s">
        <v>87</v>
      </c>
      <c r="B8" s="8" t="s">
        <v>88</v>
      </c>
      <c r="C8" s="18">
        <f>4614/10179</f>
        <v>0.45328617742410848</v>
      </c>
      <c r="D8" s="19">
        <f>10526/16137</f>
        <v>0.65228976885418599</v>
      </c>
    </row>
    <row r="9" spans="1:4" x14ac:dyDescent="0.5">
      <c r="A9" s="12" t="s">
        <v>0</v>
      </c>
      <c r="B9" s="8" t="s">
        <v>11</v>
      </c>
      <c r="C9" s="18">
        <f>4640/10274</f>
        <v>0.45162546233210044</v>
      </c>
      <c r="D9" s="19">
        <f>10586/16181</f>
        <v>0.65422408998207771</v>
      </c>
    </row>
    <row r="10" spans="1:4" x14ac:dyDescent="0.5">
      <c r="A10" s="12" t="s">
        <v>1</v>
      </c>
      <c r="B10" s="8" t="s">
        <v>12</v>
      </c>
      <c r="C10" s="18">
        <f>4648/10318</f>
        <v>0.45047489823609227</v>
      </c>
      <c r="D10" s="19">
        <f>10620/16198</f>
        <v>0.65563649833312754</v>
      </c>
    </row>
    <row r="11" spans="1:4" x14ac:dyDescent="0.5">
      <c r="A11" s="12" t="s">
        <v>2</v>
      </c>
      <c r="B11" s="8" t="s">
        <v>13</v>
      </c>
      <c r="C11" s="18">
        <f>4658/10277</f>
        <v>0.45324511044079013</v>
      </c>
      <c r="D11" s="19">
        <f>10635/16197</f>
        <v>0.65660307464345247</v>
      </c>
    </row>
    <row r="12" spans="1:4" x14ac:dyDescent="0.5">
      <c r="A12" s="12" t="s">
        <v>3</v>
      </c>
      <c r="B12" s="8" t="s">
        <v>14</v>
      </c>
      <c r="C12" s="18">
        <f>4714/10337</f>
        <v>0.45603173067621167</v>
      </c>
      <c r="D12" s="19">
        <f>10684/16223</f>
        <v>0.65857116439622754</v>
      </c>
    </row>
    <row r="13" spans="1:4" x14ac:dyDescent="0.5">
      <c r="A13" s="12" t="s">
        <v>4</v>
      </c>
      <c r="B13" s="6" t="s">
        <v>89</v>
      </c>
      <c r="C13" s="18">
        <f>4676/10324</f>
        <v>0.45292522278186748</v>
      </c>
      <c r="D13" s="19">
        <f>10708/16221</f>
        <v>0.66013192774798102</v>
      </c>
    </row>
    <row r="14" spans="1:4" x14ac:dyDescent="0.5">
      <c r="A14" s="11" t="s">
        <v>90</v>
      </c>
      <c r="B14" s="8" t="s">
        <v>15</v>
      </c>
      <c r="C14" s="18">
        <f>4702/10374</f>
        <v>0.45324850588008481</v>
      </c>
      <c r="D14" s="19">
        <f>10737/16263</f>
        <v>0.66021029330381853</v>
      </c>
    </row>
    <row r="15" spans="1:4" x14ac:dyDescent="0.5">
      <c r="A15" s="12" t="s">
        <v>5</v>
      </c>
      <c r="B15" s="8" t="s">
        <v>16</v>
      </c>
      <c r="C15" s="18">
        <f>4725/10406</f>
        <v>0.45406496252162215</v>
      </c>
      <c r="D15" s="19">
        <f>10798/16344</f>
        <v>0.66067058247674992</v>
      </c>
    </row>
    <row r="16" spans="1:4" x14ac:dyDescent="0.5">
      <c r="A16" s="12" t="s">
        <v>6</v>
      </c>
      <c r="B16" s="8" t="s">
        <v>17</v>
      </c>
      <c r="C16" s="18">
        <f>4755/10551</f>
        <v>0.45066818311060564</v>
      </c>
      <c r="D16" s="19">
        <f>10868/16393</f>
        <v>0.66296590007930212</v>
      </c>
    </row>
    <row r="17" spans="1:4" x14ac:dyDescent="0.5">
      <c r="A17" s="12" t="s">
        <v>7</v>
      </c>
      <c r="B17" s="8" t="s">
        <v>18</v>
      </c>
      <c r="C17" s="18">
        <f>4761/10602</f>
        <v>0.44906621392190155</v>
      </c>
      <c r="D17" s="19">
        <f>10880/16360</f>
        <v>0.66503667481662587</v>
      </c>
    </row>
    <row r="18" spans="1:4" x14ac:dyDescent="0.5">
      <c r="A18" s="12" t="s">
        <v>8</v>
      </c>
      <c r="B18" s="6" t="s">
        <v>91</v>
      </c>
      <c r="C18" s="18">
        <f>4765/10622</f>
        <v>0.44859725098851438</v>
      </c>
      <c r="D18" s="19">
        <f>10925/16389</f>
        <v>0.66660565013118556</v>
      </c>
    </row>
    <row r="19" spans="1:4" x14ac:dyDescent="0.5">
      <c r="A19" s="11" t="s">
        <v>93</v>
      </c>
      <c r="B19" s="6" t="s">
        <v>92</v>
      </c>
      <c r="C19" s="18">
        <f>4778/10696</f>
        <v>0.44670905011219147</v>
      </c>
      <c r="D19" s="19">
        <f>10994/16440</f>
        <v>0.66873479318734796</v>
      </c>
    </row>
    <row r="20" spans="1:4" ht="43.5" customHeight="1" x14ac:dyDescent="0.5">
      <c r="A20" s="4"/>
      <c r="B20" s="4"/>
      <c r="C20" s="5"/>
      <c r="D20" s="5"/>
    </row>
    <row r="21" spans="1:4" ht="20.100000000000001" customHeight="1" x14ac:dyDescent="0.5">
      <c r="B21" s="9"/>
      <c r="C21" s="10"/>
      <c r="D21" s="10"/>
    </row>
    <row r="22" spans="1:4" ht="20.100000000000001" customHeight="1" x14ac:dyDescent="0.5">
      <c r="B22" s="9"/>
      <c r="C22" s="10"/>
      <c r="D22" s="10"/>
    </row>
    <row r="23" spans="1:4" ht="20.100000000000001" customHeight="1" x14ac:dyDescent="0.5">
      <c r="A23" s="9" t="s">
        <v>94</v>
      </c>
    </row>
    <row r="24" spans="1:4" ht="20.100000000000001" customHeight="1" x14ac:dyDescent="0.5">
      <c r="A24" s="9" t="s">
        <v>95</v>
      </c>
    </row>
    <row r="25" spans="1:4" ht="20.100000000000001" customHeight="1" x14ac:dyDescent="0.5">
      <c r="A25" s="9"/>
    </row>
    <row r="26" spans="1:4" x14ac:dyDescent="0.5">
      <c r="A26" s="21" t="s">
        <v>65</v>
      </c>
    </row>
  </sheetData>
  <mergeCells count="3">
    <mergeCell ref="A1:D1"/>
    <mergeCell ref="A2:D2"/>
    <mergeCell ref="A3:D3"/>
  </mergeCells>
  <pageMargins left="0.38" right="0.32" top="0.78" bottom="0.76" header="0.5" footer="0.5"/>
  <pageSetup scale="95" orientation="portrait" horizontalDpi="1200" verticalDpi="12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26"/>
  <sheetViews>
    <sheetView workbookViewId="0">
      <selection activeCell="B18" sqref="B18"/>
    </sheetView>
  </sheetViews>
  <sheetFormatPr defaultColWidth="9.109375" defaultRowHeight="30" x14ac:dyDescent="0.5"/>
  <cols>
    <col min="1" max="1" width="23" style="1" customWidth="1"/>
    <col min="2" max="2" width="30" style="1" customWidth="1"/>
    <col min="3" max="3" width="23.5546875" style="2" customWidth="1"/>
    <col min="4" max="4" width="23.6640625" style="2" customWidth="1"/>
    <col min="5" max="16384" width="9.109375" style="1"/>
  </cols>
  <sheetData>
    <row r="1" spans="1:4" x14ac:dyDescent="0.5">
      <c r="A1" s="30" t="s">
        <v>31</v>
      </c>
      <c r="B1" s="31"/>
      <c r="C1" s="31"/>
      <c r="D1" s="32"/>
    </row>
    <row r="2" spans="1:4" x14ac:dyDescent="0.5">
      <c r="A2" s="30" t="s">
        <v>27</v>
      </c>
      <c r="B2" s="31"/>
      <c r="C2" s="31"/>
      <c r="D2" s="32"/>
    </row>
    <row r="3" spans="1:4" x14ac:dyDescent="0.5">
      <c r="A3" s="30" t="s">
        <v>98</v>
      </c>
      <c r="B3" s="31"/>
      <c r="C3" s="31"/>
      <c r="D3" s="32"/>
    </row>
    <row r="4" spans="1:4" ht="14.25" customHeight="1" x14ac:dyDescent="0.5">
      <c r="A4" s="13"/>
      <c r="B4" s="14"/>
      <c r="C4" s="14"/>
      <c r="D4" s="14"/>
    </row>
    <row r="5" spans="1:4" ht="23.25" customHeight="1" x14ac:dyDescent="0.5">
      <c r="A5" s="3">
        <v>1571</v>
      </c>
      <c r="B5" s="3">
        <v>1571</v>
      </c>
      <c r="C5" s="15" t="s">
        <v>29</v>
      </c>
      <c r="D5" s="16" t="s">
        <v>32</v>
      </c>
    </row>
    <row r="6" spans="1:4" ht="23.25" customHeight="1" x14ac:dyDescent="0.5">
      <c r="A6" s="3" t="s">
        <v>10</v>
      </c>
      <c r="B6" s="3" t="s">
        <v>19</v>
      </c>
      <c r="C6" s="15" t="s">
        <v>30</v>
      </c>
      <c r="D6" s="16" t="s">
        <v>33</v>
      </c>
    </row>
    <row r="7" spans="1:4" ht="23.25" customHeight="1" x14ac:dyDescent="0.5">
      <c r="A7" s="7" t="s">
        <v>9</v>
      </c>
      <c r="B7" s="7" t="s">
        <v>9</v>
      </c>
      <c r="C7" s="17" t="s">
        <v>36</v>
      </c>
      <c r="D7" s="17" t="s">
        <v>36</v>
      </c>
    </row>
    <row r="8" spans="1:4" x14ac:dyDescent="0.5">
      <c r="A8" s="11" t="s">
        <v>99</v>
      </c>
      <c r="B8" s="8" t="s">
        <v>100</v>
      </c>
      <c r="C8" s="18">
        <f>4797/10679</f>
        <v>0.44919936323625809</v>
      </c>
      <c r="D8" s="19">
        <f>10987/16374</f>
        <v>0.67100280933186762</v>
      </c>
    </row>
    <row r="9" spans="1:4" x14ac:dyDescent="0.5">
      <c r="A9" s="12" t="s">
        <v>0</v>
      </c>
      <c r="B9" s="8" t="s">
        <v>11</v>
      </c>
      <c r="C9" s="18">
        <f>4862/10766</f>
        <v>0.45160691064462194</v>
      </c>
      <c r="D9" s="19">
        <f>11012/16381</f>
        <v>0.67224223185397713</v>
      </c>
    </row>
    <row r="10" spans="1:4" x14ac:dyDescent="0.5">
      <c r="A10" s="12" t="s">
        <v>1</v>
      </c>
      <c r="B10" s="8" t="s">
        <v>12</v>
      </c>
      <c r="C10" s="18">
        <f>4860/10777</f>
        <v>0.45096037858402155</v>
      </c>
      <c r="D10" s="19">
        <f>11085/16430</f>
        <v>0.67468046256847236</v>
      </c>
    </row>
    <row r="11" spans="1:4" x14ac:dyDescent="0.5">
      <c r="A11" s="12" t="s">
        <v>2</v>
      </c>
      <c r="B11" s="8" t="s">
        <v>13</v>
      </c>
      <c r="C11" s="18">
        <f>4860/10777</f>
        <v>0.45096037858402155</v>
      </c>
      <c r="D11" s="19">
        <f>11043/16445</f>
        <v>0.67151109759805416</v>
      </c>
    </row>
    <row r="12" spans="1:4" x14ac:dyDescent="0.5">
      <c r="A12" s="12" t="s">
        <v>3</v>
      </c>
      <c r="B12" s="8" t="s">
        <v>14</v>
      </c>
      <c r="C12" s="18">
        <f>4860/10777</f>
        <v>0.45096037858402155</v>
      </c>
      <c r="D12" s="19">
        <f>11106/16480</f>
        <v>0.67390776699029131</v>
      </c>
    </row>
    <row r="13" spans="1:4" x14ac:dyDescent="0.5">
      <c r="A13" s="12" t="s">
        <v>4</v>
      </c>
      <c r="B13" s="6" t="s">
        <v>104</v>
      </c>
      <c r="C13" s="18">
        <f>4860/10777</f>
        <v>0.45096037858402155</v>
      </c>
      <c r="D13" s="19">
        <f>11127/16468</f>
        <v>0.67567403449113428</v>
      </c>
    </row>
    <row r="14" spans="1:4" x14ac:dyDescent="0.5">
      <c r="A14" s="11" t="s">
        <v>105</v>
      </c>
      <c r="B14" s="8" t="s">
        <v>15</v>
      </c>
      <c r="C14" s="18">
        <f>4724/10574</f>
        <v>0.44675619443919046</v>
      </c>
      <c r="D14" s="19">
        <f>11183/16503</f>
        <v>0.67763436950857425</v>
      </c>
    </row>
    <row r="15" spans="1:4" x14ac:dyDescent="0.5">
      <c r="A15" s="12" t="s">
        <v>5</v>
      </c>
      <c r="B15" s="8" t="s">
        <v>16</v>
      </c>
      <c r="C15" s="18">
        <f>4790/10595</f>
        <v>0.45210004719207175</v>
      </c>
      <c r="D15" s="19">
        <f>11226/16521</f>
        <v>0.67949881968403847</v>
      </c>
    </row>
    <row r="16" spans="1:4" x14ac:dyDescent="0.5">
      <c r="A16" s="12" t="s">
        <v>6</v>
      </c>
      <c r="B16" s="8" t="s">
        <v>17</v>
      </c>
      <c r="C16" s="18">
        <f>4791/10616</f>
        <v>0.45129992464204971</v>
      </c>
      <c r="D16" s="19">
        <f>11251/16517</f>
        <v>0.68117696918326576</v>
      </c>
    </row>
    <row r="17" spans="1:4" x14ac:dyDescent="0.5">
      <c r="A17" s="12" t="s">
        <v>7</v>
      </c>
      <c r="B17" s="8" t="s">
        <v>18</v>
      </c>
      <c r="C17" s="18">
        <f>4927/10633</f>
        <v>0.46336875764130536</v>
      </c>
      <c r="D17" s="19">
        <f>11280/16530</f>
        <v>0.68239564428312161</v>
      </c>
    </row>
    <row r="18" spans="1:4" x14ac:dyDescent="0.5">
      <c r="A18" s="12" t="s">
        <v>8</v>
      </c>
      <c r="B18" s="6" t="s">
        <v>101</v>
      </c>
      <c r="C18" s="18">
        <f>4904/10591</f>
        <v>0.46303465206307243</v>
      </c>
      <c r="D18" s="19">
        <f>11284/16520</f>
        <v>0.68305084745762712</v>
      </c>
    </row>
    <row r="19" spans="1:4" x14ac:dyDescent="0.5">
      <c r="A19" s="11" t="s">
        <v>103</v>
      </c>
      <c r="B19" s="6" t="s">
        <v>102</v>
      </c>
      <c r="C19" s="18">
        <f>4962/10701</f>
        <v>0.46369498177740398</v>
      </c>
      <c r="D19" s="19">
        <f>11322/16540</f>
        <v>0.68452237001209193</v>
      </c>
    </row>
    <row r="20" spans="1:4" ht="43.5" customHeight="1" x14ac:dyDescent="0.5">
      <c r="A20" s="4"/>
      <c r="B20" s="4"/>
      <c r="C20" s="5"/>
      <c r="D20" s="5"/>
    </row>
    <row r="21" spans="1:4" ht="20.100000000000001" customHeight="1" x14ac:dyDescent="0.5">
      <c r="B21" s="9"/>
      <c r="C21" s="10"/>
      <c r="D21" s="10"/>
    </row>
    <row r="22" spans="1:4" ht="20.100000000000001" customHeight="1" x14ac:dyDescent="0.5">
      <c r="B22" s="9"/>
      <c r="C22" s="10"/>
      <c r="D22" s="10"/>
    </row>
    <row r="23" spans="1:4" ht="20.100000000000001" customHeight="1" x14ac:dyDescent="0.5">
      <c r="A23" s="9" t="s">
        <v>96</v>
      </c>
    </row>
    <row r="24" spans="1:4" ht="20.100000000000001" customHeight="1" x14ac:dyDescent="0.5">
      <c r="A24" s="9" t="s">
        <v>97</v>
      </c>
    </row>
    <row r="25" spans="1:4" ht="20.100000000000001" customHeight="1" x14ac:dyDescent="0.5">
      <c r="A25" s="9"/>
    </row>
    <row r="26" spans="1:4" x14ac:dyDescent="0.5">
      <c r="A26" s="21" t="s">
        <v>65</v>
      </c>
    </row>
  </sheetData>
  <mergeCells count="3">
    <mergeCell ref="A1:D1"/>
    <mergeCell ref="A2:D2"/>
    <mergeCell ref="A3:D3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D26"/>
  <sheetViews>
    <sheetView showGridLines="0" zoomScale="94" zoomScaleNormal="94" workbookViewId="0">
      <selection activeCell="B18" sqref="B18"/>
    </sheetView>
  </sheetViews>
  <sheetFormatPr defaultColWidth="9.109375" defaultRowHeight="30" x14ac:dyDescent="0.5"/>
  <cols>
    <col min="1" max="1" width="23" style="1" customWidth="1"/>
    <col min="2" max="2" width="30" style="1" customWidth="1"/>
    <col min="3" max="3" width="23.5546875" style="2" customWidth="1"/>
    <col min="4" max="4" width="23.6640625" style="2" customWidth="1"/>
    <col min="5" max="16384" width="9.109375" style="1"/>
  </cols>
  <sheetData>
    <row r="1" spans="1:4" x14ac:dyDescent="0.5">
      <c r="A1" s="30" t="s">
        <v>31</v>
      </c>
      <c r="B1" s="31"/>
      <c r="C1" s="31"/>
      <c r="D1" s="32"/>
    </row>
    <row r="2" spans="1:4" x14ac:dyDescent="0.5">
      <c r="A2" s="30" t="s">
        <v>27</v>
      </c>
      <c r="B2" s="31"/>
      <c r="C2" s="31"/>
      <c r="D2" s="32"/>
    </row>
    <row r="3" spans="1:4" x14ac:dyDescent="0.5">
      <c r="A3" s="30" t="s">
        <v>106</v>
      </c>
      <c r="B3" s="31"/>
      <c r="C3" s="31"/>
      <c r="D3" s="32"/>
    </row>
    <row r="4" spans="1:4" ht="14.25" customHeight="1" x14ac:dyDescent="0.5">
      <c r="A4" s="13"/>
      <c r="B4" s="14"/>
      <c r="C4" s="14"/>
      <c r="D4" s="14"/>
    </row>
    <row r="5" spans="1:4" ht="23.25" customHeight="1" x14ac:dyDescent="0.5">
      <c r="A5" s="3">
        <v>1571</v>
      </c>
      <c r="B5" s="3">
        <v>1571</v>
      </c>
      <c r="C5" s="15" t="s">
        <v>29</v>
      </c>
      <c r="D5" s="16" t="s">
        <v>32</v>
      </c>
    </row>
    <row r="6" spans="1:4" ht="23.25" customHeight="1" x14ac:dyDescent="0.5">
      <c r="A6" s="3" t="s">
        <v>10</v>
      </c>
      <c r="B6" s="3" t="s">
        <v>19</v>
      </c>
      <c r="C6" s="15" t="s">
        <v>30</v>
      </c>
      <c r="D6" s="16" t="s">
        <v>33</v>
      </c>
    </row>
    <row r="7" spans="1:4" ht="23.25" customHeight="1" x14ac:dyDescent="0.5">
      <c r="A7" s="7" t="s">
        <v>9</v>
      </c>
      <c r="B7" s="7" t="s">
        <v>9</v>
      </c>
      <c r="C7" s="17" t="s">
        <v>36</v>
      </c>
      <c r="D7" s="17" t="s">
        <v>36</v>
      </c>
    </row>
    <row r="8" spans="1:4" x14ac:dyDescent="0.5">
      <c r="A8" s="22">
        <v>43282</v>
      </c>
      <c r="B8" s="22">
        <v>43313</v>
      </c>
      <c r="C8" s="18">
        <f>4974/10909</f>
        <v>0.45595379961499677</v>
      </c>
      <c r="D8" s="19">
        <f>11342/16545</f>
        <v>0.68552432759141735</v>
      </c>
    </row>
    <row r="9" spans="1:4" x14ac:dyDescent="0.5">
      <c r="A9" s="22">
        <v>43313</v>
      </c>
      <c r="B9" s="22">
        <v>43344</v>
      </c>
      <c r="C9" s="18">
        <f>4922/10592</f>
        <v>0.46469033232628398</v>
      </c>
      <c r="D9" s="19">
        <f>11376/16566</f>
        <v>0.68670771459616076</v>
      </c>
    </row>
    <row r="10" spans="1:4" x14ac:dyDescent="0.5">
      <c r="A10" s="22">
        <v>43344</v>
      </c>
      <c r="B10" s="22">
        <v>43374</v>
      </c>
      <c r="C10" s="18">
        <f>4910/10551</f>
        <v>0.46535873376931097</v>
      </c>
      <c r="D10" s="19">
        <f>11440/16596</f>
        <v>0.68932272836828157</v>
      </c>
    </row>
    <row r="11" spans="1:4" x14ac:dyDescent="0.5">
      <c r="A11" s="22">
        <v>43374</v>
      </c>
      <c r="B11" s="22">
        <v>43405</v>
      </c>
      <c r="C11" s="18">
        <f>4972/10605</f>
        <v>0.46883545497406881</v>
      </c>
      <c r="D11" s="19">
        <f>11480/16594</f>
        <v>0.69181631915150055</v>
      </c>
    </row>
    <row r="12" spans="1:4" x14ac:dyDescent="0.5">
      <c r="A12" s="22">
        <v>43405</v>
      </c>
      <c r="B12" s="22">
        <v>43435</v>
      </c>
      <c r="C12" s="18">
        <f>4965/10462</f>
        <v>0.47457465111833302</v>
      </c>
      <c r="D12" s="19">
        <f>11508/16594</f>
        <v>0.69350367602747987</v>
      </c>
    </row>
    <row r="13" spans="1:4" x14ac:dyDescent="0.5">
      <c r="A13" s="22">
        <v>43435</v>
      </c>
      <c r="B13" s="22">
        <v>43466</v>
      </c>
      <c r="C13" s="18">
        <f>4956/10384</f>
        <v>0.47727272727272729</v>
      </c>
      <c r="D13" s="19">
        <f>11520/16586</f>
        <v>0.69456167852405648</v>
      </c>
    </row>
    <row r="14" spans="1:4" x14ac:dyDescent="0.5">
      <c r="A14" s="22">
        <v>43466</v>
      </c>
      <c r="B14" s="22">
        <v>43497</v>
      </c>
      <c r="C14" s="18">
        <f>4957/10301</f>
        <v>0.48121541597903117</v>
      </c>
      <c r="D14" s="19">
        <f>11571/16603</f>
        <v>0.69692224296813832</v>
      </c>
    </row>
    <row r="15" spans="1:4" x14ac:dyDescent="0.5">
      <c r="A15" s="22">
        <v>43497</v>
      </c>
      <c r="B15" s="22">
        <v>43525</v>
      </c>
      <c r="C15" s="18">
        <f>5023/10349</f>
        <v>0.48536090443521113</v>
      </c>
      <c r="D15" s="19">
        <f>11604/16588</f>
        <v>0.69954183747287191</v>
      </c>
    </row>
    <row r="16" spans="1:4" x14ac:dyDescent="0.5">
      <c r="A16" s="22">
        <v>43525</v>
      </c>
      <c r="B16" s="22">
        <v>43556</v>
      </c>
      <c r="C16" s="18">
        <f>5112/10486</f>
        <v>0.48750715239366776</v>
      </c>
      <c r="D16" s="19">
        <f>11631/16572</f>
        <v>0.70184648805213612</v>
      </c>
    </row>
    <row r="17" spans="1:4" x14ac:dyDescent="0.5">
      <c r="A17" s="22">
        <v>43556</v>
      </c>
      <c r="B17" s="22">
        <v>43586</v>
      </c>
      <c r="C17" s="18">
        <f>5174/10442</f>
        <v>0.49549894656196131</v>
      </c>
      <c r="D17" s="19">
        <f>11697/16618</f>
        <v>0.70387531592249364</v>
      </c>
    </row>
    <row r="18" spans="1:4" x14ac:dyDescent="0.5">
      <c r="A18" s="22">
        <v>43586</v>
      </c>
      <c r="B18" s="22">
        <v>43617</v>
      </c>
      <c r="C18" s="18">
        <f>5264/10726</f>
        <v>0.49077009136677235</v>
      </c>
      <c r="D18" s="19">
        <f>11758/16649</f>
        <v>0.70622860231845752</v>
      </c>
    </row>
    <row r="19" spans="1:4" x14ac:dyDescent="0.5">
      <c r="A19" s="22">
        <v>43617</v>
      </c>
      <c r="B19" s="22">
        <v>43647</v>
      </c>
      <c r="C19" s="18">
        <f>5247/10680</f>
        <v>0.49129213483146067</v>
      </c>
      <c r="D19" s="19">
        <f>11835/16686</f>
        <v>0.70927723840345203</v>
      </c>
    </row>
    <row r="20" spans="1:4" ht="43.5" customHeight="1" x14ac:dyDescent="0.5">
      <c r="A20" s="4"/>
      <c r="B20" s="4"/>
      <c r="C20" s="5"/>
      <c r="D20" s="5"/>
    </row>
    <row r="21" spans="1:4" ht="20.100000000000001" customHeight="1" x14ac:dyDescent="0.5">
      <c r="B21" s="9"/>
      <c r="C21" s="10"/>
      <c r="D21" s="10"/>
    </row>
    <row r="22" spans="1:4" ht="20.100000000000001" customHeight="1" x14ac:dyDescent="0.5">
      <c r="B22" s="9"/>
      <c r="C22" s="10"/>
      <c r="D22" s="10"/>
    </row>
    <row r="23" spans="1:4" ht="20.100000000000001" customHeight="1" x14ac:dyDescent="0.5">
      <c r="A23" s="9" t="s">
        <v>107</v>
      </c>
    </row>
    <row r="24" spans="1:4" ht="20.100000000000001" customHeight="1" x14ac:dyDescent="0.5">
      <c r="A24" s="9" t="s">
        <v>108</v>
      </c>
    </row>
    <row r="25" spans="1:4" ht="20.100000000000001" customHeight="1" x14ac:dyDescent="0.5">
      <c r="A25" s="9"/>
    </row>
    <row r="26" spans="1:4" x14ac:dyDescent="0.5">
      <c r="A26" s="21" t="s">
        <v>65</v>
      </c>
    </row>
  </sheetData>
  <mergeCells count="3">
    <mergeCell ref="A1:D1"/>
    <mergeCell ref="A2:D2"/>
    <mergeCell ref="A3:D3"/>
  </mergeCells>
  <pageMargins left="0.38" right="0.32" top="0.78" bottom="0.76" header="0.5" footer="0.5"/>
  <pageSetup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4</vt:i4>
      </vt:variant>
    </vt:vector>
  </HeadingPairs>
  <TitlesOfParts>
    <vt:vector size="15" baseType="lpstr">
      <vt:lpstr>SFY 2010-2011</vt:lpstr>
      <vt:lpstr>SFY 2011-2012</vt:lpstr>
      <vt:lpstr>SFY 2012-2013</vt:lpstr>
      <vt:lpstr>SFY 2013-2014</vt:lpstr>
      <vt:lpstr>SFY 2014-2015</vt:lpstr>
      <vt:lpstr>SFY 2015-2016</vt:lpstr>
      <vt:lpstr>SFY 2016-2017</vt:lpstr>
      <vt:lpstr>SFY 2017-2018</vt:lpstr>
      <vt:lpstr>SFY 2018-2019</vt:lpstr>
      <vt:lpstr>SFY 2019-2020</vt:lpstr>
      <vt:lpstr>SFY 2020-2021</vt:lpstr>
      <vt:lpstr>'SFY 2016-2017'!Print_Area</vt:lpstr>
      <vt:lpstr>'SFY 2018-2019'!Print_Area</vt:lpstr>
      <vt:lpstr>'SFY 2019-2020'!Print_Area</vt:lpstr>
      <vt:lpstr>'SFY 2020-2021'!Print_Area</vt:lpstr>
    </vt:vector>
  </TitlesOfParts>
  <Company>Dell Computer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Leza Wainwright</dc:creator>
  <cp:lastModifiedBy>Dixon, Myra</cp:lastModifiedBy>
  <cp:lastPrinted>2018-07-24T18:12:05Z</cp:lastPrinted>
  <dcterms:created xsi:type="dcterms:W3CDTF">2001-12-03T18:46:50Z</dcterms:created>
  <dcterms:modified xsi:type="dcterms:W3CDTF">2021-04-06T12:49:21Z</dcterms:modified>
</cp:coreProperties>
</file>