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1\SFY21 Title IV-E Penetration Rates\"/>
    </mc:Choice>
  </mc:AlternateContent>
  <xr:revisionPtr revIDLastSave="0" documentId="13_ncr:1_{26BF2BB0-A373-46A5-B575-DE455131C1C6}" xr6:coauthVersionLast="45" xr6:coauthVersionMax="45" xr10:uidLastSave="{00000000-0000-0000-0000-000000000000}"/>
  <bookViews>
    <workbookView xWindow="-19320" yWindow="780" windowWidth="19440" windowHeight="15000" firstSheet="10" activeTab="10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0-2021" sheetId="22" r:id="rId11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0">'SFY 2020-2021'!$A$1:$D$27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2" l="1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<sst xmlns="http://schemas.openxmlformats.org/spreadsheetml/2006/main" count="349" uniqueCount="113">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</sst>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109375" defaultRowHeight="30" x14ac:dyDescent="0.5"/>
  <cols>
    <col min="1" max="1" width="25.6640625" style="1" customWidth="1"/>
    <col min="2" max="2" width="36.88671875" style="1" customWidth="1"/>
    <col min="3" max="3" width="29.33203125" style="2" bestFit="1" customWidth="1"/>
    <col min="4" max="16384" width="9.10937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20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12" t="s">
        <v>0</v>
      </c>
      <c r="B5" s="8" t="s">
        <v>11</v>
      </c>
      <c r="C5" s="5">
        <f>3191/5949</f>
        <v>0.53639267103714905</v>
      </c>
    </row>
    <row r="6" spans="1:3" x14ac:dyDescent="0.5">
      <c r="A6" s="12" t="s">
        <v>1</v>
      </c>
      <c r="B6" s="8" t="s">
        <v>12</v>
      </c>
      <c r="C6" s="5">
        <f>3175/5852</f>
        <v>0.54254955570745045</v>
      </c>
    </row>
    <row r="7" spans="1:3" x14ac:dyDescent="0.5">
      <c r="A7" s="12" t="s">
        <v>2</v>
      </c>
      <c r="B7" s="8" t="s">
        <v>13</v>
      </c>
      <c r="C7" s="5">
        <f>3124/5714</f>
        <v>0.54672733636681836</v>
      </c>
    </row>
    <row r="8" spans="1:3" x14ac:dyDescent="0.5">
      <c r="A8" s="12" t="s">
        <v>3</v>
      </c>
      <c r="B8" s="8" t="s">
        <v>14</v>
      </c>
      <c r="C8" s="5">
        <f>3082/5768</f>
        <v>0.5343273231622746</v>
      </c>
    </row>
    <row r="9" spans="1:3" x14ac:dyDescent="0.5">
      <c r="A9" s="12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12" t="s">
        <v>5</v>
      </c>
      <c r="B11" s="8" t="s">
        <v>16</v>
      </c>
      <c r="C11" s="5">
        <f>2967/5579</f>
        <v>0.53181573758738121</v>
      </c>
    </row>
    <row r="12" spans="1:3" x14ac:dyDescent="0.5">
      <c r="A12" s="12" t="s">
        <v>6</v>
      </c>
      <c r="B12" s="8" t="s">
        <v>17</v>
      </c>
      <c r="C12" s="5">
        <f>3003/5628</f>
        <v>0.53358208955223885</v>
      </c>
    </row>
    <row r="13" spans="1:3" x14ac:dyDescent="0.5">
      <c r="A13" s="12" t="s">
        <v>7</v>
      </c>
      <c r="B13" s="8" t="s">
        <v>18</v>
      </c>
      <c r="C13" s="5">
        <f>3059/5699</f>
        <v>0.53676083523425167</v>
      </c>
    </row>
    <row r="14" spans="1:3" x14ac:dyDescent="0.5">
      <c r="A14" s="12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109</v>
      </c>
      <c r="B3" s="31"/>
      <c r="C3" s="31"/>
      <c r="D3" s="32"/>
    </row>
    <row r="4" spans="1:4" ht="14.25" customHeight="1" x14ac:dyDescent="0.5">
      <c r="A4" s="23"/>
      <c r="B4" s="24"/>
      <c r="C4" s="24"/>
      <c r="D4" s="2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43647</v>
      </c>
      <c r="B8" s="22">
        <v>43678</v>
      </c>
      <c r="C8" s="18">
        <f>5219/10758</f>
        <v>0.48512734709053729</v>
      </c>
      <c r="D8" s="19">
        <f>11859/16679</f>
        <v>0.71101384975118409</v>
      </c>
    </row>
    <row r="9" spans="1:4" x14ac:dyDescent="0.5">
      <c r="A9" s="22">
        <v>43678</v>
      </c>
      <c r="B9" s="22">
        <v>43709</v>
      </c>
      <c r="C9" s="18">
        <f>5146/10762</f>
        <v>0.4781639100538933</v>
      </c>
      <c r="D9" s="19">
        <f>11878/16684</f>
        <v>0.71193958283385284</v>
      </c>
    </row>
    <row r="10" spans="1:4" x14ac:dyDescent="0.5">
      <c r="A10" s="22">
        <v>43709</v>
      </c>
      <c r="B10" s="22">
        <v>43739</v>
      </c>
      <c r="C10" s="18">
        <f>5164/10696</f>
        <v>0.48279730740463722</v>
      </c>
      <c r="D10" s="19">
        <f>11940/16704</f>
        <v>0.7147988505747126</v>
      </c>
    </row>
    <row r="11" spans="1:4" x14ac:dyDescent="0.5">
      <c r="A11" s="22">
        <v>43739</v>
      </c>
      <c r="B11" s="22">
        <v>43770</v>
      </c>
      <c r="C11" s="18">
        <f>5092/10575</f>
        <v>0.48151300236406619</v>
      </c>
      <c r="D11" s="19">
        <f>11980/16723</f>
        <v>0.71637864019613706</v>
      </c>
    </row>
    <row r="12" spans="1:4" x14ac:dyDescent="0.5">
      <c r="A12" s="22">
        <v>43770</v>
      </c>
      <c r="B12" s="22">
        <v>43800</v>
      </c>
      <c r="C12" s="18">
        <f>5056/10476</f>
        <v>0.482626956853761</v>
      </c>
      <c r="D12" s="19">
        <f>12051/16762</f>
        <v>0.71894761961579767</v>
      </c>
    </row>
    <row r="13" spans="1:4" x14ac:dyDescent="0.5">
      <c r="A13" s="22">
        <v>43800</v>
      </c>
      <c r="B13" s="22">
        <v>43831</v>
      </c>
      <c r="C13" s="18">
        <f>4997/10441</f>
        <v>0.47859400440570826</v>
      </c>
      <c r="D13" s="19">
        <f>12145/16832</f>
        <v>0.72154230038022815</v>
      </c>
    </row>
    <row r="14" spans="1:4" x14ac:dyDescent="0.5">
      <c r="A14" s="22">
        <v>43831</v>
      </c>
      <c r="B14" s="22">
        <v>43862</v>
      </c>
      <c r="C14" s="18">
        <f>4947/10382</f>
        <v>0.47649778462723946</v>
      </c>
      <c r="D14" s="19">
        <f>12197/16851</f>
        <v>0.72381461040887785</v>
      </c>
    </row>
    <row r="15" spans="1:4" x14ac:dyDescent="0.5">
      <c r="A15" s="22">
        <v>43862</v>
      </c>
      <c r="B15" s="22">
        <v>43891</v>
      </c>
      <c r="C15" s="18">
        <f>5018/10627</f>
        <v>0.47219346946457136</v>
      </c>
      <c r="D15" s="19">
        <f>12265/16885</f>
        <v>0.7263843648208469</v>
      </c>
    </row>
    <row r="16" spans="1:4" x14ac:dyDescent="0.5">
      <c r="A16" s="22">
        <v>43891</v>
      </c>
      <c r="B16" s="22">
        <v>43922</v>
      </c>
      <c r="C16" s="18">
        <f>5030/10505</f>
        <v>0.47881960970966209</v>
      </c>
      <c r="D16" s="19">
        <f>12297/16868</f>
        <v>0.72901351671804604</v>
      </c>
    </row>
    <row r="17" spans="1:4" x14ac:dyDescent="0.5">
      <c r="A17" s="22">
        <v>43922</v>
      </c>
      <c r="B17" s="22">
        <v>43952</v>
      </c>
      <c r="C17" s="18">
        <f>5046/10517</f>
        <v>0.47979461823713987</v>
      </c>
      <c r="D17" s="19">
        <f>12340/16879</f>
        <v>0.73108596480834176</v>
      </c>
    </row>
    <row r="18" spans="1:4" x14ac:dyDescent="0.5">
      <c r="A18" s="22">
        <v>43952</v>
      </c>
      <c r="B18" s="22">
        <v>43983</v>
      </c>
      <c r="C18" s="18">
        <f>5085/10547</f>
        <v>0.48212761922821656</v>
      </c>
      <c r="D18" s="19">
        <f>12357/16852</f>
        <v>0.73326608117730829</v>
      </c>
    </row>
    <row r="19" spans="1:4" x14ac:dyDescent="0.5">
      <c r="A19" s="22">
        <v>43983</v>
      </c>
      <c r="B19" s="22">
        <v>44013</v>
      </c>
      <c r="C19" s="18">
        <f>5109/10630</f>
        <v>0.48062088428974598</v>
      </c>
      <c r="D19" s="19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abSelected="1" topLeftCell="A4" zoomScale="94" zoomScaleNormal="94" workbookViewId="0">
      <selection activeCell="C19" sqref="C19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112</v>
      </c>
      <c r="B3" s="31"/>
      <c r="C3" s="31"/>
      <c r="D3" s="32"/>
    </row>
    <row r="4" spans="1:4" ht="14.25" customHeight="1" x14ac:dyDescent="0.5">
      <c r="A4" s="25"/>
      <c r="B4" s="26"/>
      <c r="C4" s="26"/>
      <c r="D4" s="26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44013</v>
      </c>
      <c r="B8" s="22">
        <v>44044</v>
      </c>
      <c r="C8" s="18">
        <f>5052/10490</f>
        <v>0.48160152526215444</v>
      </c>
      <c r="D8" s="19">
        <f>12393/16844</f>
        <v>0.73575160294466868</v>
      </c>
    </row>
    <row r="9" spans="1:4" x14ac:dyDescent="0.5">
      <c r="A9" s="22">
        <v>44044</v>
      </c>
      <c r="B9" s="22">
        <v>44075</v>
      </c>
      <c r="C9" s="18">
        <f>5040/10408</f>
        <v>0.48424289008455035</v>
      </c>
      <c r="D9" s="19">
        <f>12399/16817</f>
        <v>0.73728964738062674</v>
      </c>
    </row>
    <row r="10" spans="1:4" x14ac:dyDescent="0.5">
      <c r="A10" s="22">
        <v>44075</v>
      </c>
      <c r="B10" s="22">
        <v>44105</v>
      </c>
      <c r="C10" s="18">
        <f>4992/10369</f>
        <v>0.48143504677403798</v>
      </c>
      <c r="D10" s="19">
        <f>12444/16827</f>
        <v>0.73952576216794441</v>
      </c>
    </row>
    <row r="11" spans="1:4" x14ac:dyDescent="0.5">
      <c r="A11" s="22">
        <v>44105</v>
      </c>
      <c r="B11" s="22">
        <v>44136</v>
      </c>
      <c r="C11" s="18">
        <f>4997/10783</f>
        <v>0.46341463414634149</v>
      </c>
      <c r="D11" s="19">
        <f>12451/16794</f>
        <v>0.7413957365725854</v>
      </c>
    </row>
    <row r="12" spans="1:4" x14ac:dyDescent="0.5">
      <c r="A12" s="22">
        <v>44136</v>
      </c>
      <c r="B12" s="22">
        <v>44166</v>
      </c>
      <c r="C12" s="18">
        <f>5001/10732</f>
        <v>0.46598956392098395</v>
      </c>
      <c r="D12" s="19">
        <f>12474/16797</f>
        <v>0.74263261296660121</v>
      </c>
    </row>
    <row r="13" spans="1:4" x14ac:dyDescent="0.5">
      <c r="A13" s="22">
        <v>44166</v>
      </c>
      <c r="B13" s="22">
        <v>44197</v>
      </c>
      <c r="C13" s="18">
        <f>5003/10765</f>
        <v>0.46474686483975847</v>
      </c>
      <c r="D13" s="19">
        <f>12525/16814</f>
        <v>0.74491495182585943</v>
      </c>
    </row>
    <row r="14" spans="1:4" x14ac:dyDescent="0.5">
      <c r="A14" s="22">
        <v>44197</v>
      </c>
      <c r="B14" s="22">
        <v>44228</v>
      </c>
      <c r="C14" s="18">
        <f>4947/10633</f>
        <v>0.46524969434778518</v>
      </c>
      <c r="D14" s="19">
        <f>12559/16812</f>
        <v>0.74702593385676896</v>
      </c>
    </row>
    <row r="15" spans="1:4" x14ac:dyDescent="0.5">
      <c r="A15" s="22">
        <v>44228</v>
      </c>
      <c r="B15" s="22">
        <v>44256</v>
      </c>
      <c r="C15" s="18">
        <f>4939/10678</f>
        <v>0.46253980146094775</v>
      </c>
      <c r="D15" s="19">
        <f>12579/16788</f>
        <v>0.74928520371694063</v>
      </c>
    </row>
    <row r="16" spans="1:4" x14ac:dyDescent="0.5">
      <c r="A16" s="22">
        <v>44256</v>
      </c>
      <c r="B16" s="22">
        <v>44287</v>
      </c>
      <c r="C16" s="18">
        <f>4967/10688</f>
        <v>0.46472679640718562</v>
      </c>
      <c r="D16" s="19">
        <f>12597/16785</f>
        <v>0.75049151027703309</v>
      </c>
    </row>
    <row r="17" spans="1:4" x14ac:dyDescent="0.5">
      <c r="A17" s="22">
        <v>44287</v>
      </c>
      <c r="B17" s="22">
        <v>44317</v>
      </c>
      <c r="C17" s="18">
        <f>4964/10596</f>
        <v>0.46847867119667796</v>
      </c>
      <c r="D17" s="19">
        <f>12631/16796</f>
        <v>0.75202429149797567</v>
      </c>
    </row>
    <row r="18" spans="1:4" x14ac:dyDescent="0.5">
      <c r="A18" s="22">
        <v>44317</v>
      </c>
      <c r="B18" s="22">
        <v>44348</v>
      </c>
      <c r="C18" s="18">
        <f>4924/10604</f>
        <v>0.46435307431158052</v>
      </c>
      <c r="D18" s="19">
        <f>12638/16765</f>
        <v>0.75383238890545778</v>
      </c>
    </row>
    <row r="19" spans="1:4" x14ac:dyDescent="0.5">
      <c r="A19" s="22">
        <v>44348</v>
      </c>
      <c r="B19" s="22">
        <v>44378</v>
      </c>
      <c r="C19" s="18"/>
      <c r="D19" s="19"/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109375" defaultRowHeight="30" x14ac:dyDescent="0.5"/>
  <cols>
    <col min="1" max="1" width="25.6640625" style="1" customWidth="1"/>
    <col min="2" max="2" width="36.88671875" style="1" customWidth="1"/>
    <col min="3" max="3" width="29.33203125" style="2" bestFit="1" customWidth="1"/>
    <col min="4" max="16384" width="9.10937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20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12" t="s">
        <v>0</v>
      </c>
      <c r="B5" s="8" t="s">
        <v>11</v>
      </c>
      <c r="C5" s="5">
        <f>3001/5602</f>
        <v>0.53570153516601215</v>
      </c>
    </row>
    <row r="6" spans="1:3" x14ac:dyDescent="0.5">
      <c r="A6" s="12" t="s">
        <v>1</v>
      </c>
      <c r="B6" s="8" t="s">
        <v>12</v>
      </c>
      <c r="C6" s="5">
        <f>3037/5654</f>
        <v>0.53714184648036789</v>
      </c>
    </row>
    <row r="7" spans="1:3" x14ac:dyDescent="0.5">
      <c r="A7" s="12" t="s">
        <v>2</v>
      </c>
      <c r="B7" s="8" t="s">
        <v>13</v>
      </c>
      <c r="C7" s="5">
        <f>3004/5547</f>
        <v>0.54155399314945019</v>
      </c>
    </row>
    <row r="8" spans="1:3" x14ac:dyDescent="0.5">
      <c r="A8" s="12" t="s">
        <v>3</v>
      </c>
      <c r="B8" s="8" t="s">
        <v>14</v>
      </c>
      <c r="C8" s="5">
        <f>2998/5536</f>
        <v>0.54154624277456642</v>
      </c>
    </row>
    <row r="9" spans="1:3" x14ac:dyDescent="0.5">
      <c r="A9" s="12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12" t="s">
        <v>5</v>
      </c>
      <c r="B11" s="8" t="s">
        <v>16</v>
      </c>
      <c r="C11" s="5">
        <f>2988/5393</f>
        <v>0.55405154830335623</v>
      </c>
    </row>
    <row r="12" spans="1:3" x14ac:dyDescent="0.5">
      <c r="A12" s="12" t="s">
        <v>6</v>
      </c>
      <c r="B12" s="8" t="s">
        <v>17</v>
      </c>
      <c r="C12" s="5">
        <f>3002/5438</f>
        <v>0.55204119161456422</v>
      </c>
    </row>
    <row r="13" spans="1:3" x14ac:dyDescent="0.5">
      <c r="A13" s="12" t="s">
        <v>7</v>
      </c>
      <c r="B13" s="8" t="s">
        <v>18</v>
      </c>
      <c r="C13" s="5">
        <f>3043/5497</f>
        <v>0.55357467709659813</v>
      </c>
    </row>
    <row r="14" spans="1:3" x14ac:dyDescent="0.5">
      <c r="A14" s="12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27" t="s">
        <v>31</v>
      </c>
      <c r="B1" s="28"/>
      <c r="C1" s="28"/>
      <c r="D1" s="29"/>
    </row>
    <row r="2" spans="1:4" x14ac:dyDescent="0.5">
      <c r="A2" s="27" t="s">
        <v>27</v>
      </c>
      <c r="B2" s="28"/>
      <c r="C2" s="28"/>
      <c r="D2" s="29"/>
    </row>
    <row r="3" spans="1:4" x14ac:dyDescent="0.5">
      <c r="A3" s="27" t="s">
        <v>28</v>
      </c>
      <c r="B3" s="28"/>
      <c r="C3" s="28"/>
      <c r="D3" s="29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20</v>
      </c>
      <c r="B8" s="8" t="s">
        <v>21</v>
      </c>
      <c r="C8" s="18">
        <f>3151/5538</f>
        <v>0.56897797038642106</v>
      </c>
      <c r="D8" s="19"/>
    </row>
    <row r="9" spans="1:4" x14ac:dyDescent="0.5">
      <c r="A9" s="12" t="s">
        <v>0</v>
      </c>
      <c r="B9" s="8" t="s">
        <v>11</v>
      </c>
      <c r="C9" s="18">
        <f>3140/5473</f>
        <v>0.5737255618490773</v>
      </c>
      <c r="D9" s="19"/>
    </row>
    <row r="10" spans="1:4" x14ac:dyDescent="0.5">
      <c r="A10" s="12" t="s">
        <v>1</v>
      </c>
      <c r="B10" s="8" t="s">
        <v>12</v>
      </c>
      <c r="C10" s="18">
        <f>3897/8208</f>
        <v>0.47478070175438597</v>
      </c>
      <c r="D10" s="19">
        <f>9380/15183</f>
        <v>0.61779621945597052</v>
      </c>
    </row>
    <row r="11" spans="1:4" x14ac:dyDescent="0.5">
      <c r="A11" s="12" t="s">
        <v>2</v>
      </c>
      <c r="B11" s="8" t="s">
        <v>13</v>
      </c>
      <c r="C11" s="18">
        <f>3930/8298</f>
        <v>0.47360809833694867</v>
      </c>
      <c r="D11" s="19">
        <f>9413/15223</f>
        <v>0.61834066872495563</v>
      </c>
    </row>
    <row r="12" spans="1:4" x14ac:dyDescent="0.5">
      <c r="A12" s="12" t="s">
        <v>3</v>
      </c>
      <c r="B12" s="8" t="s">
        <v>14</v>
      </c>
      <c r="C12" s="18">
        <f>3923/8295</f>
        <v>0.47293550331525014</v>
      </c>
      <c r="D12" s="19">
        <f>9430/15234</f>
        <v>0.61901010896678488</v>
      </c>
    </row>
    <row r="13" spans="1:4" x14ac:dyDescent="0.5">
      <c r="A13" s="12" t="s">
        <v>4</v>
      </c>
      <c r="B13" s="6" t="s">
        <v>34</v>
      </c>
      <c r="C13" s="18">
        <f>3913/8292</f>
        <v>0.47190062711046793</v>
      </c>
      <c r="D13" s="19">
        <f>9436/15219</f>
        <v>0.62001445561469215</v>
      </c>
    </row>
    <row r="14" spans="1:4" x14ac:dyDescent="0.5">
      <c r="A14" s="11" t="s">
        <v>35</v>
      </c>
      <c r="B14" s="8" t="s">
        <v>15</v>
      </c>
      <c r="C14" s="18">
        <f>3888/8311</f>
        <v>0.46781374082541211</v>
      </c>
      <c r="D14" s="19">
        <f>9479/15283</f>
        <v>0.62023162991559244</v>
      </c>
    </row>
    <row r="15" spans="1:4" x14ac:dyDescent="0.5">
      <c r="A15" s="12" t="s">
        <v>5</v>
      </c>
      <c r="B15" s="8" t="s">
        <v>16</v>
      </c>
      <c r="C15" s="18">
        <f>3893/8362</f>
        <v>0.46555847883281509</v>
      </c>
      <c r="D15" s="19">
        <f>9482/15274</f>
        <v>0.62079350530312949</v>
      </c>
    </row>
    <row r="16" spans="1:4" x14ac:dyDescent="0.5">
      <c r="A16" s="12" t="s">
        <v>6</v>
      </c>
      <c r="B16" s="8" t="s">
        <v>17</v>
      </c>
      <c r="C16" s="18">
        <f>3929/8429</f>
        <v>0.46612884090639461</v>
      </c>
      <c r="D16" s="19">
        <f>9483/15270</f>
        <v>0.62102161100196462</v>
      </c>
    </row>
    <row r="17" spans="1:4" x14ac:dyDescent="0.5">
      <c r="A17" s="12" t="s">
        <v>7</v>
      </c>
      <c r="B17" s="8" t="s">
        <v>18</v>
      </c>
      <c r="C17" s="18">
        <f>3957/8473</f>
        <v>0.46701286439277706</v>
      </c>
      <c r="D17" s="19">
        <f>9518/15297</f>
        <v>0.62221350591619273</v>
      </c>
    </row>
    <row r="18" spans="1:4" x14ac:dyDescent="0.5">
      <c r="A18" s="12" t="s">
        <v>8</v>
      </c>
      <c r="B18" s="6" t="s">
        <v>22</v>
      </c>
      <c r="C18" s="18">
        <f>3999/8615</f>
        <v>0.46419036564132327</v>
      </c>
      <c r="D18" s="19">
        <f>10011/16002</f>
        <v>0.62560929883764527</v>
      </c>
    </row>
    <row r="19" spans="1:4" x14ac:dyDescent="0.5">
      <c r="A19" s="11" t="s">
        <v>24</v>
      </c>
      <c r="B19" s="6" t="s">
        <v>23</v>
      </c>
      <c r="C19" s="18">
        <f>3992/8691</f>
        <v>0.45932573927050974</v>
      </c>
      <c r="D19" s="19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55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56</v>
      </c>
      <c r="B8" s="8" t="s">
        <v>57</v>
      </c>
      <c r="C8" s="18">
        <f>4004/8691</f>
        <v>0.46070647796571168</v>
      </c>
      <c r="D8" s="19">
        <f>10061/16020</f>
        <v>0.62802746566791512</v>
      </c>
    </row>
    <row r="9" spans="1:4" x14ac:dyDescent="0.5">
      <c r="A9" s="12" t="s">
        <v>0</v>
      </c>
      <c r="B9" s="8" t="s">
        <v>11</v>
      </c>
      <c r="C9" s="18">
        <f>4025/8708</f>
        <v>0.46221864951768488</v>
      </c>
      <c r="D9" s="19">
        <f>10078/16038</f>
        <v>0.6283825913455543</v>
      </c>
    </row>
    <row r="10" spans="1:4" x14ac:dyDescent="0.5">
      <c r="A10" s="12" t="s">
        <v>1</v>
      </c>
      <c r="B10" s="8" t="s">
        <v>12</v>
      </c>
      <c r="C10" s="18">
        <f>3952/8707</f>
        <v>0.45388767658206042</v>
      </c>
      <c r="D10" s="19">
        <f>10098/16031</f>
        <v>0.62990455991516436</v>
      </c>
    </row>
    <row r="11" spans="1:4" x14ac:dyDescent="0.5">
      <c r="A11" s="12" t="s">
        <v>2</v>
      </c>
      <c r="B11" s="8" t="s">
        <v>13</v>
      </c>
      <c r="C11" s="18">
        <f>4019/8880</f>
        <v>0.4525900900900901</v>
      </c>
      <c r="D11" s="19">
        <f>10112/16005</f>
        <v>0.63180256169946891</v>
      </c>
    </row>
    <row r="12" spans="1:4" x14ac:dyDescent="0.5">
      <c r="A12" s="12" t="s">
        <v>3</v>
      </c>
      <c r="B12" s="8" t="s">
        <v>14</v>
      </c>
      <c r="C12" s="18">
        <f>4009/8885</f>
        <v>0.45120990433314573</v>
      </c>
      <c r="D12" s="19">
        <f>10129/16013</f>
        <v>0.63254855429963153</v>
      </c>
    </row>
    <row r="13" spans="1:4" x14ac:dyDescent="0.5">
      <c r="A13" s="12" t="s">
        <v>4</v>
      </c>
      <c r="B13" s="6" t="s">
        <v>58</v>
      </c>
      <c r="C13" s="18">
        <f>4041/9014</f>
        <v>0.44830264033725314</v>
      </c>
      <c r="D13" s="19">
        <f>10162/16024</f>
        <v>0.63417373939091359</v>
      </c>
    </row>
    <row r="14" spans="1:4" x14ac:dyDescent="0.5">
      <c r="A14" s="11" t="s">
        <v>59</v>
      </c>
      <c r="B14" s="8" t="s">
        <v>15</v>
      </c>
      <c r="C14" s="18">
        <f>4105/8990</f>
        <v>0.45661846496106784</v>
      </c>
      <c r="D14" s="19">
        <f>10166/16018</f>
        <v>0.63466100636783618</v>
      </c>
    </row>
    <row r="15" spans="1:4" x14ac:dyDescent="0.5">
      <c r="A15" s="12" t="s">
        <v>5</v>
      </c>
      <c r="B15" s="8" t="s">
        <v>16</v>
      </c>
      <c r="C15" s="18">
        <f>4057/9077</f>
        <v>0.4469538393742426</v>
      </c>
      <c r="D15" s="19">
        <f>10122/15978</f>
        <v>0.63349605707848289</v>
      </c>
    </row>
    <row r="16" spans="1:4" x14ac:dyDescent="0.5">
      <c r="A16" s="12" t="s">
        <v>6</v>
      </c>
      <c r="B16" s="8" t="s">
        <v>17</v>
      </c>
      <c r="C16" s="18">
        <f>4090/9179</f>
        <v>0.44558230744089772</v>
      </c>
      <c r="D16" s="19">
        <f>10145/15982</f>
        <v>0.63477662370166432</v>
      </c>
    </row>
    <row r="17" spans="1:4" x14ac:dyDescent="0.5">
      <c r="A17" s="12" t="s">
        <v>7</v>
      </c>
      <c r="B17" s="8" t="s">
        <v>18</v>
      </c>
      <c r="C17" s="18">
        <f>4143/9301</f>
        <v>0.44543597462638423</v>
      </c>
      <c r="D17" s="19">
        <f>10156/15997</f>
        <v>0.63486903794461458</v>
      </c>
    </row>
    <row r="18" spans="1:4" x14ac:dyDescent="0.5">
      <c r="A18" s="12" t="s">
        <v>8</v>
      </c>
      <c r="B18" s="6" t="s">
        <v>61</v>
      </c>
      <c r="C18" s="18">
        <f>4262/9366</f>
        <v>0.45505018150758059</v>
      </c>
      <c r="D18" s="19">
        <f>10176/16027</f>
        <v>0.63492855805827664</v>
      </c>
    </row>
    <row r="19" spans="1:4" x14ac:dyDescent="0.5">
      <c r="A19" s="11" t="s">
        <v>60</v>
      </c>
      <c r="B19" s="6" t="s">
        <v>62</v>
      </c>
      <c r="C19" s="18">
        <f>4304/9450</f>
        <v>0.45544973544973544</v>
      </c>
      <c r="D19" s="19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66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67</v>
      </c>
      <c r="B8" s="8" t="s">
        <v>68</v>
      </c>
      <c r="C8" s="18">
        <f>4328/9490</f>
        <v>0.45605900948366701</v>
      </c>
      <c r="D8" s="19">
        <f>10181/16001</f>
        <v>0.6362727329541904</v>
      </c>
    </row>
    <row r="9" spans="1:4" x14ac:dyDescent="0.5">
      <c r="A9" s="12" t="s">
        <v>0</v>
      </c>
      <c r="B9" s="8" t="s">
        <v>11</v>
      </c>
      <c r="C9" s="18">
        <f>4349/9632</f>
        <v>0.45151578073089699</v>
      </c>
      <c r="D9" s="19">
        <f>10163/15970</f>
        <v>0.63638071383844708</v>
      </c>
    </row>
    <row r="10" spans="1:4" x14ac:dyDescent="0.5">
      <c r="A10" s="12" t="s">
        <v>1</v>
      </c>
      <c r="B10" s="8" t="s">
        <v>12</v>
      </c>
      <c r="C10" s="18">
        <f>4387/9738</f>
        <v>0.45050318340521667</v>
      </c>
      <c r="D10" s="19">
        <f>10115/15973</f>
        <v>0.63325611970199713</v>
      </c>
    </row>
    <row r="11" spans="1:4" x14ac:dyDescent="0.5">
      <c r="A11" s="12" t="s">
        <v>2</v>
      </c>
      <c r="B11" s="8" t="s">
        <v>13</v>
      </c>
      <c r="C11" s="18">
        <f>4420/9694</f>
        <v>0.45595213534144829</v>
      </c>
      <c r="D11" s="19">
        <f>10169/16011</f>
        <v>0.635125850977453</v>
      </c>
    </row>
    <row r="12" spans="1:4" x14ac:dyDescent="0.5">
      <c r="A12" s="12" t="s">
        <v>3</v>
      </c>
      <c r="B12" s="8" t="s">
        <v>14</v>
      </c>
      <c r="C12" s="18">
        <f>4455/9755</f>
        <v>0.45668887749871862</v>
      </c>
      <c r="D12" s="19">
        <f>10167/15995</f>
        <v>0.63563613629259141</v>
      </c>
    </row>
    <row r="13" spans="1:4" x14ac:dyDescent="0.5">
      <c r="A13" s="12" t="s">
        <v>4</v>
      </c>
      <c r="B13" s="6" t="s">
        <v>69</v>
      </c>
      <c r="C13" s="18">
        <f>4435/9776</f>
        <v>0.45366202945990181</v>
      </c>
      <c r="D13" s="19">
        <f>10198/16010</f>
        <v>0.63697688944409747</v>
      </c>
    </row>
    <row r="14" spans="1:4" x14ac:dyDescent="0.5">
      <c r="A14" s="11" t="s">
        <v>70</v>
      </c>
      <c r="B14" s="8" t="s">
        <v>15</v>
      </c>
      <c r="C14" s="18">
        <f>4406/9662</f>
        <v>0.45601324777478786</v>
      </c>
      <c r="D14" s="19">
        <f>10227/16031</f>
        <v>0.63795146902875677</v>
      </c>
    </row>
    <row r="15" spans="1:4" x14ac:dyDescent="0.5">
      <c r="A15" s="12" t="s">
        <v>5</v>
      </c>
      <c r="B15" s="8" t="s">
        <v>16</v>
      </c>
      <c r="C15" s="18">
        <f>4458/9750</f>
        <v>0.45723076923076922</v>
      </c>
      <c r="D15" s="19">
        <f>10225/16006</f>
        <v>0.63882294139697615</v>
      </c>
    </row>
    <row r="16" spans="1:4" x14ac:dyDescent="0.5">
      <c r="A16" s="12" t="s">
        <v>6</v>
      </c>
      <c r="B16" s="8" t="s">
        <v>17</v>
      </c>
      <c r="C16" s="18">
        <f>4485/9776</f>
        <v>0.45877659574468083</v>
      </c>
      <c r="D16" s="19">
        <f>10237/15998</f>
        <v>0.6398924865608201</v>
      </c>
    </row>
    <row r="17" spans="1:4" x14ac:dyDescent="0.5">
      <c r="A17" s="12" t="s">
        <v>7</v>
      </c>
      <c r="B17" s="8" t="s">
        <v>18</v>
      </c>
      <c r="C17" s="18">
        <f>4533/9862</f>
        <v>0.4596430744270939</v>
      </c>
      <c r="D17" s="19">
        <f>10252/16001</f>
        <v>0.64070995562777322</v>
      </c>
    </row>
    <row r="18" spans="1:4" x14ac:dyDescent="0.5">
      <c r="A18" s="12" t="s">
        <v>8</v>
      </c>
      <c r="B18" s="6" t="s">
        <v>71</v>
      </c>
      <c r="C18" s="18">
        <f>4540/9919</f>
        <v>0.45770743018449439</v>
      </c>
      <c r="D18" s="19">
        <f>10221/15989</f>
        <v>0.63925198574019637</v>
      </c>
    </row>
    <row r="19" spans="1:4" x14ac:dyDescent="0.5">
      <c r="A19" s="11" t="s">
        <v>73</v>
      </c>
      <c r="B19" s="6" t="s">
        <v>72</v>
      </c>
      <c r="C19" s="18">
        <f>4576/10054</f>
        <v>0.4551422319474836</v>
      </c>
      <c r="D19" s="19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85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78</v>
      </c>
      <c r="B8" s="8" t="s">
        <v>79</v>
      </c>
      <c r="C8" s="18">
        <f>4591/10040</f>
        <v>0.45727091633466138</v>
      </c>
      <c r="D8" s="19">
        <f>10171/15972</f>
        <v>0.63680190333082898</v>
      </c>
    </row>
    <row r="9" spans="1:4" x14ac:dyDescent="0.5">
      <c r="A9" s="12" t="s">
        <v>0</v>
      </c>
      <c r="B9" s="8" t="s">
        <v>11</v>
      </c>
      <c r="C9" s="18">
        <f>4566/10025</f>
        <v>0.45546134663341648</v>
      </c>
      <c r="D9" s="19">
        <f>10192/15967</f>
        <v>0.63831652783866721</v>
      </c>
    </row>
    <row r="10" spans="1:4" x14ac:dyDescent="0.5">
      <c r="A10" s="12" t="s">
        <v>1</v>
      </c>
      <c r="B10" s="8" t="s">
        <v>12</v>
      </c>
      <c r="C10" s="18">
        <f>4570/10098</f>
        <v>0.45256486432957022</v>
      </c>
      <c r="D10" s="19">
        <f>10209/15991</f>
        <v>0.63842161215683824</v>
      </c>
    </row>
    <row r="11" spans="1:4" x14ac:dyDescent="0.5">
      <c r="A11" s="12" t="s">
        <v>2</v>
      </c>
      <c r="B11" s="8" t="s">
        <v>13</v>
      </c>
      <c r="C11" s="18">
        <f>4574/10153</f>
        <v>0.45050723923963359</v>
      </c>
      <c r="D11" s="19">
        <f>10243/15986</f>
        <v>0.64074815463530588</v>
      </c>
    </row>
    <row r="12" spans="1:4" x14ac:dyDescent="0.5">
      <c r="A12" s="12" t="s">
        <v>3</v>
      </c>
      <c r="B12" s="8" t="s">
        <v>14</v>
      </c>
      <c r="C12" s="18">
        <f>4628/10115</f>
        <v>0.45753830944142365</v>
      </c>
      <c r="D12" s="19">
        <f>10266/15992</f>
        <v>0.64194597298649325</v>
      </c>
    </row>
    <row r="13" spans="1:4" x14ac:dyDescent="0.5">
      <c r="A13" s="12" t="s">
        <v>4</v>
      </c>
      <c r="B13" s="6" t="s">
        <v>80</v>
      </c>
      <c r="C13" s="18">
        <f>4680/10129</f>
        <v>0.46203968802448414</v>
      </c>
      <c r="D13" s="19">
        <f>10307/16015</f>
        <v>0.64358413986887297</v>
      </c>
    </row>
    <row r="14" spans="1:4" x14ac:dyDescent="0.5">
      <c r="A14" s="11" t="s">
        <v>81</v>
      </c>
      <c r="B14" s="8" t="s">
        <v>15</v>
      </c>
      <c r="C14" s="18">
        <f>4603/10006</f>
        <v>0.46002398560863483</v>
      </c>
      <c r="D14" s="19">
        <f>10342/16020</f>
        <v>0.6455680399500624</v>
      </c>
    </row>
    <row r="15" spans="1:4" x14ac:dyDescent="0.5">
      <c r="A15" s="12" t="s">
        <v>5</v>
      </c>
      <c r="B15" s="8" t="s">
        <v>16</v>
      </c>
      <c r="C15" s="18">
        <f>4647/10048</f>
        <v>0.46248009554140129</v>
      </c>
      <c r="D15" s="19">
        <f>10385/16042</f>
        <v>0.64736317167435486</v>
      </c>
    </row>
    <row r="16" spans="1:4" x14ac:dyDescent="0.5">
      <c r="A16" s="12" t="s">
        <v>6</v>
      </c>
      <c r="B16" s="8" t="s">
        <v>17</v>
      </c>
      <c r="C16" s="18">
        <f>4664/10038</f>
        <v>0.46463438932058176</v>
      </c>
      <c r="D16" s="19">
        <f>10402/16054</f>
        <v>0.64793820854615669</v>
      </c>
    </row>
    <row r="17" spans="1:4" x14ac:dyDescent="0.5">
      <c r="A17" s="12" t="s">
        <v>7</v>
      </c>
      <c r="B17" s="8" t="s">
        <v>18</v>
      </c>
      <c r="C17" s="18">
        <f>4642/10147</f>
        <v>0.45747511579777272</v>
      </c>
      <c r="D17" s="19">
        <f>10429/16070</f>
        <v>0.64897324206596141</v>
      </c>
    </row>
    <row r="18" spans="1:4" x14ac:dyDescent="0.5">
      <c r="A18" s="12" t="s">
        <v>8</v>
      </c>
      <c r="B18" s="6" t="s">
        <v>82</v>
      </c>
      <c r="C18" s="18">
        <f>4657/10196</f>
        <v>0.45674774421341702</v>
      </c>
      <c r="D18" s="19">
        <f>10474/16095</f>
        <v>0.65076110593351977</v>
      </c>
    </row>
    <row r="19" spans="1:4" x14ac:dyDescent="0.5">
      <c r="A19" s="11" t="s">
        <v>83</v>
      </c>
      <c r="B19" s="6" t="s">
        <v>84</v>
      </c>
      <c r="C19" s="18">
        <f>4607/10133</f>
        <v>0.4546531135892628</v>
      </c>
      <c r="D19" s="19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86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87</v>
      </c>
      <c r="B8" s="8" t="s">
        <v>88</v>
      </c>
      <c r="C8" s="18">
        <f>4614/10179</f>
        <v>0.45328617742410848</v>
      </c>
      <c r="D8" s="19">
        <f>10526/16137</f>
        <v>0.65228976885418599</v>
      </c>
    </row>
    <row r="9" spans="1:4" x14ac:dyDescent="0.5">
      <c r="A9" s="12" t="s">
        <v>0</v>
      </c>
      <c r="B9" s="8" t="s">
        <v>11</v>
      </c>
      <c r="C9" s="18">
        <f>4640/10274</f>
        <v>0.45162546233210044</v>
      </c>
      <c r="D9" s="19">
        <f>10586/16181</f>
        <v>0.65422408998207771</v>
      </c>
    </row>
    <row r="10" spans="1:4" x14ac:dyDescent="0.5">
      <c r="A10" s="12" t="s">
        <v>1</v>
      </c>
      <c r="B10" s="8" t="s">
        <v>12</v>
      </c>
      <c r="C10" s="18">
        <f>4648/10318</f>
        <v>0.45047489823609227</v>
      </c>
      <c r="D10" s="19">
        <f>10620/16198</f>
        <v>0.65563649833312754</v>
      </c>
    </row>
    <row r="11" spans="1:4" x14ac:dyDescent="0.5">
      <c r="A11" s="12" t="s">
        <v>2</v>
      </c>
      <c r="B11" s="8" t="s">
        <v>13</v>
      </c>
      <c r="C11" s="18">
        <f>4658/10277</f>
        <v>0.45324511044079013</v>
      </c>
      <c r="D11" s="19">
        <f>10635/16197</f>
        <v>0.65660307464345247</v>
      </c>
    </row>
    <row r="12" spans="1:4" x14ac:dyDescent="0.5">
      <c r="A12" s="12" t="s">
        <v>3</v>
      </c>
      <c r="B12" s="8" t="s">
        <v>14</v>
      </c>
      <c r="C12" s="18">
        <f>4714/10337</f>
        <v>0.45603173067621167</v>
      </c>
      <c r="D12" s="19">
        <f>10684/16223</f>
        <v>0.65857116439622754</v>
      </c>
    </row>
    <row r="13" spans="1:4" x14ac:dyDescent="0.5">
      <c r="A13" s="12" t="s">
        <v>4</v>
      </c>
      <c r="B13" s="6" t="s">
        <v>89</v>
      </c>
      <c r="C13" s="18">
        <f>4676/10324</f>
        <v>0.45292522278186748</v>
      </c>
      <c r="D13" s="19">
        <f>10708/16221</f>
        <v>0.66013192774798102</v>
      </c>
    </row>
    <row r="14" spans="1:4" x14ac:dyDescent="0.5">
      <c r="A14" s="11" t="s">
        <v>90</v>
      </c>
      <c r="B14" s="8" t="s">
        <v>15</v>
      </c>
      <c r="C14" s="18">
        <f>4702/10374</f>
        <v>0.45324850588008481</v>
      </c>
      <c r="D14" s="19">
        <f>10737/16263</f>
        <v>0.66021029330381853</v>
      </c>
    </row>
    <row r="15" spans="1:4" x14ac:dyDescent="0.5">
      <c r="A15" s="12" t="s">
        <v>5</v>
      </c>
      <c r="B15" s="8" t="s">
        <v>16</v>
      </c>
      <c r="C15" s="18">
        <f>4725/10406</f>
        <v>0.45406496252162215</v>
      </c>
      <c r="D15" s="19">
        <f>10798/16344</f>
        <v>0.66067058247674992</v>
      </c>
    </row>
    <row r="16" spans="1:4" x14ac:dyDescent="0.5">
      <c r="A16" s="12" t="s">
        <v>6</v>
      </c>
      <c r="B16" s="8" t="s">
        <v>17</v>
      </c>
      <c r="C16" s="18">
        <f>4755/10551</f>
        <v>0.45066818311060564</v>
      </c>
      <c r="D16" s="19">
        <f>10868/16393</f>
        <v>0.66296590007930212</v>
      </c>
    </row>
    <row r="17" spans="1:4" x14ac:dyDescent="0.5">
      <c r="A17" s="12" t="s">
        <v>7</v>
      </c>
      <c r="B17" s="8" t="s">
        <v>18</v>
      </c>
      <c r="C17" s="18">
        <f>4761/10602</f>
        <v>0.44906621392190155</v>
      </c>
      <c r="D17" s="19">
        <f>10880/16360</f>
        <v>0.66503667481662587</v>
      </c>
    </row>
    <row r="18" spans="1:4" x14ac:dyDescent="0.5">
      <c r="A18" s="12" t="s">
        <v>8</v>
      </c>
      <c r="B18" s="6" t="s">
        <v>91</v>
      </c>
      <c r="C18" s="18">
        <f>4765/10622</f>
        <v>0.44859725098851438</v>
      </c>
      <c r="D18" s="19">
        <f>10925/16389</f>
        <v>0.66660565013118556</v>
      </c>
    </row>
    <row r="19" spans="1:4" x14ac:dyDescent="0.5">
      <c r="A19" s="11" t="s">
        <v>93</v>
      </c>
      <c r="B19" s="6" t="s">
        <v>92</v>
      </c>
      <c r="C19" s="18">
        <f>4778/10696</f>
        <v>0.44670905011219147</v>
      </c>
      <c r="D19" s="19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98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99</v>
      </c>
      <c r="B8" s="8" t="s">
        <v>100</v>
      </c>
      <c r="C8" s="18">
        <f>4797/10679</f>
        <v>0.44919936323625809</v>
      </c>
      <c r="D8" s="19">
        <f>10987/16374</f>
        <v>0.67100280933186762</v>
      </c>
    </row>
    <row r="9" spans="1:4" x14ac:dyDescent="0.5">
      <c r="A9" s="12" t="s">
        <v>0</v>
      </c>
      <c r="B9" s="8" t="s">
        <v>11</v>
      </c>
      <c r="C9" s="18">
        <f>4862/10766</f>
        <v>0.45160691064462194</v>
      </c>
      <c r="D9" s="19">
        <f>11012/16381</f>
        <v>0.67224223185397713</v>
      </c>
    </row>
    <row r="10" spans="1:4" x14ac:dyDescent="0.5">
      <c r="A10" s="12" t="s">
        <v>1</v>
      </c>
      <c r="B10" s="8" t="s">
        <v>12</v>
      </c>
      <c r="C10" s="18">
        <f>4860/10777</f>
        <v>0.45096037858402155</v>
      </c>
      <c r="D10" s="19">
        <f>11085/16430</f>
        <v>0.67468046256847236</v>
      </c>
    </row>
    <row r="11" spans="1:4" x14ac:dyDescent="0.5">
      <c r="A11" s="12" t="s">
        <v>2</v>
      </c>
      <c r="B11" s="8" t="s">
        <v>13</v>
      </c>
      <c r="C11" s="18">
        <f>4860/10777</f>
        <v>0.45096037858402155</v>
      </c>
      <c r="D11" s="19">
        <f>11043/16445</f>
        <v>0.67151109759805416</v>
      </c>
    </row>
    <row r="12" spans="1:4" x14ac:dyDescent="0.5">
      <c r="A12" s="12" t="s">
        <v>3</v>
      </c>
      <c r="B12" s="8" t="s">
        <v>14</v>
      </c>
      <c r="C12" s="18">
        <f>4860/10777</f>
        <v>0.45096037858402155</v>
      </c>
      <c r="D12" s="19">
        <f>11106/16480</f>
        <v>0.67390776699029131</v>
      </c>
    </row>
    <row r="13" spans="1:4" x14ac:dyDescent="0.5">
      <c r="A13" s="12" t="s">
        <v>4</v>
      </c>
      <c r="B13" s="6" t="s">
        <v>104</v>
      </c>
      <c r="C13" s="18">
        <f>4860/10777</f>
        <v>0.45096037858402155</v>
      </c>
      <c r="D13" s="19">
        <f>11127/16468</f>
        <v>0.67567403449113428</v>
      </c>
    </row>
    <row r="14" spans="1:4" x14ac:dyDescent="0.5">
      <c r="A14" s="11" t="s">
        <v>105</v>
      </c>
      <c r="B14" s="8" t="s">
        <v>15</v>
      </c>
      <c r="C14" s="18">
        <f>4724/10574</f>
        <v>0.44675619443919046</v>
      </c>
      <c r="D14" s="19">
        <f>11183/16503</f>
        <v>0.67763436950857425</v>
      </c>
    </row>
    <row r="15" spans="1:4" x14ac:dyDescent="0.5">
      <c r="A15" s="12" t="s">
        <v>5</v>
      </c>
      <c r="B15" s="8" t="s">
        <v>16</v>
      </c>
      <c r="C15" s="18">
        <f>4790/10595</f>
        <v>0.45210004719207175</v>
      </c>
      <c r="D15" s="19">
        <f>11226/16521</f>
        <v>0.67949881968403847</v>
      </c>
    </row>
    <row r="16" spans="1:4" x14ac:dyDescent="0.5">
      <c r="A16" s="12" t="s">
        <v>6</v>
      </c>
      <c r="B16" s="8" t="s">
        <v>17</v>
      </c>
      <c r="C16" s="18">
        <f>4791/10616</f>
        <v>0.45129992464204971</v>
      </c>
      <c r="D16" s="19">
        <f>11251/16517</f>
        <v>0.68117696918326576</v>
      </c>
    </row>
    <row r="17" spans="1:4" x14ac:dyDescent="0.5">
      <c r="A17" s="12" t="s">
        <v>7</v>
      </c>
      <c r="B17" s="8" t="s">
        <v>18</v>
      </c>
      <c r="C17" s="18">
        <f>4927/10633</f>
        <v>0.46336875764130536</v>
      </c>
      <c r="D17" s="19">
        <f>11280/16530</f>
        <v>0.68239564428312161</v>
      </c>
    </row>
    <row r="18" spans="1:4" x14ac:dyDescent="0.5">
      <c r="A18" s="12" t="s">
        <v>8</v>
      </c>
      <c r="B18" s="6" t="s">
        <v>101</v>
      </c>
      <c r="C18" s="18">
        <f>4904/10591</f>
        <v>0.46303465206307243</v>
      </c>
      <c r="D18" s="19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8">
        <f>4962/10701</f>
        <v>0.46369498177740398</v>
      </c>
      <c r="D19" s="19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106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43282</v>
      </c>
      <c r="B8" s="22">
        <v>43313</v>
      </c>
      <c r="C8" s="18">
        <f>4974/10909</f>
        <v>0.45595379961499677</v>
      </c>
      <c r="D8" s="19">
        <f>11342/16545</f>
        <v>0.68552432759141735</v>
      </c>
    </row>
    <row r="9" spans="1:4" x14ac:dyDescent="0.5">
      <c r="A9" s="22">
        <v>43313</v>
      </c>
      <c r="B9" s="22">
        <v>43344</v>
      </c>
      <c r="C9" s="18">
        <f>4922/10592</f>
        <v>0.46469033232628398</v>
      </c>
      <c r="D9" s="19">
        <f>11376/16566</f>
        <v>0.68670771459616076</v>
      </c>
    </row>
    <row r="10" spans="1:4" x14ac:dyDescent="0.5">
      <c r="A10" s="22">
        <v>43344</v>
      </c>
      <c r="B10" s="22">
        <v>43374</v>
      </c>
      <c r="C10" s="18">
        <f>4910/10551</f>
        <v>0.46535873376931097</v>
      </c>
      <c r="D10" s="19">
        <f>11440/16596</f>
        <v>0.68932272836828157</v>
      </c>
    </row>
    <row r="11" spans="1:4" x14ac:dyDescent="0.5">
      <c r="A11" s="22">
        <v>43374</v>
      </c>
      <c r="B11" s="22">
        <v>43405</v>
      </c>
      <c r="C11" s="18">
        <f>4972/10605</f>
        <v>0.46883545497406881</v>
      </c>
      <c r="D11" s="19">
        <f>11480/16594</f>
        <v>0.69181631915150055</v>
      </c>
    </row>
    <row r="12" spans="1:4" x14ac:dyDescent="0.5">
      <c r="A12" s="22">
        <v>43405</v>
      </c>
      <c r="B12" s="22">
        <v>43435</v>
      </c>
      <c r="C12" s="18">
        <f>4965/10462</f>
        <v>0.47457465111833302</v>
      </c>
      <c r="D12" s="19">
        <f>11508/16594</f>
        <v>0.69350367602747987</v>
      </c>
    </row>
    <row r="13" spans="1:4" x14ac:dyDescent="0.5">
      <c r="A13" s="22">
        <v>43435</v>
      </c>
      <c r="B13" s="22">
        <v>43466</v>
      </c>
      <c r="C13" s="18">
        <f>4956/10384</f>
        <v>0.47727272727272729</v>
      </c>
      <c r="D13" s="19">
        <f>11520/16586</f>
        <v>0.69456167852405648</v>
      </c>
    </row>
    <row r="14" spans="1:4" x14ac:dyDescent="0.5">
      <c r="A14" s="22">
        <v>43466</v>
      </c>
      <c r="B14" s="22">
        <v>43497</v>
      </c>
      <c r="C14" s="18">
        <f>4957/10301</f>
        <v>0.48121541597903117</v>
      </c>
      <c r="D14" s="19">
        <f>11571/16603</f>
        <v>0.69692224296813832</v>
      </c>
    </row>
    <row r="15" spans="1:4" x14ac:dyDescent="0.5">
      <c r="A15" s="22">
        <v>43497</v>
      </c>
      <c r="B15" s="22">
        <v>43525</v>
      </c>
      <c r="C15" s="18">
        <f>5023/10349</f>
        <v>0.48536090443521113</v>
      </c>
      <c r="D15" s="19">
        <f>11604/16588</f>
        <v>0.69954183747287191</v>
      </c>
    </row>
    <row r="16" spans="1:4" x14ac:dyDescent="0.5">
      <c r="A16" s="22">
        <v>43525</v>
      </c>
      <c r="B16" s="22">
        <v>43556</v>
      </c>
      <c r="C16" s="18">
        <f>5112/10486</f>
        <v>0.48750715239366776</v>
      </c>
      <c r="D16" s="19">
        <f>11631/16572</f>
        <v>0.70184648805213612</v>
      </c>
    </row>
    <row r="17" spans="1:4" x14ac:dyDescent="0.5">
      <c r="A17" s="22">
        <v>43556</v>
      </c>
      <c r="B17" s="22">
        <v>43586</v>
      </c>
      <c r="C17" s="18">
        <f>5174/10442</f>
        <v>0.49549894656196131</v>
      </c>
      <c r="D17" s="19">
        <f>11697/16618</f>
        <v>0.70387531592249364</v>
      </c>
    </row>
    <row r="18" spans="1:4" x14ac:dyDescent="0.5">
      <c r="A18" s="22">
        <v>43586</v>
      </c>
      <c r="B18" s="22">
        <v>43617</v>
      </c>
      <c r="C18" s="18">
        <f>5264/10726</f>
        <v>0.49077009136677235</v>
      </c>
      <c r="D18" s="19">
        <f>11758/16649</f>
        <v>0.70622860231845752</v>
      </c>
    </row>
    <row r="19" spans="1:4" x14ac:dyDescent="0.5">
      <c r="A19" s="22">
        <v>43617</v>
      </c>
      <c r="B19" s="22">
        <v>43647</v>
      </c>
      <c r="C19" s="18">
        <f>5247/10680</f>
        <v>0.49129213483146067</v>
      </c>
      <c r="D19" s="19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2020-2021</vt:lpstr>
      <vt:lpstr>'SFY 2016-2017'!Print_Area</vt:lpstr>
      <vt:lpstr>'SFY 2018-2019'!Print_Area</vt:lpstr>
      <vt:lpstr>'SFY 2019-2020'!Print_Area</vt:lpstr>
      <vt:lpstr>'SFY 2020-2021'!Print_Area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Dickerson, Jeronica</cp:lastModifiedBy>
  <cp:lastPrinted>2018-07-24T18:12:05Z</cp:lastPrinted>
  <dcterms:created xsi:type="dcterms:W3CDTF">2001-12-03T18:46:50Z</dcterms:created>
  <dcterms:modified xsi:type="dcterms:W3CDTF">2021-06-03T18:16:17Z</dcterms:modified>
</cp:coreProperties>
</file>